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38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案例" sheetId="80"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B14" i="74" l="1"/>
  <c r="D14" i="9"/>
  <c r="I47" i="33"/>
  <c r="G47" i="33"/>
  <c r="E47" i="33"/>
  <c r="I33" i="33"/>
  <c r="G33" i="33"/>
  <c r="E33" i="33"/>
  <c r="C33" i="33"/>
  <c r="G112" i="33"/>
  <c r="F112" i="33"/>
  <c r="E112" i="33"/>
  <c r="D112" i="33"/>
  <c r="C112" i="33"/>
  <c r="G104" i="33"/>
  <c r="F104" i="33"/>
  <c r="E104" i="33"/>
  <c r="D104" i="33"/>
  <c r="G89" i="33"/>
  <c r="F89" i="33"/>
  <c r="E89" i="33"/>
  <c r="D89" i="33"/>
  <c r="I7" i="33"/>
  <c r="G7" i="33"/>
  <c r="E7" i="33"/>
  <c r="I5" i="33"/>
  <c r="G5" i="33"/>
  <c r="E5" i="33"/>
  <c r="HZ33" i="80"/>
  <c r="HY33" i="80"/>
  <c r="HX33" i="80"/>
  <c r="HW33" i="80"/>
  <c r="HV33" i="80"/>
  <c r="HU33" i="80"/>
  <c r="HT33" i="80"/>
  <c r="HQ33" i="80"/>
  <c r="HN33" i="80"/>
  <c r="HM33" i="80"/>
  <c r="HJ33" i="80"/>
  <c r="HG33" i="80"/>
  <c r="HF33" i="80"/>
  <c r="HC33" i="80"/>
  <c r="GZ33" i="80"/>
  <c r="GY33" i="80"/>
  <c r="GV33" i="80"/>
  <c r="GS33" i="80"/>
  <c r="GR33" i="80"/>
  <c r="GO33" i="80"/>
  <c r="GL33" i="80"/>
  <c r="GK33" i="80"/>
  <c r="GH33" i="80"/>
  <c r="GE33" i="80"/>
  <c r="GD33" i="80"/>
  <c r="GA33" i="80"/>
  <c r="FX33" i="80"/>
  <c r="FW33" i="80"/>
  <c r="FT33" i="80"/>
  <c r="FQ33" i="80"/>
  <c r="FP33" i="80"/>
  <c r="FM33" i="80"/>
  <c r="FJ33" i="80"/>
  <c r="FI33" i="80"/>
  <c r="FF33" i="80"/>
  <c r="FC33" i="80"/>
  <c r="FB33" i="80"/>
  <c r="EY33" i="80"/>
  <c r="EV33" i="80"/>
  <c r="IB33" i="80" s="1"/>
  <c r="EU33" i="80"/>
  <c r="IA33" i="80" s="1"/>
  <c r="ER33" i="80"/>
  <c r="EM33" i="80"/>
  <c r="EL33" i="80"/>
  <c r="EI33" i="80"/>
  <c r="EH33" i="80"/>
  <c r="EG33" i="80"/>
  <c r="ED33" i="80"/>
  <c r="EA33" i="80"/>
  <c r="DZ33" i="80"/>
  <c r="DW33" i="80"/>
  <c r="DT33" i="80"/>
  <c r="DS33" i="80"/>
  <c r="DP33" i="80"/>
  <c r="DM33" i="80"/>
  <c r="DL33" i="80"/>
  <c r="DI33" i="80"/>
  <c r="DF33" i="80"/>
  <c r="DE33" i="80"/>
  <c r="DB33" i="80"/>
  <c r="CY33" i="80"/>
  <c r="CX33" i="80"/>
  <c r="CU33" i="80"/>
  <c r="CR33" i="80"/>
  <c r="CQ33" i="80"/>
  <c r="CN33" i="80"/>
  <c r="CK33" i="80"/>
  <c r="CJ33" i="80"/>
  <c r="CG33" i="80"/>
  <c r="CD33" i="80"/>
  <c r="CC33" i="80"/>
  <c r="BZ33" i="80"/>
  <c r="BW33" i="80"/>
  <c r="BV33" i="80"/>
  <c r="BS33" i="80"/>
  <c r="BP33" i="80"/>
  <c r="BO33" i="80"/>
  <c r="BL33" i="80"/>
  <c r="BH33" i="80"/>
  <c r="EN33" i="80" s="1"/>
  <c r="AZ33" i="80"/>
  <c r="IG33" i="80" s="1"/>
  <c r="AY33" i="80"/>
  <c r="IF33" i="80" s="1"/>
  <c r="Y33" i="80" s="1"/>
  <c r="AW33" i="80"/>
  <c r="AV33" i="80"/>
  <c r="IC33" i="80" s="1"/>
  <c r="AU33" i="80"/>
  <c r="AT33" i="80"/>
  <c r="AQ33" i="80"/>
  <c r="AN33" i="80"/>
  <c r="AM33" i="80"/>
  <c r="AJ33" i="80"/>
  <c r="AG33" i="80"/>
  <c r="BB33" i="80" s="1"/>
  <c r="AF33" i="80"/>
  <c r="BA33" i="80" s="1"/>
  <c r="AC33" i="80"/>
  <c r="X33" i="80"/>
  <c r="Z33" i="80" s="1"/>
  <c r="V33" i="80"/>
  <c r="T33" i="80"/>
  <c r="R33" i="80"/>
  <c r="P33" i="80"/>
  <c r="N33" i="80"/>
  <c r="L33" i="80"/>
  <c r="BD33" i="80" s="1"/>
  <c r="K33" i="80"/>
  <c r="HZ32" i="80"/>
  <c r="HY32" i="80"/>
  <c r="HX32" i="80"/>
  <c r="HW32" i="80"/>
  <c r="HV32" i="80"/>
  <c r="HU32" i="80"/>
  <c r="HT32" i="80"/>
  <c r="HQ32" i="80"/>
  <c r="HN32" i="80"/>
  <c r="HM32" i="80"/>
  <c r="HJ32" i="80"/>
  <c r="HG32" i="80"/>
  <c r="HF32" i="80"/>
  <c r="HC32" i="80"/>
  <c r="GZ32" i="80"/>
  <c r="GY32" i="80"/>
  <c r="GV32" i="80"/>
  <c r="GS32" i="80"/>
  <c r="GR32" i="80"/>
  <c r="GO32" i="80"/>
  <c r="GL32" i="80"/>
  <c r="GK32" i="80"/>
  <c r="GH32" i="80"/>
  <c r="GE32" i="80"/>
  <c r="GD32" i="80"/>
  <c r="GA32" i="80"/>
  <c r="FX32" i="80"/>
  <c r="FW32" i="80"/>
  <c r="FT32" i="80"/>
  <c r="FQ32" i="80"/>
  <c r="FP32" i="80"/>
  <c r="FM32" i="80"/>
  <c r="FJ32" i="80"/>
  <c r="FI32" i="80"/>
  <c r="FF32" i="80"/>
  <c r="FC32" i="80"/>
  <c r="FB32" i="80"/>
  <c r="EY32" i="80"/>
  <c r="EV32" i="80"/>
  <c r="IB32" i="80" s="1"/>
  <c r="EU32" i="80"/>
  <c r="IA32" i="80" s="1"/>
  <c r="ER32" i="80"/>
  <c r="EM32" i="80"/>
  <c r="EL32" i="80"/>
  <c r="EJ32" i="80"/>
  <c r="EI32" i="80"/>
  <c r="EK32" i="80" s="1"/>
  <c r="EH32" i="80"/>
  <c r="EG32" i="80"/>
  <c r="ED32" i="80"/>
  <c r="EA32" i="80"/>
  <c r="DZ32" i="80"/>
  <c r="DW32" i="80"/>
  <c r="DT32" i="80"/>
  <c r="DS32" i="80"/>
  <c r="DP32" i="80"/>
  <c r="DM32" i="80"/>
  <c r="DL32" i="80"/>
  <c r="DI32" i="80"/>
  <c r="DF32" i="80"/>
  <c r="DE32" i="80"/>
  <c r="DB32" i="80"/>
  <c r="CY32" i="80"/>
  <c r="CX32" i="80"/>
  <c r="CU32" i="80"/>
  <c r="CR32" i="80"/>
  <c r="CQ32" i="80"/>
  <c r="CN32" i="80"/>
  <c r="CK32" i="80"/>
  <c r="CJ32" i="80"/>
  <c r="CG32" i="80"/>
  <c r="CD32" i="80"/>
  <c r="CC32" i="80"/>
  <c r="BZ32" i="80"/>
  <c r="BW32" i="80"/>
  <c r="BV32" i="80"/>
  <c r="BS32" i="80"/>
  <c r="BP32" i="80"/>
  <c r="BO32" i="80"/>
  <c r="BL32" i="80"/>
  <c r="BI32" i="80"/>
  <c r="EO32" i="80" s="1"/>
  <c r="BH32" i="80"/>
  <c r="EN32" i="80" s="1"/>
  <c r="BE32" i="80"/>
  <c r="AZ32" i="80"/>
  <c r="IG32" i="80" s="1"/>
  <c r="AY32" i="80"/>
  <c r="IF32" i="80" s="1"/>
  <c r="Y32" i="80" s="1"/>
  <c r="AW32" i="80"/>
  <c r="ID32" i="80" s="1"/>
  <c r="AV32" i="80"/>
  <c r="AX32" i="80" s="1"/>
  <c r="AU32" i="80"/>
  <c r="AT32" i="80"/>
  <c r="AQ32" i="80"/>
  <c r="AN32" i="80"/>
  <c r="BB32" i="80" s="1"/>
  <c r="II32" i="80" s="1"/>
  <c r="AM32" i="80"/>
  <c r="AJ32" i="80"/>
  <c r="AG32" i="80"/>
  <c r="AF32" i="80"/>
  <c r="BA32" i="80" s="1"/>
  <c r="IH32" i="80" s="1"/>
  <c r="AC32" i="80"/>
  <c r="X32" i="80"/>
  <c r="Z32" i="80" s="1"/>
  <c r="K32" i="80"/>
  <c r="HZ31" i="80"/>
  <c r="HY31" i="80"/>
  <c r="HX31" i="80"/>
  <c r="HW31" i="80"/>
  <c r="HV31" i="80"/>
  <c r="HU31" i="80"/>
  <c r="HT31" i="80"/>
  <c r="HQ31" i="80"/>
  <c r="HN31" i="80"/>
  <c r="HM31" i="80"/>
  <c r="HJ31" i="80"/>
  <c r="HG31" i="80"/>
  <c r="HF31" i="80"/>
  <c r="HC31" i="80"/>
  <c r="GZ31" i="80"/>
  <c r="GY31" i="80"/>
  <c r="GV31" i="80"/>
  <c r="GS31" i="80"/>
  <c r="GR31" i="80"/>
  <c r="GO31" i="80"/>
  <c r="GL31" i="80"/>
  <c r="GK31" i="80"/>
  <c r="GH31" i="80"/>
  <c r="GE31" i="80"/>
  <c r="GD31" i="80"/>
  <c r="GA31" i="80"/>
  <c r="FX31" i="80"/>
  <c r="FW31" i="80"/>
  <c r="FT31" i="80"/>
  <c r="FQ31" i="80"/>
  <c r="FP31" i="80"/>
  <c r="FM31" i="80"/>
  <c r="FJ31" i="80"/>
  <c r="FI31" i="80"/>
  <c r="FF31" i="80"/>
  <c r="FC31" i="80"/>
  <c r="FB31" i="80"/>
  <c r="EY31" i="80"/>
  <c r="EV31" i="80"/>
  <c r="IB31" i="80" s="1"/>
  <c r="EU31" i="80"/>
  <c r="IA31" i="80" s="1"/>
  <c r="ER31" i="80"/>
  <c r="EM31" i="80"/>
  <c r="EL31" i="80"/>
  <c r="EJ31" i="80"/>
  <c r="EI31" i="80"/>
  <c r="EK31" i="80" s="1"/>
  <c r="EH31" i="80"/>
  <c r="EG31" i="80"/>
  <c r="ED31" i="80"/>
  <c r="EA31" i="80"/>
  <c r="DZ31" i="80"/>
  <c r="DW31" i="80"/>
  <c r="DT31" i="80"/>
  <c r="DS31" i="80"/>
  <c r="DP31" i="80"/>
  <c r="DM31" i="80"/>
  <c r="DL31" i="80"/>
  <c r="DI31" i="80"/>
  <c r="DF31" i="80"/>
  <c r="DE31" i="80"/>
  <c r="DB31" i="80"/>
  <c r="CY31" i="80"/>
  <c r="CX31" i="80"/>
  <c r="CU31" i="80"/>
  <c r="CR31" i="80"/>
  <c r="CQ31" i="80"/>
  <c r="CN31" i="80"/>
  <c r="CK31" i="80"/>
  <c r="CJ31" i="80"/>
  <c r="CG31" i="80"/>
  <c r="CD31" i="80"/>
  <c r="CC31" i="80"/>
  <c r="BZ31" i="80"/>
  <c r="BW31" i="80"/>
  <c r="BV31" i="80"/>
  <c r="BS31" i="80"/>
  <c r="BP31" i="80"/>
  <c r="BO31" i="80"/>
  <c r="BL31" i="80"/>
  <c r="BI31" i="80"/>
  <c r="EO31" i="80" s="1"/>
  <c r="BH31" i="80"/>
  <c r="EN31" i="80" s="1"/>
  <c r="BE31" i="80"/>
  <c r="AZ31" i="80"/>
  <c r="IG31" i="80" s="1"/>
  <c r="AY31" i="80"/>
  <c r="IF31" i="80" s="1"/>
  <c r="Y31" i="80" s="1"/>
  <c r="AW31" i="80"/>
  <c r="ID31" i="80" s="1"/>
  <c r="AV31" i="80"/>
  <c r="AX31" i="80" s="1"/>
  <c r="AU31" i="80"/>
  <c r="AT31" i="80"/>
  <c r="AQ31" i="80"/>
  <c r="AN31" i="80"/>
  <c r="AM31" i="80"/>
  <c r="AJ31" i="80"/>
  <c r="AG31" i="80"/>
  <c r="BB31" i="80" s="1"/>
  <c r="AF31" i="80"/>
  <c r="BA31" i="80" s="1"/>
  <c r="IH31" i="80" s="1"/>
  <c r="AC31" i="80"/>
  <c r="X31" i="80"/>
  <c r="Z31" i="80" s="1"/>
  <c r="V31" i="80"/>
  <c r="T31" i="80"/>
  <c r="R31" i="80"/>
  <c r="P31" i="80"/>
  <c r="N31" i="80"/>
  <c r="L31" i="80"/>
  <c r="K31" i="80"/>
  <c r="HZ30" i="80"/>
  <c r="HY30" i="80"/>
  <c r="HW30" i="80"/>
  <c r="HV30" i="80"/>
  <c r="HX30" i="80" s="1"/>
  <c r="HU30" i="80"/>
  <c r="HT30" i="80"/>
  <c r="HQ30" i="80"/>
  <c r="HN30" i="80"/>
  <c r="HM30" i="80"/>
  <c r="HJ30" i="80"/>
  <c r="HG30" i="80"/>
  <c r="HF30" i="80"/>
  <c r="HC30" i="80"/>
  <c r="GZ30" i="80"/>
  <c r="GY30" i="80"/>
  <c r="GV30" i="80"/>
  <c r="GS30" i="80"/>
  <c r="GR30" i="80"/>
  <c r="GO30" i="80"/>
  <c r="GL30" i="80"/>
  <c r="GK30" i="80"/>
  <c r="GH30" i="80"/>
  <c r="GE30" i="80"/>
  <c r="GD30" i="80"/>
  <c r="GA30" i="80"/>
  <c r="FX30" i="80"/>
  <c r="FW30" i="80"/>
  <c r="FT30" i="80"/>
  <c r="FQ30" i="80"/>
  <c r="FP30" i="80"/>
  <c r="FM30" i="80"/>
  <c r="FJ30" i="80"/>
  <c r="FI30" i="80"/>
  <c r="FF30" i="80"/>
  <c r="FC30" i="80"/>
  <c r="FB30" i="80"/>
  <c r="EY30" i="80"/>
  <c r="EV30" i="80"/>
  <c r="IB30" i="80" s="1"/>
  <c r="EU30" i="80"/>
  <c r="IA30" i="80" s="1"/>
  <c r="ER30" i="80"/>
  <c r="EM30" i="80"/>
  <c r="EL30" i="80"/>
  <c r="EJ30" i="80"/>
  <c r="EI30" i="80"/>
  <c r="EK30" i="80" s="1"/>
  <c r="EH30" i="80"/>
  <c r="EG30" i="80"/>
  <c r="ED30" i="80"/>
  <c r="EA30" i="80"/>
  <c r="DZ30" i="80"/>
  <c r="DW30" i="80"/>
  <c r="DT30" i="80"/>
  <c r="DS30" i="80"/>
  <c r="DP30" i="80"/>
  <c r="DM30" i="80"/>
  <c r="DL30" i="80"/>
  <c r="DI30" i="80"/>
  <c r="DF30" i="80"/>
  <c r="DE30" i="80"/>
  <c r="DB30" i="80"/>
  <c r="CY30" i="80"/>
  <c r="CX30" i="80"/>
  <c r="CU30" i="80"/>
  <c r="CR30" i="80"/>
  <c r="CQ30" i="80"/>
  <c r="CN30" i="80"/>
  <c r="CK30" i="80"/>
  <c r="CJ30" i="80"/>
  <c r="CG30" i="80"/>
  <c r="CD30" i="80"/>
  <c r="CC30" i="80"/>
  <c r="BZ30" i="80"/>
  <c r="BW30" i="80"/>
  <c r="BV30" i="80"/>
  <c r="BS30" i="80"/>
  <c r="BP30" i="80"/>
  <c r="BO30" i="80"/>
  <c r="BL30" i="80"/>
  <c r="BI30" i="80"/>
  <c r="EO30" i="80" s="1"/>
  <c r="BH30" i="80"/>
  <c r="EN30" i="80" s="1"/>
  <c r="BE30" i="80"/>
  <c r="AZ30" i="80"/>
  <c r="IG30" i="80" s="1"/>
  <c r="AY30" i="80"/>
  <c r="IF30" i="80" s="1"/>
  <c r="Y30" i="80" s="1"/>
  <c r="Z30" i="80" s="1"/>
  <c r="AX30" i="80"/>
  <c r="AW30" i="80"/>
  <c r="ID30" i="80" s="1"/>
  <c r="AV30" i="80"/>
  <c r="IC30" i="80" s="1"/>
  <c r="IE30" i="80" s="1"/>
  <c r="AU30" i="80"/>
  <c r="BB30" i="80" s="1"/>
  <c r="II30" i="80" s="1"/>
  <c r="AT30" i="80"/>
  <c r="AQ30" i="80"/>
  <c r="AN30" i="80"/>
  <c r="AM30" i="80"/>
  <c r="AJ30" i="80"/>
  <c r="AG30" i="80"/>
  <c r="AF30" i="80"/>
  <c r="BA30" i="80" s="1"/>
  <c r="AC30" i="80"/>
  <c r="X30" i="80"/>
  <c r="K30" i="80"/>
  <c r="HZ29" i="80"/>
  <c r="HY29" i="80"/>
  <c r="HX29" i="80"/>
  <c r="HW29" i="80"/>
  <c r="HV29" i="80"/>
  <c r="HU29" i="80"/>
  <c r="HT29" i="80"/>
  <c r="HQ29" i="80"/>
  <c r="HN29" i="80"/>
  <c r="HM29" i="80"/>
  <c r="HJ29" i="80"/>
  <c r="HG29" i="80"/>
  <c r="HF29" i="80"/>
  <c r="HC29" i="80"/>
  <c r="GZ29" i="80"/>
  <c r="GY29" i="80"/>
  <c r="GV29" i="80"/>
  <c r="GS29" i="80"/>
  <c r="GR29" i="80"/>
  <c r="GO29" i="80"/>
  <c r="GL29" i="80"/>
  <c r="GK29" i="80"/>
  <c r="GH29" i="80"/>
  <c r="GE29" i="80"/>
  <c r="GD29" i="80"/>
  <c r="GA29" i="80"/>
  <c r="FX29" i="80"/>
  <c r="FW29" i="80"/>
  <c r="FT29" i="80"/>
  <c r="FQ29" i="80"/>
  <c r="FP29" i="80"/>
  <c r="FM29" i="80"/>
  <c r="FJ29" i="80"/>
  <c r="FI29" i="80"/>
  <c r="FF29" i="80"/>
  <c r="FC29" i="80"/>
  <c r="FB29" i="80"/>
  <c r="EY29" i="80"/>
  <c r="EV29" i="80"/>
  <c r="IB29" i="80" s="1"/>
  <c r="EU29" i="80"/>
  <c r="IA29" i="80" s="1"/>
  <c r="ER29" i="80"/>
  <c r="EM29" i="80"/>
  <c r="EL29" i="80"/>
  <c r="EJ29" i="80"/>
  <c r="EI29" i="80"/>
  <c r="EK29" i="80" s="1"/>
  <c r="EH29" i="80"/>
  <c r="EG29" i="80"/>
  <c r="ED29" i="80"/>
  <c r="EA29" i="80"/>
  <c r="DZ29" i="80"/>
  <c r="DW29" i="80"/>
  <c r="DT29" i="80"/>
  <c r="DS29" i="80"/>
  <c r="DP29" i="80"/>
  <c r="DM29" i="80"/>
  <c r="DL29" i="80"/>
  <c r="DI29" i="80"/>
  <c r="DF29" i="80"/>
  <c r="DE29" i="80"/>
  <c r="DB29" i="80"/>
  <c r="CY29" i="80"/>
  <c r="CX29" i="80"/>
  <c r="CU29" i="80"/>
  <c r="CR29" i="80"/>
  <c r="CQ29" i="80"/>
  <c r="CN29" i="80"/>
  <c r="CK29" i="80"/>
  <c r="CJ29" i="80"/>
  <c r="CG29" i="80"/>
  <c r="CD29" i="80"/>
  <c r="CC29" i="80"/>
  <c r="BZ29" i="80"/>
  <c r="BW29" i="80"/>
  <c r="BV29" i="80"/>
  <c r="BS29" i="80"/>
  <c r="BP29" i="80"/>
  <c r="BO29" i="80"/>
  <c r="BL29" i="80"/>
  <c r="BI29" i="80"/>
  <c r="EO29" i="80" s="1"/>
  <c r="BH29" i="80"/>
  <c r="EN29" i="80" s="1"/>
  <c r="BE29" i="80"/>
  <c r="AZ29" i="80"/>
  <c r="IG29" i="80" s="1"/>
  <c r="AY29" i="80"/>
  <c r="IF29" i="80" s="1"/>
  <c r="Y29" i="80" s="1"/>
  <c r="AW29" i="80"/>
  <c r="ID29" i="80" s="1"/>
  <c r="AV29" i="80"/>
  <c r="AX29" i="80" s="1"/>
  <c r="AU29" i="80"/>
  <c r="AT29" i="80"/>
  <c r="AQ29" i="80"/>
  <c r="AN29" i="80"/>
  <c r="BB29" i="80" s="1"/>
  <c r="AM29" i="80"/>
  <c r="AJ29" i="80"/>
  <c r="AG29" i="80"/>
  <c r="AF29" i="80"/>
  <c r="BA29" i="80" s="1"/>
  <c r="IH29" i="80" s="1"/>
  <c r="AC29" i="80"/>
  <c r="X29" i="80"/>
  <c r="Z29" i="80" s="1"/>
  <c r="K29" i="80"/>
  <c r="HZ28" i="80"/>
  <c r="HY28" i="80"/>
  <c r="HX28" i="80"/>
  <c r="HW28" i="80"/>
  <c r="HV28" i="80"/>
  <c r="HU28" i="80"/>
  <c r="HT28" i="80"/>
  <c r="HQ28" i="80"/>
  <c r="HN28" i="80"/>
  <c r="HM28" i="80"/>
  <c r="HJ28" i="80"/>
  <c r="HG28" i="80"/>
  <c r="HF28" i="80"/>
  <c r="HC28" i="80"/>
  <c r="GZ28" i="80"/>
  <c r="GY28" i="80"/>
  <c r="GV28" i="80"/>
  <c r="GS28" i="80"/>
  <c r="GR28" i="80"/>
  <c r="GO28" i="80"/>
  <c r="GL28" i="80"/>
  <c r="GK28" i="80"/>
  <c r="GH28" i="80"/>
  <c r="GE28" i="80"/>
  <c r="GD28" i="80"/>
  <c r="GA28" i="80"/>
  <c r="FX28" i="80"/>
  <c r="FW28" i="80"/>
  <c r="FT28" i="80"/>
  <c r="FQ28" i="80"/>
  <c r="FP28" i="80"/>
  <c r="FM28" i="80"/>
  <c r="FJ28" i="80"/>
  <c r="FI28" i="80"/>
  <c r="FF28" i="80"/>
  <c r="FC28" i="80"/>
  <c r="FB28" i="80"/>
  <c r="EY28" i="80"/>
  <c r="EV28" i="80"/>
  <c r="IB28" i="80" s="1"/>
  <c r="EU28" i="80"/>
  <c r="IA28" i="80" s="1"/>
  <c r="ER28" i="80"/>
  <c r="EM28" i="80"/>
  <c r="EL28" i="80"/>
  <c r="EJ28" i="80"/>
  <c r="EK28" i="80" s="1"/>
  <c r="EI28" i="80"/>
  <c r="EH28" i="80"/>
  <c r="EG28" i="80"/>
  <c r="ED28" i="80"/>
  <c r="EA28" i="80"/>
  <c r="DZ28" i="80"/>
  <c r="DW28" i="80"/>
  <c r="DT28" i="80"/>
  <c r="DS28" i="80"/>
  <c r="DP28" i="80"/>
  <c r="DM28" i="80"/>
  <c r="DL28" i="80"/>
  <c r="DI28" i="80"/>
  <c r="DF28" i="80"/>
  <c r="DE28" i="80"/>
  <c r="DB28" i="80"/>
  <c r="CY28" i="80"/>
  <c r="CX28" i="80"/>
  <c r="CU28" i="80"/>
  <c r="CR28" i="80"/>
  <c r="CQ28" i="80"/>
  <c r="CN28" i="80"/>
  <c r="CK28" i="80"/>
  <c r="CJ28" i="80"/>
  <c r="CG28" i="80"/>
  <c r="CD28" i="80"/>
  <c r="CC28" i="80"/>
  <c r="BZ28" i="80"/>
  <c r="BW28" i="80"/>
  <c r="BV28" i="80"/>
  <c r="BS28" i="80"/>
  <c r="BP28" i="80"/>
  <c r="BO28" i="80"/>
  <c r="BL28" i="80"/>
  <c r="BI28" i="80"/>
  <c r="EO28" i="80" s="1"/>
  <c r="BH28" i="80"/>
  <c r="EN28" i="80" s="1"/>
  <c r="BE28" i="80"/>
  <c r="AZ28" i="80"/>
  <c r="IG28" i="80" s="1"/>
  <c r="AY28" i="80"/>
  <c r="IF28" i="80" s="1"/>
  <c r="Y28" i="80" s="1"/>
  <c r="Z28" i="80" s="1"/>
  <c r="AW28" i="80"/>
  <c r="ID28" i="80" s="1"/>
  <c r="AU28" i="80"/>
  <c r="AO28" i="80"/>
  <c r="AQ28" i="80" s="1"/>
  <c r="AQ18" i="80" s="1"/>
  <c r="AN28" i="80"/>
  <c r="AM28" i="80"/>
  <c r="AJ28" i="80"/>
  <c r="AG28" i="80"/>
  <c r="BB28" i="80" s="1"/>
  <c r="II28" i="80" s="1"/>
  <c r="AF28" i="80"/>
  <c r="AC28" i="80"/>
  <c r="X28" i="80"/>
  <c r="K28" i="80"/>
  <c r="HZ27" i="80"/>
  <c r="HY27" i="80"/>
  <c r="HW27" i="80"/>
  <c r="HV27" i="80"/>
  <c r="HX27" i="80" s="1"/>
  <c r="HU27" i="80"/>
  <c r="HT27" i="80"/>
  <c r="HQ27" i="80"/>
  <c r="HN27" i="80"/>
  <c r="HM27" i="80"/>
  <c r="HJ27" i="80"/>
  <c r="HG27" i="80"/>
  <c r="HF27" i="80"/>
  <c r="HC27" i="80"/>
  <c r="GZ27" i="80"/>
  <c r="GY27" i="80"/>
  <c r="GV27" i="80"/>
  <c r="GS27" i="80"/>
  <c r="GR27" i="80"/>
  <c r="GO27" i="80"/>
  <c r="GL27" i="80"/>
  <c r="GK27" i="80"/>
  <c r="GH27" i="80"/>
  <c r="GE27" i="80"/>
  <c r="GD27" i="80"/>
  <c r="GA27" i="80"/>
  <c r="FX27" i="80"/>
  <c r="FW27" i="80"/>
  <c r="FT27" i="80"/>
  <c r="FQ27" i="80"/>
  <c r="FP27" i="80"/>
  <c r="FM27" i="80"/>
  <c r="FJ27" i="80"/>
  <c r="FI27" i="80"/>
  <c r="FF27" i="80"/>
  <c r="FC27" i="80"/>
  <c r="FB27" i="80"/>
  <c r="EY27" i="80"/>
  <c r="EV27" i="80"/>
  <c r="IB27" i="80" s="1"/>
  <c r="EU27" i="80"/>
  <c r="IA27" i="80" s="1"/>
  <c r="ER27" i="80"/>
  <c r="EM27" i="80"/>
  <c r="EL27" i="80"/>
  <c r="EJ27" i="80"/>
  <c r="EI27" i="80"/>
  <c r="EK27" i="80" s="1"/>
  <c r="EH27" i="80"/>
  <c r="EG27" i="80"/>
  <c r="ED27" i="80"/>
  <c r="EA27" i="80"/>
  <c r="DZ27" i="80"/>
  <c r="DW27" i="80"/>
  <c r="DT27" i="80"/>
  <c r="DS27" i="80"/>
  <c r="DP27" i="80"/>
  <c r="DM27" i="80"/>
  <c r="DL27" i="80"/>
  <c r="DI27" i="80"/>
  <c r="DF27" i="80"/>
  <c r="DE27" i="80"/>
  <c r="DB27" i="80"/>
  <c r="CY27" i="80"/>
  <c r="CX27" i="80"/>
  <c r="CU27" i="80"/>
  <c r="CR27" i="80"/>
  <c r="CQ27" i="80"/>
  <c r="CN27" i="80"/>
  <c r="CK27" i="80"/>
  <c r="CJ27" i="80"/>
  <c r="CG27" i="80"/>
  <c r="CD27" i="80"/>
  <c r="CC27" i="80"/>
  <c r="BZ27" i="80"/>
  <c r="BW27" i="80"/>
  <c r="BV27" i="80"/>
  <c r="BS27" i="80"/>
  <c r="BP27" i="80"/>
  <c r="BO27" i="80"/>
  <c r="BL27" i="80"/>
  <c r="BI27" i="80"/>
  <c r="EO27" i="80" s="1"/>
  <c r="BH27" i="80"/>
  <c r="EN27" i="80" s="1"/>
  <c r="BE27" i="80"/>
  <c r="BB27" i="80"/>
  <c r="II27" i="80" s="1"/>
  <c r="AZ27" i="80"/>
  <c r="IG27" i="80" s="1"/>
  <c r="AY27" i="80"/>
  <c r="IF27" i="80" s="1"/>
  <c r="Y27" i="80" s="1"/>
  <c r="AW27" i="80"/>
  <c r="ID27" i="80" s="1"/>
  <c r="AU27" i="80"/>
  <c r="AT27" i="80"/>
  <c r="AQ27" i="80"/>
  <c r="AO27" i="80"/>
  <c r="AV27" i="80" s="1"/>
  <c r="AN27" i="80"/>
  <c r="AM27" i="80"/>
  <c r="AJ27" i="80"/>
  <c r="AG27" i="80"/>
  <c r="AF27" i="80"/>
  <c r="BA27" i="80" s="1"/>
  <c r="IH27" i="80" s="1"/>
  <c r="AC27" i="80"/>
  <c r="X27" i="80"/>
  <c r="Z27" i="80" s="1"/>
  <c r="K27" i="80"/>
  <c r="IF26" i="80"/>
  <c r="HZ26" i="80"/>
  <c r="HY26" i="80"/>
  <c r="HX26" i="80"/>
  <c r="HW26" i="80"/>
  <c r="HV26" i="80"/>
  <c r="HU26" i="80"/>
  <c r="HT26" i="80"/>
  <c r="HQ26" i="80"/>
  <c r="HN26" i="80"/>
  <c r="HM26" i="80"/>
  <c r="HJ26" i="80"/>
  <c r="HG26" i="80"/>
  <c r="HF26" i="80"/>
  <c r="HC26" i="80"/>
  <c r="GZ26" i="80"/>
  <c r="GY26" i="80"/>
  <c r="GV26" i="80"/>
  <c r="GS26" i="80"/>
  <c r="GR26" i="80"/>
  <c r="GO26" i="80"/>
  <c r="GL26" i="80"/>
  <c r="GK26" i="80"/>
  <c r="GH26" i="80"/>
  <c r="GE26" i="80"/>
  <c r="GD26" i="80"/>
  <c r="GA26" i="80"/>
  <c r="FX26" i="80"/>
  <c r="FW26" i="80"/>
  <c r="FT26" i="80"/>
  <c r="FQ26" i="80"/>
  <c r="FP26" i="80"/>
  <c r="FM26" i="80"/>
  <c r="FJ26" i="80"/>
  <c r="FI26" i="80"/>
  <c r="FF26" i="80"/>
  <c r="FC26" i="80"/>
  <c r="FB26" i="80"/>
  <c r="EY26" i="80"/>
  <c r="EV26" i="80"/>
  <c r="IB26" i="80" s="1"/>
  <c r="EU26" i="80"/>
  <c r="IA26" i="80" s="1"/>
  <c r="ER26" i="80"/>
  <c r="EM26" i="80"/>
  <c r="EL26" i="80"/>
  <c r="EJ26" i="80"/>
  <c r="EK26" i="80" s="1"/>
  <c r="EI26" i="80"/>
  <c r="EH26" i="80"/>
  <c r="EG26" i="80"/>
  <c r="ED26" i="80"/>
  <c r="EA26" i="80"/>
  <c r="DZ26" i="80"/>
  <c r="DW26" i="80"/>
  <c r="DT26" i="80"/>
  <c r="DS26" i="80"/>
  <c r="DP26" i="80"/>
  <c r="DM26" i="80"/>
  <c r="DL26" i="80"/>
  <c r="DI26" i="80"/>
  <c r="DF26" i="80"/>
  <c r="DE26" i="80"/>
  <c r="DB26" i="80"/>
  <c r="CY26" i="80"/>
  <c r="CX26" i="80"/>
  <c r="CU26" i="80"/>
  <c r="CR26" i="80"/>
  <c r="CQ26" i="80"/>
  <c r="CN26" i="80"/>
  <c r="CK26" i="80"/>
  <c r="CJ26" i="80"/>
  <c r="CG26" i="80"/>
  <c r="CD26" i="80"/>
  <c r="CC26" i="80"/>
  <c r="BZ26" i="80"/>
  <c r="BW26" i="80"/>
  <c r="BV26" i="80"/>
  <c r="BS26" i="80"/>
  <c r="BP26" i="80"/>
  <c r="BO26" i="80"/>
  <c r="BL26" i="80"/>
  <c r="BI26" i="80"/>
  <c r="EO26" i="80" s="1"/>
  <c r="BH26" i="80"/>
  <c r="EN26" i="80" s="1"/>
  <c r="BE26" i="80"/>
  <c r="AZ26" i="80"/>
  <c r="IG26" i="80" s="1"/>
  <c r="AY26" i="80"/>
  <c r="AW26" i="80"/>
  <c r="ID26" i="80" s="1"/>
  <c r="AV26" i="80"/>
  <c r="IC26" i="80" s="1"/>
  <c r="AU26" i="80"/>
  <c r="AT26" i="80"/>
  <c r="AQ26" i="80"/>
  <c r="AN26" i="80"/>
  <c r="AM26" i="80"/>
  <c r="AJ26" i="80"/>
  <c r="AG26" i="80"/>
  <c r="BB26" i="80" s="1"/>
  <c r="AF26" i="80"/>
  <c r="BA26" i="80" s="1"/>
  <c r="AC26" i="80"/>
  <c r="Y26" i="80"/>
  <c r="X26" i="80"/>
  <c r="Z26" i="80" s="1"/>
  <c r="K26" i="80"/>
  <c r="HZ25" i="80"/>
  <c r="HY25" i="80"/>
  <c r="HW25" i="80"/>
  <c r="HV25" i="80"/>
  <c r="HX25" i="80" s="1"/>
  <c r="HU25" i="80"/>
  <c r="HT25" i="80"/>
  <c r="HQ25" i="80"/>
  <c r="HN25" i="80"/>
  <c r="HM25" i="80"/>
  <c r="HJ25" i="80"/>
  <c r="HG25" i="80"/>
  <c r="HF25" i="80"/>
  <c r="HC25" i="80"/>
  <c r="GZ25" i="80"/>
  <c r="GY25" i="80"/>
  <c r="GV25" i="80"/>
  <c r="GS25" i="80"/>
  <c r="GR25" i="80"/>
  <c r="GO25" i="80"/>
  <c r="GL25" i="80"/>
  <c r="GK25" i="80"/>
  <c r="GH25" i="80"/>
  <c r="GE25" i="80"/>
  <c r="GD25" i="80"/>
  <c r="GA25" i="80"/>
  <c r="FX25" i="80"/>
  <c r="FW25" i="80"/>
  <c r="FT25" i="80"/>
  <c r="FQ25" i="80"/>
  <c r="FP25" i="80"/>
  <c r="FM25" i="80"/>
  <c r="FJ25" i="80"/>
  <c r="FI25" i="80"/>
  <c r="FF25" i="80"/>
  <c r="FC25" i="80"/>
  <c r="FB25" i="80"/>
  <c r="EY25" i="80"/>
  <c r="EV25" i="80"/>
  <c r="IB25" i="80" s="1"/>
  <c r="EU25" i="80"/>
  <c r="IA25" i="80" s="1"/>
  <c r="ER25" i="80"/>
  <c r="EM25" i="80"/>
  <c r="EL25" i="80"/>
  <c r="IF25" i="80" s="1"/>
  <c r="Y25" i="80" s="1"/>
  <c r="Z25" i="80" s="1"/>
  <c r="EK25" i="80"/>
  <c r="EJ25" i="80"/>
  <c r="EI25" i="80"/>
  <c r="EH25" i="80"/>
  <c r="EG25" i="80"/>
  <c r="ED25" i="80"/>
  <c r="EA25" i="80"/>
  <c r="DZ25" i="80"/>
  <c r="DW25" i="80"/>
  <c r="DT25" i="80"/>
  <c r="DS25" i="80"/>
  <c r="DP25" i="80"/>
  <c r="DM25" i="80"/>
  <c r="DL25" i="80"/>
  <c r="DI25" i="80"/>
  <c r="DF25" i="80"/>
  <c r="DE25" i="80"/>
  <c r="DB25" i="80"/>
  <c r="CY25" i="80"/>
  <c r="CX25" i="80"/>
  <c r="CU25" i="80"/>
  <c r="CR25" i="80"/>
  <c r="CQ25" i="80"/>
  <c r="CN25" i="80"/>
  <c r="CK25" i="80"/>
  <c r="CJ25" i="80"/>
  <c r="CG25" i="80"/>
  <c r="CD25" i="80"/>
  <c r="CC25" i="80"/>
  <c r="BZ25" i="80"/>
  <c r="BW25" i="80"/>
  <c r="BV25" i="80"/>
  <c r="BS25" i="80"/>
  <c r="BP25" i="80"/>
  <c r="BO25" i="80"/>
  <c r="BL25" i="80"/>
  <c r="BI25" i="80"/>
  <c r="EO25" i="80" s="1"/>
  <c r="BH25" i="80"/>
  <c r="EN25" i="80" s="1"/>
  <c r="BE25" i="80"/>
  <c r="BA25" i="80"/>
  <c r="IH25" i="80" s="1"/>
  <c r="AZ25" i="80"/>
  <c r="IG25" i="80" s="1"/>
  <c r="AY25" i="80"/>
  <c r="AW25" i="80"/>
  <c r="ID25" i="80" s="1"/>
  <c r="AV25" i="80"/>
  <c r="IC25" i="80" s="1"/>
  <c r="IE25" i="80" s="1"/>
  <c r="AU25" i="80"/>
  <c r="AT25" i="80"/>
  <c r="AQ25" i="80"/>
  <c r="AN25" i="80"/>
  <c r="AM25" i="80"/>
  <c r="AJ25" i="80"/>
  <c r="AG25" i="80"/>
  <c r="BB25" i="80" s="1"/>
  <c r="AF25" i="80"/>
  <c r="AC25" i="80"/>
  <c r="X25" i="80"/>
  <c r="K25" i="80"/>
  <c r="HZ24" i="80"/>
  <c r="HY24" i="80"/>
  <c r="HW24" i="80"/>
  <c r="HV24" i="80"/>
  <c r="HX24" i="80" s="1"/>
  <c r="HU24" i="80"/>
  <c r="HT24" i="80"/>
  <c r="HQ24" i="80"/>
  <c r="HN24" i="80"/>
  <c r="HM24" i="80"/>
  <c r="HJ24" i="80"/>
  <c r="HG24" i="80"/>
  <c r="HF24" i="80"/>
  <c r="HC24" i="80"/>
  <c r="GZ24" i="80"/>
  <c r="GY24" i="80"/>
  <c r="GV24" i="80"/>
  <c r="GS24" i="80"/>
  <c r="GR24" i="80"/>
  <c r="GO24" i="80"/>
  <c r="GL24" i="80"/>
  <c r="GK24" i="80"/>
  <c r="GH24" i="80"/>
  <c r="GE24" i="80"/>
  <c r="GD24" i="80"/>
  <c r="GA24" i="80"/>
  <c r="FX24" i="80"/>
  <c r="FW24" i="80"/>
  <c r="FT24" i="80"/>
  <c r="FQ24" i="80"/>
  <c r="FP24" i="80"/>
  <c r="FM24" i="80"/>
  <c r="FJ24" i="80"/>
  <c r="FI24" i="80"/>
  <c r="FF24" i="80"/>
  <c r="FC24" i="80"/>
  <c r="FB24" i="80"/>
  <c r="EY24" i="80"/>
  <c r="EV24" i="80"/>
  <c r="IB24" i="80" s="1"/>
  <c r="EU24" i="80"/>
  <c r="IA24" i="80" s="1"/>
  <c r="ER24" i="80"/>
  <c r="EM24" i="80"/>
  <c r="IG24" i="80" s="1"/>
  <c r="EL24" i="80"/>
  <c r="EJ24" i="80"/>
  <c r="EI24" i="80"/>
  <c r="EK24" i="80" s="1"/>
  <c r="EH24" i="80"/>
  <c r="EG24" i="80"/>
  <c r="ED24" i="80"/>
  <c r="EA24" i="80"/>
  <c r="DZ24" i="80"/>
  <c r="DW24" i="80"/>
  <c r="DT24" i="80"/>
  <c r="DS24" i="80"/>
  <c r="DP24" i="80"/>
  <c r="DM24" i="80"/>
  <c r="DL24" i="80"/>
  <c r="DI24" i="80"/>
  <c r="DF24" i="80"/>
  <c r="DE24" i="80"/>
  <c r="DB24" i="80"/>
  <c r="CY24" i="80"/>
  <c r="CX24" i="80"/>
  <c r="CU24" i="80"/>
  <c r="CR24" i="80"/>
  <c r="CQ24" i="80"/>
  <c r="CN24" i="80"/>
  <c r="CK24" i="80"/>
  <c r="CJ24" i="80"/>
  <c r="CG24" i="80"/>
  <c r="CD24" i="80"/>
  <c r="CC24" i="80"/>
  <c r="BZ24" i="80"/>
  <c r="BW24" i="80"/>
  <c r="BV24" i="80"/>
  <c r="BS24" i="80"/>
  <c r="BP24" i="80"/>
  <c r="BO24" i="80"/>
  <c r="BL24" i="80"/>
  <c r="BI24" i="80"/>
  <c r="EO24" i="80" s="1"/>
  <c r="BH24" i="80"/>
  <c r="EN24" i="80" s="1"/>
  <c r="BE24" i="80"/>
  <c r="AZ24" i="80"/>
  <c r="AY24" i="80"/>
  <c r="IF24" i="80" s="1"/>
  <c r="Y24" i="80" s="1"/>
  <c r="AU24" i="80"/>
  <c r="AT24" i="80"/>
  <c r="AQ24" i="80"/>
  <c r="AN24" i="80"/>
  <c r="AM24" i="80"/>
  <c r="AJ24" i="80"/>
  <c r="W24" i="80"/>
  <c r="V24" i="80"/>
  <c r="U24" i="80"/>
  <c r="T24" i="80"/>
  <c r="S24" i="80"/>
  <c r="R24" i="80"/>
  <c r="Q24" i="80"/>
  <c r="P24" i="80"/>
  <c r="O24" i="80"/>
  <c r="N24" i="80"/>
  <c r="M24" i="80"/>
  <c r="X24" i="80" s="1"/>
  <c r="L24" i="80"/>
  <c r="AB24" i="80" s="1"/>
  <c r="K24" i="80"/>
  <c r="HZ23" i="80"/>
  <c r="HY23" i="80"/>
  <c r="HW23" i="80"/>
  <c r="HV23" i="80"/>
  <c r="HX23" i="80" s="1"/>
  <c r="HU23" i="80"/>
  <c r="HT23" i="80"/>
  <c r="HQ23" i="80"/>
  <c r="HN23" i="80"/>
  <c r="HM23" i="80"/>
  <c r="HJ23" i="80"/>
  <c r="HG23" i="80"/>
  <c r="HF23" i="80"/>
  <c r="HC23" i="80"/>
  <c r="GZ23" i="80"/>
  <c r="GY23" i="80"/>
  <c r="GV23" i="80"/>
  <c r="GS23" i="80"/>
  <c r="GR23" i="80"/>
  <c r="GO23" i="80"/>
  <c r="GL23" i="80"/>
  <c r="GK23" i="80"/>
  <c r="GH23" i="80"/>
  <c r="GE23" i="80"/>
  <c r="GD23" i="80"/>
  <c r="GA23" i="80"/>
  <c r="FX23" i="80"/>
  <c r="FW23" i="80"/>
  <c r="FT23" i="80"/>
  <c r="FQ23" i="80"/>
  <c r="FP23" i="80"/>
  <c r="FM23" i="80"/>
  <c r="FJ23" i="80"/>
  <c r="FI23" i="80"/>
  <c r="FF23" i="80"/>
  <c r="FC23" i="80"/>
  <c r="FB23" i="80"/>
  <c r="EY23" i="80"/>
  <c r="EV23" i="80"/>
  <c r="IB23" i="80" s="1"/>
  <c r="EU23" i="80"/>
  <c r="IA23" i="80" s="1"/>
  <c r="ER23" i="80"/>
  <c r="EM23" i="80"/>
  <c r="EL23" i="80"/>
  <c r="IF23" i="80" s="1"/>
  <c r="EK23" i="80"/>
  <c r="EJ23" i="80"/>
  <c r="EI23" i="80"/>
  <c r="EH23" i="80"/>
  <c r="EG23" i="80"/>
  <c r="ED23" i="80"/>
  <c r="EA23" i="80"/>
  <c r="DZ23" i="80"/>
  <c r="DW23" i="80"/>
  <c r="DT23" i="80"/>
  <c r="DS23" i="80"/>
  <c r="DP23" i="80"/>
  <c r="DM23" i="80"/>
  <c r="DL23" i="80"/>
  <c r="DI23" i="80"/>
  <c r="DF23" i="80"/>
  <c r="DE23" i="80"/>
  <c r="DB23" i="80"/>
  <c r="CY23" i="80"/>
  <c r="CX23" i="80"/>
  <c r="CU23" i="80"/>
  <c r="CR23" i="80"/>
  <c r="CQ23" i="80"/>
  <c r="CN23" i="80"/>
  <c r="CK23" i="80"/>
  <c r="CJ23" i="80"/>
  <c r="CG23" i="80"/>
  <c r="CD23" i="80"/>
  <c r="CC23" i="80"/>
  <c r="BZ23" i="80"/>
  <c r="BW23" i="80"/>
  <c r="BV23" i="80"/>
  <c r="BS23" i="80"/>
  <c r="BP23" i="80"/>
  <c r="BO23" i="80"/>
  <c r="BL23" i="80"/>
  <c r="BI23" i="80"/>
  <c r="EO23" i="80" s="1"/>
  <c r="BH23" i="80"/>
  <c r="EN23" i="80" s="1"/>
  <c r="BE23" i="80"/>
  <c r="BA23" i="80"/>
  <c r="AZ23" i="80"/>
  <c r="IG23" i="80" s="1"/>
  <c r="AY23" i="80"/>
  <c r="AW23" i="80"/>
  <c r="ID23" i="80" s="1"/>
  <c r="AV23" i="80"/>
  <c r="IC23" i="80" s="1"/>
  <c r="AU23" i="80"/>
  <c r="AT23" i="80"/>
  <c r="AQ23" i="80"/>
  <c r="AN23" i="80"/>
  <c r="AM23" i="80"/>
  <c r="AJ23" i="80"/>
  <c r="AG23" i="80"/>
  <c r="BB23" i="80" s="1"/>
  <c r="AF23" i="80"/>
  <c r="AC23" i="80"/>
  <c r="X23" i="80"/>
  <c r="Z23" i="80" s="1"/>
  <c r="L23" i="80"/>
  <c r="K23" i="80"/>
  <c r="HZ22" i="80"/>
  <c r="HY22" i="80"/>
  <c r="HY18" i="80" s="1"/>
  <c r="HW22" i="80"/>
  <c r="HV22" i="80"/>
  <c r="HX22" i="80" s="1"/>
  <c r="HU22" i="80"/>
  <c r="HU18" i="80" s="1"/>
  <c r="HT22" i="80"/>
  <c r="HQ22" i="80"/>
  <c r="HQ18" i="80" s="1"/>
  <c r="HN22" i="80"/>
  <c r="HM22" i="80"/>
  <c r="HM18" i="80" s="1"/>
  <c r="HJ22" i="80"/>
  <c r="HG22" i="80"/>
  <c r="HF22" i="80"/>
  <c r="HC22" i="80"/>
  <c r="GZ22" i="80"/>
  <c r="GY22" i="80"/>
  <c r="GV22" i="80"/>
  <c r="GS22" i="80"/>
  <c r="GR22" i="80"/>
  <c r="GO22" i="80"/>
  <c r="GL22" i="80"/>
  <c r="GK22" i="80"/>
  <c r="GH22" i="80"/>
  <c r="GE22" i="80"/>
  <c r="GD22" i="80"/>
  <c r="GA22" i="80"/>
  <c r="FX22" i="80"/>
  <c r="FW22" i="80"/>
  <c r="FT22" i="80"/>
  <c r="FQ22" i="80"/>
  <c r="FP22" i="80"/>
  <c r="FM22" i="80"/>
  <c r="FJ22" i="80"/>
  <c r="FI22" i="80"/>
  <c r="FF22" i="80"/>
  <c r="FC22" i="80"/>
  <c r="FB22" i="80"/>
  <c r="EY22" i="80"/>
  <c r="EV22" i="80"/>
  <c r="IB22" i="80" s="1"/>
  <c r="IB18" i="80" s="1"/>
  <c r="EU22" i="80"/>
  <c r="IA22" i="80" s="1"/>
  <c r="IA18" i="80" s="1"/>
  <c r="ER22" i="80"/>
  <c r="EM22" i="80"/>
  <c r="IG22" i="80" s="1"/>
  <c r="IG18" i="80" s="1"/>
  <c r="EL22" i="80"/>
  <c r="EJ22" i="80"/>
  <c r="EI22" i="80"/>
  <c r="IC22" i="80" s="1"/>
  <c r="EH22" i="80"/>
  <c r="EG22" i="80"/>
  <c r="ED22" i="80"/>
  <c r="EA22" i="80"/>
  <c r="DZ22" i="80"/>
  <c r="DW22" i="80"/>
  <c r="DT22" i="80"/>
  <c r="DS22" i="80"/>
  <c r="DP22" i="80"/>
  <c r="DM22" i="80"/>
  <c r="DL22" i="80"/>
  <c r="DI22" i="80"/>
  <c r="DF22" i="80"/>
  <c r="DE22" i="80"/>
  <c r="DB22" i="80"/>
  <c r="CY22" i="80"/>
  <c r="CX22" i="80"/>
  <c r="CU22" i="80"/>
  <c r="CR22" i="80"/>
  <c r="CQ22" i="80"/>
  <c r="CN22" i="80"/>
  <c r="CK22" i="80"/>
  <c r="CJ22" i="80"/>
  <c r="CG22" i="80"/>
  <c r="CD22" i="80"/>
  <c r="CC22" i="80"/>
  <c r="BZ22" i="80"/>
  <c r="BW22" i="80"/>
  <c r="BV22" i="80"/>
  <c r="BS22" i="80"/>
  <c r="BP22" i="80"/>
  <c r="BO22" i="80"/>
  <c r="BL22" i="80"/>
  <c r="BI22" i="80"/>
  <c r="EO22" i="80" s="1"/>
  <c r="BH22" i="80"/>
  <c r="EN22" i="80" s="1"/>
  <c r="EN18" i="80" s="1"/>
  <c r="BE22" i="80"/>
  <c r="BB22" i="80"/>
  <c r="AZ22" i="80"/>
  <c r="AY22" i="80"/>
  <c r="IF22" i="80" s="1"/>
  <c r="AX22" i="80"/>
  <c r="AW22" i="80"/>
  <c r="ID22" i="80" s="1"/>
  <c r="AV22" i="80"/>
  <c r="AU22" i="80"/>
  <c r="AT22" i="80"/>
  <c r="AQ22" i="80"/>
  <c r="AN22" i="80"/>
  <c r="AM22" i="80"/>
  <c r="BA22" i="80" s="1"/>
  <c r="AJ22" i="80"/>
  <c r="AG22" i="80"/>
  <c r="AF22" i="80"/>
  <c r="AC22" i="80"/>
  <c r="X22" i="80"/>
  <c r="K22" i="80"/>
  <c r="HZ18" i="80"/>
  <c r="HW18" i="80"/>
  <c r="HV18" i="80"/>
  <c r="HT18" i="80"/>
  <c r="HS18" i="80"/>
  <c r="HR18" i="80"/>
  <c r="HP18" i="80"/>
  <c r="HO18" i="80"/>
  <c r="HN18" i="80"/>
  <c r="HL18" i="80"/>
  <c r="HK18" i="80"/>
  <c r="HJ18" i="80"/>
  <c r="HI18" i="80"/>
  <c r="HH18" i="80"/>
  <c r="HG18" i="80"/>
  <c r="HF18" i="80"/>
  <c r="HE18" i="80"/>
  <c r="HD18" i="80"/>
  <c r="HC18" i="80"/>
  <c r="HB18" i="80"/>
  <c r="HA18" i="80"/>
  <c r="GZ18" i="80"/>
  <c r="GY18" i="80"/>
  <c r="GX18" i="80"/>
  <c r="GW18" i="80"/>
  <c r="GV18" i="80"/>
  <c r="GU18" i="80"/>
  <c r="GT18" i="80"/>
  <c r="GS18" i="80"/>
  <c r="GR18" i="80"/>
  <c r="GQ18" i="80"/>
  <c r="GP18" i="80"/>
  <c r="GO18" i="80"/>
  <c r="GN18" i="80"/>
  <c r="GM18" i="80"/>
  <c r="GL18" i="80"/>
  <c r="GK18" i="80"/>
  <c r="GJ18" i="80"/>
  <c r="GI18" i="80"/>
  <c r="GH18" i="80"/>
  <c r="GG18" i="80"/>
  <c r="GF18" i="80"/>
  <c r="GE18" i="80"/>
  <c r="GD18" i="80"/>
  <c r="GC18" i="80"/>
  <c r="GB18" i="80"/>
  <c r="GA18" i="80"/>
  <c r="FZ18" i="80"/>
  <c r="FY18" i="80"/>
  <c r="FX18" i="80"/>
  <c r="FW18" i="80"/>
  <c r="FV18" i="80"/>
  <c r="FU18" i="80"/>
  <c r="FT18" i="80"/>
  <c r="FS18" i="80"/>
  <c r="FR18" i="80"/>
  <c r="FQ18" i="80"/>
  <c r="FP18" i="80"/>
  <c r="FO18" i="80"/>
  <c r="FN18" i="80"/>
  <c r="FM18" i="80"/>
  <c r="FL18" i="80"/>
  <c r="FK18" i="80"/>
  <c r="FJ18" i="80"/>
  <c r="FI18" i="80"/>
  <c r="FH18" i="80"/>
  <c r="FG18" i="80"/>
  <c r="FF18" i="80"/>
  <c r="FE18" i="80"/>
  <c r="FD18" i="80"/>
  <c r="FC18" i="80"/>
  <c r="FB18" i="80"/>
  <c r="FA18" i="80"/>
  <c r="EZ18" i="80"/>
  <c r="EY18" i="80"/>
  <c r="EX18" i="80"/>
  <c r="EW18" i="80"/>
  <c r="EV18" i="80"/>
  <c r="EU18" i="80"/>
  <c r="ET18" i="80"/>
  <c r="ES18" i="80"/>
  <c r="ER18" i="80"/>
  <c r="EQ18" i="80"/>
  <c r="EP18" i="80"/>
  <c r="EM18" i="80"/>
  <c r="EL18" i="80"/>
  <c r="EI18" i="80"/>
  <c r="EH18" i="80"/>
  <c r="EG18" i="80"/>
  <c r="EF18" i="80"/>
  <c r="EE18" i="80"/>
  <c r="ED18" i="80"/>
  <c r="EC18" i="80"/>
  <c r="EB18" i="80"/>
  <c r="EA18" i="80"/>
  <c r="DZ18" i="80"/>
  <c r="DY18" i="80"/>
  <c r="DX18" i="80"/>
  <c r="DW18" i="80"/>
  <c r="DV18" i="80"/>
  <c r="DU18" i="80"/>
  <c r="DT18" i="80"/>
  <c r="DS18" i="80"/>
  <c r="DR18" i="80"/>
  <c r="DQ18" i="80"/>
  <c r="DP18" i="80"/>
  <c r="DO18" i="80"/>
  <c r="DN18" i="80"/>
  <c r="DM18" i="80"/>
  <c r="DL18" i="80"/>
  <c r="DK18" i="80"/>
  <c r="DJ18" i="80"/>
  <c r="DI18" i="80"/>
  <c r="DH18" i="80"/>
  <c r="DG18" i="80"/>
  <c r="DF18" i="80"/>
  <c r="DE18" i="80"/>
  <c r="DD18" i="80"/>
  <c r="DC18" i="80"/>
  <c r="DB18" i="80"/>
  <c r="DA18" i="80"/>
  <c r="CZ18" i="80"/>
  <c r="CY18" i="80"/>
  <c r="CX18" i="80"/>
  <c r="CW18" i="80"/>
  <c r="CV18" i="80"/>
  <c r="CU18" i="80"/>
  <c r="CT18" i="80"/>
  <c r="CS18" i="80"/>
  <c r="CR18" i="80"/>
  <c r="CQ18" i="80"/>
  <c r="CP18" i="80"/>
  <c r="CO18" i="80"/>
  <c r="CN18" i="80"/>
  <c r="CM18" i="80"/>
  <c r="CL18" i="80"/>
  <c r="CK18" i="80"/>
  <c r="CJ18" i="80"/>
  <c r="CI18" i="80"/>
  <c r="CH18" i="80"/>
  <c r="CG18" i="80"/>
  <c r="CF18" i="80"/>
  <c r="CE18" i="80"/>
  <c r="CD18" i="80"/>
  <c r="CC18" i="80"/>
  <c r="CB18" i="80"/>
  <c r="CA18" i="80"/>
  <c r="BZ18" i="80"/>
  <c r="BY18" i="80"/>
  <c r="BX18" i="80"/>
  <c r="BW18" i="80"/>
  <c r="BV18" i="80"/>
  <c r="BU18" i="80"/>
  <c r="BT18" i="80"/>
  <c r="BS18" i="80"/>
  <c r="BR18" i="80"/>
  <c r="BQ18" i="80"/>
  <c r="BP18" i="80"/>
  <c r="BO18" i="80"/>
  <c r="BN18" i="80"/>
  <c r="BM18" i="80"/>
  <c r="BL18" i="80"/>
  <c r="BK18" i="80"/>
  <c r="BJ18" i="80"/>
  <c r="BH18" i="80"/>
  <c r="BG18" i="80"/>
  <c r="BF18" i="80"/>
  <c r="BC18" i="80"/>
  <c r="AZ18" i="80"/>
  <c r="AY18" i="80"/>
  <c r="AU18" i="80"/>
  <c r="AS18" i="80"/>
  <c r="AR18" i="80"/>
  <c r="AP18" i="80"/>
  <c r="AO18" i="80"/>
  <c r="AN18" i="80"/>
  <c r="AM18" i="80"/>
  <c r="AL18" i="80"/>
  <c r="AK18" i="80"/>
  <c r="AJ18" i="80"/>
  <c r="AI18" i="80"/>
  <c r="AH18" i="80"/>
  <c r="AE18" i="80"/>
  <c r="AD18" i="80"/>
  <c r="W18" i="80"/>
  <c r="U18" i="80"/>
  <c r="S18" i="80"/>
  <c r="Q18" i="80"/>
  <c r="O18" i="80"/>
  <c r="M18" i="80"/>
  <c r="F18" i="80"/>
  <c r="E18" i="80"/>
  <c r="A6" i="80"/>
  <c r="J52" i="67"/>
  <c r="J49" i="67"/>
  <c r="U2" i="43"/>
  <c r="D33" i="43"/>
  <c r="B59" i="1"/>
  <c r="B35" i="1"/>
  <c r="B21" i="1"/>
  <c r="Y6" i="1"/>
  <c r="N6" i="1"/>
  <c r="N19" i="1"/>
  <c r="F19" i="6"/>
  <c r="D3" i="4"/>
  <c r="IH22" i="80" l="1"/>
  <c r="IF18" i="80"/>
  <c r="Y22" i="80"/>
  <c r="II23" i="80"/>
  <c r="II26" i="80"/>
  <c r="AX27" i="80"/>
  <c r="IC27" i="80"/>
  <c r="IE27" i="80" s="1"/>
  <c r="II31" i="80"/>
  <c r="II22" i="80"/>
  <c r="AB18" i="80"/>
  <c r="AW24" i="80"/>
  <c r="AG24" i="80"/>
  <c r="II25" i="80"/>
  <c r="II29" i="80"/>
  <c r="IH30" i="80"/>
  <c r="BE33" i="80"/>
  <c r="BE18" i="80" s="1"/>
  <c r="BD18" i="80"/>
  <c r="BI33" i="80"/>
  <c r="EJ33" i="80"/>
  <c r="EJ18" i="80" s="1"/>
  <c r="IH33" i="80"/>
  <c r="IE22" i="80"/>
  <c r="HX18" i="80"/>
  <c r="IE23" i="80"/>
  <c r="IH23" i="80"/>
  <c r="Z24" i="80"/>
  <c r="X18" i="80"/>
  <c r="IH26" i="80"/>
  <c r="IE26" i="80"/>
  <c r="ID33" i="80"/>
  <c r="IE33" i="80" s="1"/>
  <c r="AX26" i="80"/>
  <c r="AT28" i="80"/>
  <c r="IC29" i="80"/>
  <c r="IE29" i="80" s="1"/>
  <c r="IC31" i="80"/>
  <c r="IE31" i="80" s="1"/>
  <c r="EK22" i="80"/>
  <c r="AA24" i="80"/>
  <c r="IC32" i="80"/>
  <c r="IE32" i="80" s="1"/>
  <c r="AX33" i="80"/>
  <c r="AV28" i="80"/>
  <c r="AX23" i="80"/>
  <c r="AX25" i="80"/>
  <c r="AC24" i="80" l="1"/>
  <c r="AC18" i="80" s="1"/>
  <c r="AV24" i="80"/>
  <c r="AF24" i="80"/>
  <c r="AA18" i="80"/>
  <c r="EK33" i="80"/>
  <c r="Z22" i="80"/>
  <c r="Z18" i="80" s="1"/>
  <c r="Y18" i="80"/>
  <c r="BA28" i="80"/>
  <c r="IH28" i="80" s="1"/>
  <c r="AT18" i="80"/>
  <c r="BB24" i="80"/>
  <c r="AG18" i="80"/>
  <c r="EK18" i="80"/>
  <c r="ID24" i="80"/>
  <c r="ID18" i="80" s="1"/>
  <c r="AW18" i="80"/>
  <c r="IC28" i="80"/>
  <c r="IE28" i="80" s="1"/>
  <c r="AX28" i="80"/>
  <c r="EO33" i="80"/>
  <c r="BI18" i="80"/>
  <c r="EO18" i="80" l="1"/>
  <c r="II33" i="80"/>
  <c r="II24" i="80"/>
  <c r="II18" i="80" s="1"/>
  <c r="BB18" i="80"/>
  <c r="BA24" i="80"/>
  <c r="AF18" i="80"/>
  <c r="AV18" i="80"/>
  <c r="AX24" i="80"/>
  <c r="AX18" i="80" s="1"/>
  <c r="IC24" i="80"/>
  <c r="IE24" i="80" l="1"/>
  <c r="IE18" i="80" s="1"/>
  <c r="IC18" i="80"/>
  <c r="IH24" i="80"/>
  <c r="IH18" i="80" s="1"/>
  <c r="BA18" i="80"/>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13" i="33"/>
  <c r="F37" i="33"/>
  <c r="AA37" i="33" s="1"/>
  <c r="D111" i="33"/>
  <c r="E111" i="33" s="1"/>
  <c r="F111" i="33" s="1"/>
  <c r="G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c r="Q42" i="33"/>
  <c r="Z42" i="33"/>
  <c r="J42" i="33"/>
  <c r="AC42" i="33" s="1"/>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B79" i="43"/>
  <c r="C18" i="20"/>
  <c r="B94" i="43" s="1"/>
  <c r="B73" i="43"/>
  <c r="C17" i="20"/>
  <c r="B61" i="43" s="1"/>
  <c r="C16" i="20"/>
  <c r="C17" i="39"/>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113" i="33" s="1"/>
  <c r="G113" i="33" s="1"/>
  <c r="H113" i="33" s="1"/>
  <c r="I113" i="33" s="1"/>
  <c r="J113" i="33" s="1"/>
  <c r="K113" i="33" s="1"/>
  <c r="L113" i="33" s="1"/>
  <c r="M113" i="33" s="1"/>
  <c r="F32" i="33"/>
  <c r="AA32" i="33" s="1"/>
  <c r="J19" i="33"/>
  <c r="AC19" i="33" s="1"/>
  <c r="J15" i="33"/>
  <c r="W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AB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s="1"/>
  <c r="J14" i="33"/>
  <c r="H30" i="33"/>
  <c r="AB30" i="33" s="1"/>
  <c r="F30" i="33"/>
  <c r="J30" i="33"/>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AA14" i="33"/>
  <c r="J36" i="37"/>
  <c r="AC36" i="37"/>
  <c r="G105" i="37"/>
  <c r="J10" i="36"/>
  <c r="AC10" i="36" s="1"/>
  <c r="AB30" i="21"/>
  <c r="AA14" i="37"/>
  <c r="W31" i="34"/>
  <c r="AC13" i="36"/>
  <c r="W13" i="36"/>
  <c r="S11" i="36"/>
  <c r="AB46" i="34"/>
  <c r="AC30" i="34"/>
  <c r="AA14" i="34"/>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S39" i="33" s="1"/>
  <c r="E123" i="33"/>
  <c r="F42" i="33"/>
  <c r="S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AB41" i="33" s="1"/>
  <c r="J35" i="33"/>
  <c r="W35" i="33" s="1"/>
  <c r="S37" i="33"/>
  <c r="J32" i="33"/>
  <c r="W32" i="33" s="1"/>
  <c r="S46" i="33"/>
  <c r="F19" i="33"/>
  <c r="S19" i="33" s="1"/>
  <c r="J17" i="33"/>
  <c r="W17" i="33" s="1"/>
  <c r="F79" i="33"/>
  <c r="S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8" i="33"/>
  <c r="S33" i="33"/>
  <c r="U44" i="33"/>
  <c r="AB44" i="33"/>
  <c r="S30" i="33"/>
  <c r="AA30" i="33"/>
  <c r="AC14" i="33"/>
  <c r="W14" i="33"/>
  <c r="AC30" i="33"/>
  <c r="W30" i="33"/>
  <c r="S31" i="33"/>
  <c r="AA31" i="33"/>
  <c r="W13" i="33"/>
  <c r="AC13" i="33"/>
  <c r="S11"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H19" i="33"/>
  <c r="AB19" i="33" s="1"/>
  <c r="G79" i="33"/>
  <c r="H17" i="33"/>
  <c r="U17" i="33" s="1"/>
  <c r="F17" i="33"/>
  <c r="AA17" i="33" s="1"/>
  <c r="S37" i="21"/>
  <c r="AA23" i="21"/>
  <c r="AB15" i="21"/>
  <c r="J23" i="21"/>
  <c r="F85" i="21"/>
  <c r="G85" i="21"/>
  <c r="H23" i="21"/>
  <c r="S13" i="21"/>
  <c r="D6" i="52"/>
  <c r="E539" i="3"/>
  <c r="E205" i="3"/>
  <c r="E165" i="3"/>
  <c r="E536" i="3"/>
  <c r="E296" i="3"/>
  <c r="E244" i="3"/>
  <c r="E148" i="3"/>
  <c r="E140" i="3"/>
  <c r="E149" i="3"/>
  <c r="E212" i="3"/>
  <c r="E197" i="3"/>
  <c r="E167" i="3"/>
  <c r="E199" i="3"/>
  <c r="E173" i="3"/>
  <c r="E141" i="3"/>
  <c r="E286" i="3"/>
  <c r="E369" i="3"/>
  <c r="E312" i="3"/>
  <c r="E575" i="3"/>
  <c r="E525" i="3"/>
  <c r="AD6" i="3"/>
  <c r="E499" i="3"/>
  <c r="E534" i="3"/>
  <c r="E542" i="3"/>
  <c r="R6" i="3"/>
  <c r="T6" i="3"/>
  <c r="E552" i="3"/>
  <c r="E502" i="3"/>
  <c r="E405" i="3"/>
  <c r="E421" i="3"/>
  <c r="E442" i="3"/>
  <c r="E456" i="3"/>
  <c r="E464" i="3"/>
  <c r="E466" i="3"/>
  <c r="E469" i="3"/>
  <c r="E487" i="3"/>
  <c r="E541" i="3"/>
  <c r="E512" i="3"/>
  <c r="E398" i="3"/>
  <c r="E430" i="3"/>
  <c r="E408" i="3"/>
  <c r="E416" i="3"/>
  <c r="E449" i="3"/>
  <c r="E451" i="3"/>
  <c r="E459" i="3"/>
  <c r="E255" i="3"/>
  <c r="E360" i="3"/>
  <c r="E374" i="3"/>
  <c r="I3" i="6"/>
  <c r="E556" i="3"/>
  <c r="E566" i="3"/>
  <c r="AP6" i="3"/>
  <c r="E497" i="3"/>
  <c r="E500" i="3"/>
  <c r="E554" i="3"/>
  <c r="E13" i="3"/>
  <c r="E582" i="3"/>
  <c r="E517" i="3"/>
  <c r="E494" i="3"/>
  <c r="E413" i="3"/>
  <c r="E435" i="3"/>
  <c r="E452" i="3"/>
  <c r="E460" i="3"/>
  <c r="E491" i="3"/>
  <c r="E470" i="3"/>
  <c r="E520" i="3"/>
  <c r="E417" i="3"/>
  <c r="E420" i="3"/>
  <c r="E436" i="3"/>
  <c r="E479" i="3"/>
  <c r="E26" i="3"/>
  <c r="E39" i="3"/>
  <c r="E56" i="3"/>
  <c r="E104" i="3"/>
  <c r="E90" i="3"/>
  <c r="E37" i="3"/>
  <c r="E41" i="3"/>
  <c r="E57" i="3"/>
  <c r="E95" i="3"/>
  <c r="E115" i="3"/>
  <c r="E131" i="3"/>
  <c r="E152" i="3"/>
  <c r="E198" i="3"/>
  <c r="E187" i="3"/>
  <c r="E132" i="3"/>
  <c r="E139" i="3"/>
  <c r="E155" i="3"/>
  <c r="E192" i="3"/>
  <c r="E225" i="3"/>
  <c r="E240" i="3"/>
  <c r="E258" i="3"/>
  <c r="E281" i="3"/>
  <c r="E297" i="3"/>
  <c r="E241" i="3"/>
  <c r="E243" i="3"/>
  <c r="E259" i="3"/>
  <c r="E292" i="3"/>
  <c r="E332" i="3"/>
  <c r="E348" i="3"/>
  <c r="E363" i="3"/>
  <c r="E391" i="3"/>
  <c r="E378" i="3"/>
  <c r="E349" i="3"/>
  <c r="E356" i="3"/>
  <c r="E375" i="3"/>
  <c r="E389" i="3"/>
  <c r="AL6" i="3"/>
  <c r="E504" i="3"/>
  <c r="E544" i="3"/>
  <c r="E42" i="3"/>
  <c r="E58" i="3"/>
  <c r="E76" i="3"/>
  <c r="E94" i="3"/>
  <c r="E110" i="3"/>
  <c r="E59" i="3"/>
  <c r="E75" i="3"/>
  <c r="E488" i="3"/>
  <c r="E409" i="3"/>
  <c r="E428" i="3"/>
  <c r="E462" i="3"/>
  <c r="E484" i="3"/>
  <c r="E482" i="3"/>
  <c r="E521" i="3"/>
  <c r="E425" i="3"/>
  <c r="E412" i="3"/>
  <c r="E446" i="3"/>
  <c r="E467" i="3"/>
  <c r="E18" i="3"/>
  <c r="E47" i="3"/>
  <c r="E64" i="3"/>
  <c r="E96" i="3"/>
  <c r="E98" i="3"/>
  <c r="E46" i="3"/>
  <c r="E78" i="3"/>
  <c r="E65" i="3"/>
  <c r="E103" i="3"/>
  <c r="E129" i="3"/>
  <c r="E138" i="3"/>
  <c r="E160" i="3"/>
  <c r="E190" i="3"/>
  <c r="E195" i="3"/>
  <c r="E142" i="3"/>
  <c r="E174" i="3"/>
  <c r="E163" i="3"/>
  <c r="E200" i="3"/>
  <c r="E220" i="3"/>
  <c r="E248" i="3"/>
  <c r="E267" i="3"/>
  <c r="E275" i="3"/>
  <c r="E209" i="3"/>
  <c r="E249" i="3"/>
  <c r="E235" i="3"/>
  <c r="E266" i="3"/>
  <c r="E300" i="3"/>
  <c r="E324" i="3"/>
  <c r="E307" i="3"/>
  <c r="E371" i="3"/>
  <c r="E383" i="3"/>
  <c r="E386" i="3"/>
  <c r="E310" i="3"/>
  <c r="E342" i="3"/>
  <c r="E354" i="3"/>
  <c r="E492" i="3"/>
  <c r="E522" i="3"/>
  <c r="E584" i="3"/>
  <c r="E23" i="3"/>
  <c r="E35" i="3"/>
  <c r="E66" i="3"/>
  <c r="E84" i="3"/>
  <c r="E86" i="3"/>
  <c r="E24" i="3"/>
  <c r="E67" i="3"/>
  <c r="E34" i="3"/>
  <c r="E48" i="3"/>
  <c r="E33" i="3"/>
  <c r="E49" i="3"/>
  <c r="E87" i="3"/>
  <c r="E144" i="3"/>
  <c r="E206" i="3"/>
  <c r="E127" i="3"/>
  <c r="E184" i="3"/>
  <c r="E232" i="3"/>
  <c r="E250" i="3"/>
  <c r="E233" i="3"/>
  <c r="E251" i="3"/>
  <c r="E284" i="3"/>
  <c r="E355" i="3"/>
  <c r="E370" i="3"/>
  <c r="E341" i="3"/>
  <c r="E381" i="3"/>
  <c r="AF6" i="3"/>
  <c r="Y6" i="3"/>
  <c r="E68" i="3"/>
  <c r="E102" i="3"/>
  <c r="E51" i="3"/>
  <c r="E63" i="3"/>
  <c r="E80" i="3"/>
  <c r="E19" i="3"/>
  <c r="E81" i="3"/>
  <c r="E113" i="3"/>
  <c r="E154" i="3"/>
  <c r="E118" i="3"/>
  <c r="E158" i="3"/>
  <c r="E179" i="3"/>
  <c r="E264" i="3"/>
  <c r="E287" i="3"/>
  <c r="E222" i="3"/>
  <c r="E283" i="3"/>
  <c r="E308" i="3"/>
  <c r="E323" i="3"/>
  <c r="E309" i="3"/>
  <c r="E326" i="3"/>
  <c r="E373" i="3"/>
  <c r="E513" i="3"/>
  <c r="E22" i="3"/>
  <c r="E82"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8" i="67"/>
  <c r="L47" i="67"/>
  <c r="M22" i="67"/>
  <c r="E9" i="76"/>
  <c r="F40" i="15"/>
  <c r="M6" i="15"/>
  <c r="F36" i="67"/>
  <c r="F43" i="67"/>
  <c r="D5" i="73"/>
  <c r="M28" i="15"/>
  <c r="F40" i="67"/>
  <c r="M22" i="15"/>
  <c r="F7" i="67"/>
  <c r="E7" i="76"/>
  <c r="L48" i="67"/>
  <c r="F3" i="73"/>
  <c r="E13" i="76"/>
  <c r="F6" i="73"/>
  <c r="M26" i="67"/>
  <c r="F26" i="67"/>
  <c r="F9" i="67"/>
  <c r="D6" i="73"/>
  <c r="F26" i="15"/>
  <c r="E8" i="76"/>
  <c r="J15" i="67"/>
  <c r="C76" i="67"/>
  <c r="L47" i="15"/>
  <c r="D35" i="9"/>
  <c r="E12" i="76"/>
  <c r="E2" i="69"/>
  <c r="M9" i="15"/>
  <c r="F43" i="15"/>
  <c r="B8" i="76"/>
  <c r="F7" i="15"/>
  <c r="F4" i="73"/>
  <c r="F7" i="73"/>
  <c r="F13" i="15"/>
  <c r="F8" i="67"/>
  <c r="B9" i="76"/>
  <c r="B10" i="76"/>
  <c r="M9" i="67"/>
  <c r="F38" i="15"/>
  <c r="M23" i="67"/>
  <c r="F6" i="67"/>
  <c r="E2" i="68"/>
  <c r="M24" i="15"/>
  <c r="M24" i="67"/>
  <c r="D4" i="73"/>
  <c r="F13" i="67"/>
  <c r="F42" i="15"/>
  <c r="F8" i="15"/>
  <c r="M26" i="15"/>
  <c r="F16" i="15"/>
  <c r="M29" i="67"/>
  <c r="F6" i="15"/>
  <c r="M23" i="15"/>
  <c r="F9" i="15"/>
  <c r="C76" i="15"/>
  <c r="M6" i="67"/>
  <c r="B13" i="76"/>
  <c r="F42" i="67"/>
  <c r="AO13" i="1"/>
  <c r="E11" i="76"/>
  <c r="J15" i="15"/>
  <c r="F36" i="15"/>
  <c r="E10" i="76"/>
  <c r="D7" i="73"/>
  <c r="M8" i="67"/>
  <c r="D34" i="9"/>
  <c r="D3" i="73"/>
  <c r="F5" i="73"/>
  <c r="B12" i="76"/>
  <c r="F20" i="31"/>
  <c r="M8" i="15"/>
  <c r="F37" i="67"/>
  <c r="L48" i="15"/>
  <c r="F16" i="67"/>
  <c r="M28" i="67"/>
  <c r="M29" i="15"/>
  <c r="F37" i="15"/>
  <c r="B11" i="76"/>
  <c r="B7" i="76"/>
  <c r="A2" i="9" l="1"/>
  <c r="A4" i="52"/>
  <c r="B41" i="72" s="1"/>
  <c r="A118" i="9"/>
  <c r="J41" i="33"/>
  <c r="W41" i="33" s="1"/>
  <c r="F36" i="33"/>
  <c r="J36" i="33"/>
  <c r="W36" i="33" s="1"/>
  <c r="H36" i="33"/>
  <c r="H111" i="33"/>
  <c r="I111" i="33" s="1"/>
  <c r="J111" i="33" s="1"/>
  <c r="K111" i="33" s="1"/>
  <c r="L111" i="33" s="1"/>
  <c r="M111" i="33" s="1"/>
  <c r="AC34" i="33"/>
  <c r="F91" i="33"/>
  <c r="G91" i="33" s="1"/>
  <c r="H91" i="33" s="1"/>
  <c r="I91" i="33" s="1"/>
  <c r="J91" i="33" s="1"/>
  <c r="K91" i="33" s="1"/>
  <c r="L91" i="33" s="1"/>
  <c r="M91" i="33" s="1"/>
  <c r="H27" i="33"/>
  <c r="U27" i="33" s="1"/>
  <c r="F27" i="33"/>
  <c r="AA27" i="33" s="1"/>
  <c r="J27" i="33"/>
  <c r="W27" i="33" s="1"/>
  <c r="H25" i="33"/>
  <c r="U25" i="33" s="1"/>
  <c r="J25" i="33"/>
  <c r="W25" i="33" s="1"/>
  <c r="F25" i="33"/>
  <c r="S25" i="33" s="1"/>
  <c r="F87" i="33"/>
  <c r="G87" i="33" s="1"/>
  <c r="H87" i="33" s="1"/>
  <c r="I87" i="33" s="1"/>
  <c r="J87" i="33" s="1"/>
  <c r="K87" i="33" s="1"/>
  <c r="L87" i="33" s="1"/>
  <c r="M87" i="33" s="1"/>
  <c r="F85" i="33"/>
  <c r="G85" i="33" s="1"/>
  <c r="F23" i="33"/>
  <c r="S23" i="33" s="1"/>
  <c r="J23" i="33"/>
  <c r="H23" i="33"/>
  <c r="W43" i="33"/>
  <c r="S43" i="33"/>
  <c r="U43" i="33"/>
  <c r="U39" i="33"/>
  <c r="AB34" i="33"/>
  <c r="AA34" i="33"/>
  <c r="AA35" i="33"/>
  <c r="U32" i="33"/>
  <c r="AC32" i="33"/>
  <c r="AC26" i="33"/>
  <c r="W42" i="33"/>
  <c r="AA42" i="33"/>
  <c r="U42" i="33"/>
  <c r="S41" i="33"/>
  <c r="U41" i="33"/>
  <c r="AA39" i="33"/>
  <c r="W39" i="33"/>
  <c r="S38" i="33"/>
  <c r="U37" i="33"/>
  <c r="AC37" i="33"/>
  <c r="AC35" i="33"/>
  <c r="U35" i="33"/>
  <c r="U33" i="33"/>
  <c r="W33" i="33"/>
  <c r="S32" i="33"/>
  <c r="U28" i="33"/>
  <c r="AB27" i="33"/>
  <c r="S26" i="33"/>
  <c r="AB26" i="33"/>
  <c r="AB25" i="33"/>
  <c r="AC25" i="33"/>
  <c r="U11" i="33"/>
  <c r="AB21" i="33"/>
  <c r="AA21" i="33"/>
  <c r="AA23" i="33"/>
  <c r="U19" i="33"/>
  <c r="AA19" i="33"/>
  <c r="W19" i="33"/>
  <c r="S17" i="33"/>
  <c r="AC17" i="33"/>
  <c r="AB17" i="33"/>
  <c r="AC15" i="33"/>
  <c r="U15" i="33"/>
  <c r="S45" i="33"/>
  <c r="U46" i="33"/>
  <c r="D50" i="43"/>
  <c r="E50" i="43" s="1"/>
  <c r="B48" i="43" s="1"/>
  <c r="B68" i="43"/>
  <c r="B57" i="43"/>
  <c r="C29" i="39"/>
  <c r="B77" i="43"/>
  <c r="B76" i="43"/>
  <c r="C15" i="39"/>
  <c r="F31" i="12"/>
  <c r="D68" i="9"/>
  <c r="F30" i="69"/>
  <c r="F48" i="69" s="1"/>
  <c r="F32" i="67"/>
  <c r="F60" i="67" s="1"/>
  <c r="F54" i="9"/>
  <c r="F32" i="15"/>
  <c r="F60" i="15" s="1"/>
  <c r="F52" i="9"/>
  <c r="F30" i="68"/>
  <c r="F48" i="68" s="1"/>
  <c r="F28" i="15"/>
  <c r="F28" i="67"/>
  <c r="M18" i="15"/>
  <c r="M18" i="67"/>
  <c r="F30" i="11"/>
  <c r="C48" i="11" s="1"/>
  <c r="C40" i="69"/>
  <c r="C21" i="68"/>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A15" i="62"/>
  <c r="B61" i="72" s="1"/>
  <c r="D16" i="53"/>
  <c r="B34" i="72" s="1"/>
  <c r="M47" i="9"/>
  <c r="C7" i="35"/>
  <c r="C48" i="35" s="1"/>
  <c r="D48" i="35" s="1"/>
  <c r="C7" i="40"/>
  <c r="C63" i="40" s="1"/>
  <c r="C7" i="39"/>
  <c r="C67" i="39" s="1"/>
  <c r="C42" i="1"/>
  <c r="C24" i="12" s="1"/>
  <c r="C7" i="36"/>
  <c r="C46" i="36" s="1"/>
  <c r="D46" i="36" s="1"/>
  <c r="E46" i="36" s="1"/>
  <c r="F46" i="36" s="1"/>
  <c r="G46" i="36" s="1"/>
  <c r="H46" i="36" s="1"/>
  <c r="I46" i="36" s="1"/>
  <c r="C7" i="21"/>
  <c r="G6" i="1"/>
  <c r="I24" i="43"/>
  <c r="C24" i="43" s="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O23" i="43"/>
  <c r="I18" i="43"/>
  <c r="E17" i="43" s="1"/>
  <c r="C17" i="43" s="1"/>
  <c r="J26" i="43"/>
  <c r="A1" i="79"/>
  <c r="H55" i="43"/>
  <c r="H86" i="43"/>
  <c r="H87" i="43"/>
  <c r="N370" i="46"/>
  <c r="N94" i="46"/>
  <c r="H89" i="43"/>
  <c r="H88" i="43"/>
  <c r="H84" i="43"/>
  <c r="C69" i="39"/>
  <c r="D67" i="39"/>
  <c r="D69" i="39" s="1"/>
  <c r="T35" i="4"/>
  <c r="A19" i="51" s="1"/>
  <c r="B14" i="72" s="1"/>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AC41" i="33" l="1"/>
  <c r="U36" i="33"/>
  <c r="AB36" i="33"/>
  <c r="AA36" i="33"/>
  <c r="S36" i="33"/>
  <c r="AC27" i="33"/>
  <c r="S27" i="33"/>
  <c r="AA25" i="33"/>
  <c r="U23" i="33"/>
  <c r="AB23" i="33"/>
  <c r="W23" i="33"/>
  <c r="AC23" i="33"/>
  <c r="G26" i="43"/>
  <c r="F26" i="43"/>
  <c r="E26" i="43"/>
  <c r="D26" i="43" s="1"/>
  <c r="C25" i="43" s="1"/>
  <c r="C28" i="67"/>
  <c r="D18" i="53"/>
  <c r="B35" i="72" s="1"/>
  <c r="C7" i="74"/>
  <c r="F7" i="36"/>
  <c r="H7" i="36"/>
  <c r="J7" i="37"/>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67"/>
  <c r="C17" i="15"/>
  <c r="C25" i="11"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8" i="69" l="1"/>
  <c r="C5" i="69" s="1"/>
  <c r="C23" i="69" s="1"/>
  <c r="B29" i="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48" i="35"/>
  <c r="C8" i="68" l="1"/>
  <c r="C5" i="68" s="1"/>
  <c r="C23" i="68" s="1"/>
  <c r="C18" i="12"/>
  <c r="C21"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27" i="12" s="1"/>
  <c r="C25" i="12"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C25" i="68" l="1"/>
  <c r="C22" i="68" s="1"/>
  <c r="C31" i="68" s="1"/>
  <c r="C30" i="12"/>
  <c r="C28" i="12" s="1"/>
  <c r="C32" i="12" s="1"/>
  <c r="B2" i="12" s="1"/>
  <c r="B3" i="12"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L51" i="15"/>
  <c r="D2" i="34"/>
  <c r="D2" i="35"/>
  <c r="C19" i="9"/>
  <c r="D2" i="36"/>
  <c r="D2" i="37"/>
  <c r="C102" i="9" l="1"/>
  <c r="C21" i="9"/>
  <c r="B3" i="33"/>
  <c r="D102" i="9"/>
  <c r="G19" i="9"/>
  <c r="G21" i="9" s="1"/>
  <c r="D22" i="9"/>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10" i="1"/>
  <c r="AO6" i="1"/>
  <c r="AO9" i="1"/>
  <c r="C20" i="9"/>
  <c r="AO11" i="1"/>
  <c r="D20" i="9"/>
  <c r="AO12" i="1"/>
  <c r="C103" i="9" l="1"/>
  <c r="D103" i="9"/>
  <c r="G20" i="9"/>
  <c r="C32"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E118" i="9" l="1"/>
  <c r="D118" i="9" s="1"/>
  <c r="H118" i="9"/>
  <c r="H4" i="52" s="1"/>
  <c r="F118" i="9"/>
  <c r="C105" i="9"/>
  <c r="I4" i="52"/>
  <c r="H102" i="9"/>
  <c r="H119" i="9" l="1"/>
  <c r="H5" i="52" s="1"/>
  <c r="E4" i="52"/>
  <c r="B48" i="72" s="1"/>
  <c r="H101" i="9"/>
  <c r="D45" i="9" s="1"/>
  <c r="C104" i="9"/>
  <c r="D14" i="74"/>
  <c r="G14" i="74" s="1"/>
  <c r="B6" i="74" s="1"/>
  <c r="D6" i="74" s="1"/>
  <c r="F119" i="9"/>
  <c r="F5" i="52" s="1"/>
  <c r="B53" i="72" s="1"/>
  <c r="F4" i="52"/>
  <c r="B51" i="72" s="1"/>
  <c r="D7" i="53"/>
  <c r="B21" i="72" s="1"/>
  <c r="D4" i="52"/>
  <c r="B47" i="72" s="1"/>
  <c r="D119" i="9"/>
  <c r="D5" i="52" s="1"/>
  <c r="B49" i="72" s="1"/>
  <c r="D5" i="53" l="1"/>
  <c r="D6" i="53" s="1"/>
  <c r="B22" i="72" s="1"/>
  <c r="M48" i="9"/>
  <c r="H107" i="9"/>
  <c r="H108" i="9" s="1"/>
  <c r="E14" i="74"/>
  <c r="F14" i="74"/>
  <c r="B5" i="74"/>
  <c r="D52" i="9"/>
  <c r="C64" i="9"/>
  <c r="C63" i="9" s="1"/>
  <c r="C67" i="9" s="1"/>
  <c r="C78" i="9"/>
  <c r="C73" i="9" s="1"/>
  <c r="D55" i="9"/>
  <c r="M53" i="9" s="1"/>
  <c r="C85" i="9"/>
  <c r="C93" i="9"/>
  <c r="C86" i="9" s="1"/>
  <c r="C72" i="9"/>
  <c r="D53" i="9"/>
  <c r="M49" i="9"/>
  <c r="B20" i="72" l="1"/>
  <c r="D13" i="53"/>
  <c r="D14" i="53" s="1"/>
  <c r="B32" i="72" s="1"/>
  <c r="D122" i="9"/>
  <c r="D8" i="52" s="1"/>
  <c r="D5" i="74"/>
  <c r="C5" i="74"/>
  <c r="C79" i="9"/>
  <c r="C80" i="9" s="1"/>
  <c r="E80" i="9" s="1"/>
  <c r="E81" i="9" s="1"/>
  <c r="C6" i="74"/>
  <c r="D15" i="53"/>
  <c r="B31" i="72" s="1"/>
  <c r="D59" i="9"/>
  <c r="M55" i="9" s="1"/>
  <c r="C68" i="9"/>
  <c r="D54" i="9" s="1"/>
  <c r="D48" i="9" s="1"/>
  <c r="M52" i="9" s="1"/>
  <c r="L67" i="9"/>
  <c r="M67" i="9" s="1"/>
  <c r="L68" i="9"/>
  <c r="M68" i="9" s="1"/>
  <c r="L64" i="9"/>
  <c r="M64" i="9" s="1"/>
  <c r="L63" i="9"/>
  <c r="M63" i="9" s="1"/>
  <c r="L65" i="9"/>
  <c r="M65" i="9" s="1"/>
  <c r="L66" i="9"/>
  <c r="M66" i="9" s="1"/>
  <c r="C95" i="9"/>
  <c r="B30" i="72" l="1"/>
  <c r="D123" i="9"/>
  <c r="D9" i="52" s="1"/>
  <c r="C81" i="9"/>
  <c r="C96" i="9"/>
  <c r="E96" i="9" s="1"/>
  <c r="E97" i="9" s="1"/>
  <c r="M69" i="9"/>
  <c r="N69" i="9" s="1"/>
  <c r="C97" i="9" l="1"/>
  <c r="D58" i="9" s="1"/>
  <c r="D56" i="9" s="1"/>
  <c r="M54" i="9" s="1"/>
  <c r="N57" i="9" s="1"/>
  <c r="P57" i="9" l="1"/>
  <c r="N58" i="9"/>
  <c r="N59" i="9"/>
  <c r="N60" i="9" l="1"/>
  <c r="H111" i="9"/>
  <c r="N61" i="9"/>
  <c r="H112" i="9" s="1"/>
  <c r="D21" i="53" l="1"/>
  <c r="B39" i="72" s="1"/>
  <c r="C8" i="74"/>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Lenovo</author>
  </authors>
  <commentList>
    <comment ref="AB21" authorId="0">
      <text>
        <r>
          <rPr>
            <sz val="9"/>
            <rFont val="宋体"/>
            <family val="3"/>
            <charset val="134"/>
          </rPr>
          <t xml:space="preserve">应付佣金即变动成本
</t>
        </r>
      </text>
    </comment>
    <comment ref="AI21" authorId="0">
      <text>
        <r>
          <rPr>
            <sz val="9"/>
            <rFont val="宋体"/>
            <family val="3"/>
            <charset val="134"/>
          </rPr>
          <t xml:space="preserve">应付佣金即变动成本
</t>
        </r>
      </text>
    </comment>
    <comment ref="AP21" authorId="0">
      <text>
        <r>
          <rPr>
            <sz val="9"/>
            <rFont val="宋体"/>
            <family val="3"/>
            <charset val="134"/>
          </rPr>
          <t xml:space="preserve">应付佣金即变动成本
</t>
        </r>
      </text>
    </comment>
    <comment ref="AW21" authorId="0">
      <text>
        <r>
          <rPr>
            <sz val="9"/>
            <rFont val="宋体"/>
            <family val="3"/>
            <charset val="134"/>
          </rPr>
          <t xml:space="preserve">应付佣金即变动成本
</t>
        </r>
      </text>
    </comment>
    <comment ref="BD21" authorId="0">
      <text>
        <r>
          <rPr>
            <sz val="9"/>
            <rFont val="宋体"/>
            <family val="3"/>
            <charset val="134"/>
          </rPr>
          <t xml:space="preserve">应付佣金即变动成本
</t>
        </r>
      </text>
    </comment>
    <comment ref="BK21" authorId="0">
      <text>
        <r>
          <rPr>
            <sz val="9"/>
            <rFont val="宋体"/>
            <family val="3"/>
            <charset val="134"/>
          </rPr>
          <t xml:space="preserve">应付佣金即变动成本
</t>
        </r>
      </text>
    </comment>
    <comment ref="BR21" authorId="0">
      <text>
        <r>
          <rPr>
            <sz val="9"/>
            <rFont val="宋体"/>
            <family val="3"/>
            <charset val="134"/>
          </rPr>
          <t xml:space="preserve">应付佣金即变动成本
</t>
        </r>
      </text>
    </comment>
    <comment ref="BY21" authorId="0">
      <text>
        <r>
          <rPr>
            <sz val="9"/>
            <rFont val="宋体"/>
            <family val="3"/>
            <charset val="134"/>
          </rPr>
          <t xml:space="preserve">应付佣金即变动成本
</t>
        </r>
      </text>
    </comment>
    <comment ref="CF21" authorId="0">
      <text>
        <r>
          <rPr>
            <sz val="9"/>
            <rFont val="宋体"/>
            <family val="3"/>
            <charset val="134"/>
          </rPr>
          <t xml:space="preserve">应付佣金即变动成本
</t>
        </r>
      </text>
    </comment>
    <comment ref="CM21" authorId="0">
      <text>
        <r>
          <rPr>
            <sz val="9"/>
            <rFont val="宋体"/>
            <family val="3"/>
            <charset val="134"/>
          </rPr>
          <t xml:space="preserve">应付佣金即变动成本
</t>
        </r>
      </text>
    </comment>
    <comment ref="CT21" authorId="0">
      <text>
        <r>
          <rPr>
            <sz val="9"/>
            <rFont val="宋体"/>
            <family val="3"/>
            <charset val="134"/>
          </rPr>
          <t xml:space="preserve">应付佣金即变动成本
</t>
        </r>
      </text>
    </comment>
    <comment ref="EQ21" authorId="0">
      <text>
        <r>
          <rPr>
            <sz val="9"/>
            <rFont val="宋体"/>
            <family val="3"/>
            <charset val="134"/>
          </rPr>
          <t xml:space="preserve">应付佣金即变动成本
</t>
        </r>
      </text>
    </comment>
    <comment ref="FL21" authorId="0">
      <text>
        <r>
          <rPr>
            <sz val="9"/>
            <rFont val="宋体"/>
            <family val="3"/>
            <charset val="134"/>
          </rPr>
          <t xml:space="preserve">应付佣金即变动成本
</t>
        </r>
      </text>
    </comment>
    <comment ref="FS21" authorId="0">
      <text>
        <r>
          <rPr>
            <sz val="9"/>
            <rFont val="宋体"/>
            <family val="3"/>
            <charset val="134"/>
          </rPr>
          <t xml:space="preserve">应付佣金即变动成本
</t>
        </r>
      </text>
    </comment>
    <comment ref="C27" authorId="0">
      <text>
        <r>
          <rPr>
            <sz val="9"/>
            <rFont val="宋体"/>
            <family val="3"/>
            <charset val="134"/>
          </rPr>
          <t xml:space="preserve">自用
</t>
        </r>
      </text>
    </comment>
    <comment ref="C28" authorId="0">
      <text>
        <r>
          <rPr>
            <sz val="9"/>
            <rFont val="宋体"/>
            <family val="3"/>
            <charset val="134"/>
          </rPr>
          <t>自用</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<sst xmlns="http://schemas.openxmlformats.org/spreadsheetml/2006/main" count="8275" uniqueCount="3557">
  <si>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</si>
  <si>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</si>
  <si>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</si>
  <si>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</si>
  <si>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</si>
  <si>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</si>
  <si>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</si>
  <si>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</si>
  <si>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</si>
  <si>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</si>
  <si>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</si>
  <si>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</si>
  <si>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</si>
  <si>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</si>
  <si>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</si>
  <si>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</si>
  <si>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</si>
  <si>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</si>
  <si>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</si>
  <si>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</si>
  <si>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</si>
  <si>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</si>
  <si>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</si>
  <si>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</si>
  <si>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</si>
  <si>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</si>
  <si>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</si>
  <si>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</si>
  <si>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</si>
  <si>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</si>
  <si>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</si>
  <si>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</si>
  <si>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</si>
  <si>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</si>
  <si>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</si>
  <si>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</si>
  <si>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</si>
  <si>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</si>
  <si>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</si>
  <si>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</si>
  <si>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</si>
  <si>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</si>
  <si>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</si>
  <si>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</si>
  <si>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</si>
  <si>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</si>
  <si>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</si>
  <si>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</si>
  <si>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</si>
  <si>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</si>
  <si>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</si>
  <si>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</si>
  <si>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</si>
  <si>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</si>
  <si>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</si>
  <si>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</si>
  <si>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</si>
  <si>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</si>
  <si>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</si>
  <si>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</si>
  <si>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</si>
  <si>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</si>
  <si>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</si>
  <si>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</si>
  <si>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</si>
  <si>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</si>
  <si>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</si>
  <si>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</si>
  <si>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</si>
  <si>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</si>
  <si>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</si>
  <si>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</si>
  <si>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</si>
  <si>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</si>
  <si>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</si>
  <si>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</si>
  <si>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</si>
  <si>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</si>
  <si>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</si>
  <si>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</si>
  <si>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</si>
  <si>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</si>
  <si>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</si>
  <si>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</si>
  <si>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</si>
  <si>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</si>
  <si>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</si>
  <si>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</si>
  <si>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</si>
  <si>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</si>
  <si>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</si>
  <si>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</si>
  <si>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</si>
  <si>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</si>
  <si>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</si>
  <si>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</si>
  <si>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</si>
  <si>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</si>
  <si>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</si>
  <si>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</si>
  <si>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</si>
  <si>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</si>
  <si>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</si>
  <si>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</si>
  <si>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</si>
  <si>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</si>
  <si>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</si>
  <si>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</si>
  <si>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</si>
  <si>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</si>
  <si>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</si>
  <si>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</si>
  <si>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</si>
  <si>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</si>
  <si>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</si>
  <si>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</si>
  <si>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</si>
  <si>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</si>
  <si>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</si>
  <si>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</si>
  <si>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</si>
  <si>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</si>
  <si>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</si>
  <si>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</si>
  <si>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</si>
  <si>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</si>
  <si>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</si>
  <si>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</si>
  <si>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</si>
  <si>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</si>
  <si>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</si>
  <si>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</si>
  <si>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</si>
  <si>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</si>
  <si>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</si>
  <si>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</si>
  <si>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</si>
  <si>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</si>
  <si>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</si>
  <si>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</si>
  <si>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</si>
  <si>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</si>
  <si>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</si>
  <si>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</si>
  <si>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</si>
  <si>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</si>
  <si>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</si>
  <si>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</si>
  <si>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</si>
  <si>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</si>
  <si>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</si>
  <si>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</si>
  <si>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</si>
  <si>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</si>
  <si>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</si>
  <si>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</si>
  <si>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</si>
  <si>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</si>
  <si>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</si>
  <si>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</si>
  <si>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</si>
  <si>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</si>
  <si>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</si>
  <si>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</si>
  <si>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</si>
  <si>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</si>
  <si>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</si>
  <si>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</si>
  <si>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</si>
  <si>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</si>
  <si>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</si>
  <si>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</si>
  <si>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</si>
  <si>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</si>
  <si>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</si>
  <si>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</si>
  <si>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</si>
  <si>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</si>
  <si>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</si>
  <si>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</si>
  <si>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</si>
  <si>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</si>
  <si>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</si>
  <si>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</si>
  <si>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</si>
  <si>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</si>
  <si>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</si>
  <si>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</si>
  <si>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</si>
  <si>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</si>
  <si>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</si>
  <si>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</si>
  <si>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</si>
  <si>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</si>
  <si>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</si>
  <si>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</si>
  <si>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</si>
  <si>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</si>
  <si>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</si>
  <si>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</si>
  <si>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</si>
  <si>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</si>
  <si>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</si>
  <si>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</si>
  <si>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</si>
  <si>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</si>
  <si>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</si>
  <si>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</si>
  <si>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</si>
  <si>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</si>
  <si>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</si>
  <si>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</si>
  <si>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</si>
  <si>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</si>
  <si>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</si>
  <si>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</si>
  <si>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</si>
  <si>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</si>
  <si>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</si>
  <si>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</si>
  <si>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</si>
  <si>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</si>
  <si>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</si>
  <si>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</si>
  <si>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</si>
  <si>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</si>
  <si>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</si>
  <si>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</si>
  <si>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</si>
  <si>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</si>
  <si>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</si>
  <si>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</si>
  <si>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</si>
  <si>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</si>
  <si>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</si>
  <si>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</si>
  <si>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</si>
  <si>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</si>
  <si>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</si>
  <si>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</si>
  <si>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</si>
  <si>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</si>
  <si>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</si>
  <si>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</si>
  <si>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</si>
  <si>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</si>
  <si>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</si>
  <si>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</si>
  <si>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</si>
  <si>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</si>
  <si>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</si>
  <si>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</si>
  <si>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</si>
  <si>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</si>
  <si>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</si>
  <si>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</si>
  <si>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</si>
  <si>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</si>
  <si>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</si>
  <si>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</si>
  <si>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</si>
  <si>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</si>
  <si>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</si>
  <si>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</si>
  <si>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</si>
  <si>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</si>
  <si>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</si>
  <si>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</si>
  <si>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</si>
  <si>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</si>
  <si>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</si>
  <si>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</si>
  <si>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</si>
  <si>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</si>
  <si>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</si>
  <si>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</si>
  <si>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</si>
  <si>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</si>
  <si>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</si>
  <si>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</si>
  <si>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</si>
  <si>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</si>
  <si>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</si>
  <si>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</si>
  <si>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</si>
  <si>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</si>
  <si>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</si>
  <si>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</si>
  <si>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</si>
  <si>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</si>
  <si>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</si>
  <si>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</si>
  <si>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</si>
  <si>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</si>
  <si>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</si>
  <si>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</si>
  <si>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</si>
  <si>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</si>
  <si>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</si>
  <si>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</si>
  <si>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</si>
  <si>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</si>
  <si>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</si>
  <si>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</si>
  <si>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</si>
  <si>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</si>
  <si>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</si>
  <si>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</si>
  <si>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</si>
  <si>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</si>
  <si>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</si>
  <si>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</si>
  <si>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</si>
  <si>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</si>
  <si>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</si>
  <si>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</si>
  <si>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</si>
  <si>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</si>
  <si>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</si>
  <si>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</si>
  <si>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</si>
  <si>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</si>
  <si>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</si>
  <si>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</si>
  <si>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</si>
  <si>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</si>
  <si>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</si>
  <si>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</si>
  <si>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</si>
  <si>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</si>
  <si>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</si>
  <si>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</si>
  <si>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</si>
  <si>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</si>
  <si>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</si>
  <si>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</si>
  <si>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</si>
  <si>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</si>
  <si>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</si>
  <si>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</si>
  <si>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</si>
  <si>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</si>
  <si>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</si>
  <si>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</si>
  <si>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</si>
  <si>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</si>
  <si>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</si>
  <si>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</si>
  <si>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</si>
  <si>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</si>
  <si>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</si>
  <si>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</si>
  <si>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</si>
  <si>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</si>
  <si>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</si>
  <si>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</si>
  <si>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</si>
  <si>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</si>
  <si>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</si>
  <si>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</si>
  <si>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</si>
  <si>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</si>
  <si>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</si>
  <si>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</si>
  <si>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</si>
  <si>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</si>
  <si>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</si>
  <si>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</si>
  <si>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</si>
  <si>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</si>
  <si>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</si>
  <si>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</si>
  <si>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</si>
  <si>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</si>
  <si>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</si>
  <si>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</si>
  <si>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</si>
  <si>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</si>
  <si>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</si>
  <si>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</si>
  <si>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</si>
  <si>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</si>
  <si>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</si>
  <si>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</si>
  <si>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</si>
  <si>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</si>
  <si>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</si>
  <si>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</si>
  <si>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</si>
  <si>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</si>
  <si>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</si>
  <si>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</si>
  <si>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</si>
  <si>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</si>
  <si>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</si>
  <si>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</si>
  <si>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</si>
  <si>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</si>
  <si>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</si>
  <si>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</si>
  <si>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</si>
  <si>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</si>
  <si>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</si>
  <si>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</si>
  <si>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</si>
  <si>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</si>
  <si>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</si>
  <si>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</si>
  <si>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</si>
  <si>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</si>
  <si>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</si>
  <si>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</si>
  <si>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</si>
  <si>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</si>
  <si>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</si>
  <si>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</si>
  <si>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</si>
  <si>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</si>
  <si>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</si>
  <si>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</si>
  <si>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</si>
  <si>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</si>
  <si>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</si>
  <si>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</si>
  <si>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</si>
  <si>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</si>
  <si>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</si>
  <si>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</si>
  <si>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</si>
  <si>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</si>
  <si>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</si>
  <si>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</si>
  <si>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</si>
  <si>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</si>
  <si>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</si>
  <si>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</si>
  <si>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</si>
  <si>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</si>
  <si>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</si>
  <si>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</si>
  <si>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</si>
  <si>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</si>
  <si>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</si>
  <si>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</si>
  <si>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</si>
  <si>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</si>
  <si>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</si>
  <si>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</si>
  <si>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</si>
  <si>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</si>
  <si>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</si>
  <si>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</si>
  <si>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</si>
  <si>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</si>
  <si>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</si>
  <si>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</si>
  <si>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</si>
  <si>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</si>
  <si>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</si>
  <si>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</si>
  <si>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</si>
  <si>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</si>
  <si>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</si>
  <si>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</si>
  <si>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</si>
  <si>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</si>
  <si>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</si>
  <si>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</si>
  <si>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</si>
  <si>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</si>
  <si>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</si>
  <si>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</si>
  <si>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</si>
  <si>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</si>
  <si>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</si>
  <si>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</si>
  <si>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</si>
  <si>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</si>
  <si>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</si>
  <si>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</si>
  <si>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</si>
  <si>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</si>
  <si>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</si>
  <si>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</si>
  <si>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</si>
  <si>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</si>
  <si>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</si>
  <si>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</si>
  <si>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</si>
  <si>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</si>
  <si>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</si>
  <si>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</si>
  <si>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</si>
  <si>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</si>
  <si>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</si>
  <si>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</si>
  <si>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</si>
  <si>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</si>
  <si>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</si>
  <si>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</si>
  <si>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</si>
  <si>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</si>
  <si>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</si>
  <si>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</si>
  <si>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</si>
  <si>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</si>
  <si>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</si>
  <si>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</si>
  <si>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</si>
  <si>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</si>
  <si>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</si>
  <si>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</si>
  <si>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</si>
  <si>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</si>
  <si>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</si>
  <si>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</si>
  <si>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</si>
  <si>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</si>
  <si>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</si>
  <si>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</si>
  <si>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</si>
  <si>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</si>
  <si>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</si>
  <si>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</si>
  <si>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</si>
  <si>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</si>
  <si>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</si>
  <si>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</si>
  <si>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</si>
  <si>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</si>
  <si>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</si>
  <si>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</si>
  <si>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</si>
  <si>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</si>
  <si>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</si>
  <si>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</si>
  <si>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</si>
  <si>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</si>
  <si>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</si>
  <si>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</si>
  <si>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</si>
  <si>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</si>
  <si>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</si>
  <si>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</si>
  <si>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</si>
  <si>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</si>
  <si>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</si>
  <si>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</si>
  <si>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</si>
  <si>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</si>
  <si>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</si>
  <si>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</si>
  <si>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</si>
  <si>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</si>
  <si>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</si>
  <si>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</si>
  <si>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</si>
  <si>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</si>
  <si>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</si>
  <si>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</si>
  <si>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</si>
  <si>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</si>
  <si>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</si>
  <si>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</si>
  <si>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</si>
  <si>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</si>
  <si>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</si>
  <si>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</si>
  <si>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</si>
  <si>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</si>
  <si>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</si>
  <si>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</si>
  <si>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</si>
  <si>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</si>
  <si>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</si>
  <si>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</si>
  <si>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</si>
  <si>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</si>
  <si>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</si>
  <si>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</si>
  <si>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</si>
  <si>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</si>
  <si>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</si>
  <si>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</si>
  <si>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</si>
  <si>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</si>
  <si>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</si>
  <si>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</si>
  <si>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</si>
  <si>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</si>
  <si>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</si>
  <si>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</si>
  <si>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</si>
  <si>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</si>
  <si>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</si>
  <si>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</si>
  <si>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</si>
  <si>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</si>
  <si>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</si>
  <si>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</si>
  <si>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</si>
  <si>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</si>
  <si>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</si>
  <si>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</si>
  <si>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</si>
  <si>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</si>
  <si>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</si>
  <si>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</si>
  <si>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</si>
  <si>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</si>
  <si>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</si>
  <si>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</si>
  <si>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</si>
  <si>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</si>
  <si>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</si>
  <si>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</si>
  <si>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</si>
  <si>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</si>
  <si>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</si>
  <si>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</si>
  <si>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</si>
  <si>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</si>
  <si>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</si>
  <si>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</si>
  <si>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</si>
  <si>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</si>
  <si>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</si>
  <si>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</si>
  <si>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</si>
  <si>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</si>
  <si>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</si>
  <si>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</si>
  <si>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</si>
  <si>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</si>
  <si>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</si>
  <si>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</si>
  <si>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</si>
  <si>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</si>
  <si>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</si>
  <si>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</si>
  <si>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</si>
  <si>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</si>
  <si>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</si>
  <si>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</si>
  <si>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</si>
  <si>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</si>
  <si>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</si>
  <si>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</si>
  <si>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</si>
  <si>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</si>
  <si>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</si>
  <si>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</si>
  <si>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</si>
  <si>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</si>
  <si>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</si>
  <si>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</si>
  <si>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</si>
  <si>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</si>
  <si>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</si>
  <si>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</si>
  <si>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</si>
  <si>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</si>
  <si>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</si>
  <si>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</si>
  <si>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</si>
  <si>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</si>
  <si>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</si>
  <si>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</si>
  <si>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</si>
  <si>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</si>
  <si>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</si>
  <si>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</si>
  <si>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</si>
  <si>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</si>
  <si>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</si>
  <si>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</si>
  <si>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</si>
  <si>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</si>
  <si>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</si>
  <si>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</si>
  <si>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</si>
  <si>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</si>
  <si>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</si>
  <si>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</si>
  <si>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</si>
  <si>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</si>
  <si>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</si>
  <si>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</si>
  <si>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</si>
  <si>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</si>
  <si>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</si>
  <si>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</si>
  <si>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</si>
  <si>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</si>
  <si>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</si>
  <si>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</si>
  <si>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</si>
  <si>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</si>
  <si>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</si>
  <si>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</si>
  <si>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</si>
  <si>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</si>
  <si>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</si>
  <si>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</si>
  <si>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</si>
  <si>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</si>
  <si>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</si>
  <si>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</si>
  <si>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</si>
  <si>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</si>
  <si>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</si>
  <si>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</si>
  <si>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</si>
  <si>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</si>
  <si>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</si>
  <si>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</si>
  <si>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</si>
  <si>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</si>
  <si>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</si>
  <si>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</si>
  <si>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</si>
  <si>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</si>
  <si>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</si>
  <si>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</si>
  <si>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</si>
  <si>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</si>
  <si>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</si>
  <si>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</si>
  <si>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</si>
  <si>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</si>
  <si>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</si>
  <si>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</si>
  <si>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</si>
  <si>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</si>
  <si>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</si>
  <si>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</si>
  <si>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</si>
  <si>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</si>
  <si>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</si>
  <si>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</si>
  <si>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</si>
  <si>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</si>
  <si>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</si>
  <si>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</si>
  <si>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</si>
  <si>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</si>
  <si>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</si>
  <si>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</si>
  <si>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</si>
  <si>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</si>
  <si>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</si>
  <si>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</si>
  <si>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</si>
  <si>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</si>
  <si>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</si>
  <si>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</si>
  <si>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</si>
  <si>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</si>
  <si>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</si>
  <si>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</si>
  <si>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</si>
  <si>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</si>
  <si>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</si>
  <si>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</si>
  <si>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</si>
  <si>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</si>
  <si>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</si>
  <si>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</si>
  <si>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</si>
  <si>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</si>
  <si>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</si>
  <si>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</si>
  <si>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</si>
  <si>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</si>
  <si>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</si>
  <si>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</si>
  <si>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</si>
  <si>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</si>
  <si>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</si>
  <si>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</si>
  <si>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</si>
  <si>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</si>
  <si>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</si>
  <si>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</si>
  <si>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</si>
  <si>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</si>
  <si>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</si>
  <si>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</si>
  <si>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</si>
  <si>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</si>
  <si>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</si>
  <si>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</si>
  <si>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</si>
  <si>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</si>
  <si>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</si>
  <si>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</si>
  <si>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</si>
  <si>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</si>
  <si>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</si>
  <si>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</si>
  <si>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</si>
  <si>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</si>
  <si>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</si>
  <si>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</si>
  <si>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</si>
  <si>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</si>
  <si>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</si>
  <si>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</si>
  <si>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</si>
  <si>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</si>
  <si>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</si>
  <si>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</si>
  <si>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</si>
  <si>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</si>
  <si>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</si>
  <si>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</si>
  <si>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</si>
  <si>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</si>
  <si>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</si>
  <si>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</si>
  <si>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</si>
  <si>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</si>
  <si>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</si>
  <si>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</si>
  <si>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</si>
  <si>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</si>
  <si>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</si>
  <si>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</si>
  <si>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</si>
  <si>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</si>
  <si>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</si>
  <si>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</si>
  <si>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</si>
  <si>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</si>
  <si>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</si>
  <si>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</si>
  <si>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</si>
  <si>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</si>
  <si>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</si>
  <si>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</si>
  <si>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</si>
  <si>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</si>
  <si>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</si>
  <si>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</si>
  <si>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</si>
  <si>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</si>
  <si>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</si>
  <si>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</si>
  <si>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</si>
  <si>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</si>
  <si>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</si>
  <si>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</si>
  <si>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</si>
  <si>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</si>
  <si>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</si>
  <si>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</si>
  <si>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</si>
  <si>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</si>
  <si>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</si>
  <si>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</si>
  <si>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</si>
  <si>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</si>
  <si>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</si>
  <si>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</si>
  <si>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</si>
  <si>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</si>
  <si>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</si>
  <si>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</si>
  <si>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</si>
  <si>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</si>
  <si>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</si>
  <si>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</si>
  <si>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</si>
  <si>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</si>
  <si>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</si>
  <si>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</si>
  <si>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</si>
  <si>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</si>
  <si>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</si>
  <si>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</si>
  <si>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</si>
  <si>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</si>
  <si>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</si>
  <si>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</si>
  <si>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</si>
  <si>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</si>
  <si>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</si>
  <si>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</si>
  <si>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</si>
  <si>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</si>
  <si>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</si>
  <si>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</si>
  <si>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</si>
  <si>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</si>
  <si>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</si>
  <si>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</si>
  <si>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</si>
  <si>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</si>
  <si>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</si>
  <si>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</si>
  <si>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</si>
  <si>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</si>
  <si>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</si>
  <si>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</si>
  <si>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</si>
  <si>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</si>
  <si>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</si>
  <si>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</si>
  <si>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</si>
  <si>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</si>
  <si>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</si>
  <si>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</si>
  <si>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</si>
  <si>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</si>
  <si>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</si>
  <si>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</si>
  <si>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</si>
  <si>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</si>
  <si>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</si>
  <si>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</si>
  <si>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</si>
  <si>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</si>
  <si>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</si>
  <si>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</si>
  <si>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</si>
  <si>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</si>
  <si>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</si>
  <si>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</si>
  <si>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</si>
  <si>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</si>
  <si>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</si>
  <si>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</si>
  <si>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</si>
  <si>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</si>
  <si>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</si>
  <si>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</si>
  <si>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</si>
  <si>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</si>
  <si>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</si>
  <si>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</si>
  <si>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</si>
  <si>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</si>
  <si>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</si>
  <si>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</si>
  <si>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</si>
  <si>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</si>
  <si>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</si>
  <si>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</si>
  <si>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</si>
  <si>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</si>
  <si>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</si>
  <si>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</si>
  <si>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</si>
  <si>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</si>
  <si>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</si>
  <si>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</si>
  <si>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</si>
  <si>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</si>
  <si>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</si>
  <si>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</si>
  <si>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</si>
  <si>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</si>
  <si>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</si>
  <si>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</si>
  <si>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</si>
  <si>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</si>
  <si>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</si>
  <si>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</si>
  <si>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</si>
  <si>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</si>
  <si>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</si>
  <si>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</si>
  <si>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</si>
  <si>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</si>
  <si>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</si>
  <si>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</si>
  <si>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</si>
  <si>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</si>
  <si>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</si>
  <si>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</si>
  <si>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</si>
  <si>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</si>
  <si>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</si>
  <si>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</si>
  <si>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</si>
  <si>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</si>
  <si>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</si>
  <si>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</si>
  <si>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</si>
  <si>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</si>
  <si>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</si>
  <si>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</si>
  <si>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</si>
  <si>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</si>
  <si>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</si>
  <si>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</si>
  <si>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</si>
  <si>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</si>
  <si>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</si>
  <si>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</si>
  <si>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</si>
  <si>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</si>
  <si>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</si>
  <si>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</si>
  <si>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</si>
  <si>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</si>
  <si>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</si>
  <si>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</si>
  <si>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</si>
  <si>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</si>
  <si>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</si>
  <si>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</si>
  <si>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</si>
  <si>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</si>
  <si>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</si>
  <si>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</si>
  <si>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</si>
  <si>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</si>
  <si>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</si>
  <si>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</si>
  <si>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</si>
  <si>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</si>
  <si>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</si>
  <si>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</si>
  <si>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</si>
  <si>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</si>
  <si>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</si>
  <si>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</si>
  <si>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</si>
  <si>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</si>
  <si>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</si>
  <si>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</si>
  <si>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</si>
  <si>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</si>
  <si>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</si>
  <si>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</si>
  <si>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</si>
  <si>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</si>
  <si>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</si>
  <si>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</si>
  <si>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</si>
  <si>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</si>
  <si>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</si>
  <si>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</si>
  <si>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</si>
  <si>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</si>
  <si>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</si>
  <si>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</si>
  <si>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</si>
  <si>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</si>
  <si>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</si>
  <si>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</si>
  <si>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</si>
  <si>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</si>
  <si>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</si>
  <si>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</si>
  <si>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</si>
  <si>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</si>
  <si>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</si>
  <si>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</si>
  <si>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</si>
  <si>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</si>
  <si>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</si>
  <si>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</si>
  <si>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</si>
  <si>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</si>
  <si>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</si>
  <si>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</si>
  <si>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</si>
  <si>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</si>
  <si>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</si>
  <si>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</si>
  <si>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</si>
  <si>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</si>
  <si>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</si>
  <si>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</si>
  <si>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</si>
  <si>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</si>
  <si>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</si>
  <si>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</si>
  <si>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</si>
  <si>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</si>
  <si>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</si>
  <si>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</si>
  <si>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</si>
  <si>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</si>
  <si>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</si>
  <si>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</si>
  <si>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</si>
  <si>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</si>
  <si>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</si>
  <si>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</si>
  <si>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</si>
  <si>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</si>
  <si>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</si>
  <si>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</si>
  <si>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</si>
  <si>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</si>
  <si>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</si>
  <si>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</si>
  <si>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</si>
  <si>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</si>
  <si>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</si>
  <si>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</si>
  <si>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</si>
  <si>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</si>
  <si>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</si>
  <si>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</si>
  <si>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</si>
  <si>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</si>
  <si>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</si>
  <si>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</si>
  <si>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</si>
  <si>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</si>
  <si>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</si>
  <si>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</si>
  <si>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</si>
  <si>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</si>
  <si>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</si>
  <si>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</si>
  <si>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</si>
  <si>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</si>
  <si>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</si>
  <si>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</si>
  <si>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</si>
  <si>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</si>
  <si>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</si>
  <si>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</si>
  <si>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</si>
  <si>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</si>
  <si>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</si>
  <si>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</si>
  <si>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</si>
  <si>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</si>
  <si>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</si>
  <si>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</si>
  <si>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</si>
  <si>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</si>
  <si>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</si>
  <si>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</si>
  <si>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</si>
  <si>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</si>
  <si>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</si>
  <si>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</si>
  <si>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</si>
  <si>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</si>
  <si>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</si>
  <si>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</si>
  <si>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</si>
  <si>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</si>
  <si>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</si>
  <si>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</si>
  <si>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</si>
  <si>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</si>
  <si>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</si>
  <si>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</si>
  <si>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</si>
  <si>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</si>
  <si>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</si>
  <si>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</si>
  <si>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</si>
  <si>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</si>
  <si>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</si>
  <si>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</si>
  <si>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</si>
  <si>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</si>
  <si>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</si>
  <si>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</si>
  <si>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</si>
  <si>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</si>
  <si>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</si>
  <si>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</si>
  <si>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</si>
  <si>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</si>
  <si>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</si>
  <si>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</si>
  <si>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</si>
  <si>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</si>
  <si>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</si>
  <si>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</si>
  <si>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</si>
  <si>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</si>
  <si>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</si>
  <si>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</si>
  <si>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</si>
  <si>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</si>
  <si>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</si>
  <si>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</si>
  <si>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</si>
  <si>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</si>
  <si>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</si>
  <si>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</si>
  <si>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</si>
  <si>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</si>
  <si>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</si>
  <si>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</si>
  <si>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</si>
  <si>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</si>
  <si>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</si>
  <si>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</si>
  <si>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</si>
  <si>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</si>
  <si>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</si>
  <si>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</si>
  <si>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</si>
  <si>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</si>
  <si>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</si>
  <si>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</si>
  <si>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</si>
  <si>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</si>
  <si>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</si>
  <si>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</si>
  <si>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</si>
  <si>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</si>
  <si>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</si>
  <si>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</si>
  <si>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</si>
  <si>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</si>
  <si>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</si>
  <si>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</si>
  <si>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</si>
  <si>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</si>
  <si>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</si>
  <si>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</si>
  <si>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</si>
  <si>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</si>
  <si>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</si>
  <si>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</si>
  <si>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</si>
  <si>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</si>
  <si>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</si>
  <si>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</si>
  <si>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</si>
  <si>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</si>
  <si>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</si>
  <si>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</si>
  <si>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</si>
  <si>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</si>
  <si>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</si>
  <si>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</si>
  <si>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</si>
  <si>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</si>
  <si>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</si>
  <si>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</si>
  <si>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</si>
  <si>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</si>
  <si>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</si>
  <si>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</si>
  <si>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</si>
  <si>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</si>
  <si>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</si>
  <si>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</si>
  <si>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</si>
  <si>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</si>
  <si>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</si>
  <si>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</si>
  <si>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</si>
  <si>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</si>
  <si>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</si>
  <si>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</si>
  <si>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</si>
  <si>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</si>
  <si>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</si>
  <si>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</si>
  <si>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</si>
  <si>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</si>
  <si>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</si>
  <si>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</si>
  <si>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</si>
  <si>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</si>
  <si>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</si>
  <si>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</si>
  <si>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</si>
  <si>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</si>
  <si>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</si>
  <si>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</si>
  <si>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</si>
  <si>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</si>
  <si>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</si>
  <si>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</si>
  <si>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</si>
  <si>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</si>
  <si>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</si>
  <si>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</si>
  <si>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</si>
  <si>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</si>
  <si>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</si>
  <si>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</si>
  <si>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</si>
  <si>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</si>
  <si>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</si>
  <si>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</si>
  <si>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</si>
  <si>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</si>
  <si>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</si>
  <si>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</si>
  <si>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</si>
  <si>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</si>
  <si>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</si>
  <si>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</si>
  <si>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</si>
  <si>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</si>
  <si>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</si>
  <si>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</si>
  <si>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</si>
  <si>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</si>
  <si>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</si>
  <si>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</si>
  <si>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</si>
  <si>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</si>
  <si>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</si>
  <si>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</si>
  <si>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</si>
  <si>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</si>
  <si>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</si>
  <si>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</si>
  <si>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</si>
  <si>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</si>
  <si>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</si>
  <si>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</si>
  <si>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</si>
  <si>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</si>
  <si>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</si>
  <si>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</si>
  <si>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</si>
  <si>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</si>
  <si>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</si>
  <si>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</si>
  <si>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</si>
  <si>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</si>
  <si>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</si>
  <si>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</si>
  <si>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</si>
  <si>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</si>
  <si>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</si>
  <si>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</si>
  <si>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</si>
  <si>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</si>
  <si>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</si>
  <si>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</si>
  <si>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</si>
  <si>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</si>
  <si>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</si>
  <si>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</si>
  <si>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</si>
  <si>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</si>
  <si>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</si>
  <si>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</si>
  <si>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</si>
  <si>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</si>
  <si>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</si>
  <si>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</si>
  <si>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</si>
  <si>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</si>
  <si>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</si>
  <si>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</si>
  <si>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</si>
  <si>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</si>
  <si>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</si>
  <si>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</si>
  <si>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</si>
  <si>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</si>
  <si>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</si>
  <si>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</si>
  <si>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</si>
  <si>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</si>
  <si>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</si>
  <si>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</si>
  <si>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</si>
  <si>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</si>
  <si>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</si>
  <si>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</si>
  <si>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</si>
  <si>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</si>
  <si>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</si>
  <si>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</si>
  <si>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</si>
  <si>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</si>
  <si>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</si>
  <si>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</si>
  <si>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</si>
  <si>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</si>
  <si>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</si>
  <si>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</si>
  <si>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</si>
  <si>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</si>
  <si>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</si>
  <si>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</si>
  <si>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</si>
  <si>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</si>
  <si>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</si>
  <si>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</si>
  <si>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</si>
  <si>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</si>
  <si>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</si>
  <si>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</si>
  <si>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</si>
  <si>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</si>
  <si>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</si>
  <si>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</si>
  <si>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</si>
  <si>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</si>
  <si>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</si>
  <si>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</si>
  <si>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</si>
  <si>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</si>
  <si>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</si>
  <si>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</si>
  <si>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</si>
  <si>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</si>
  <si>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</si>
  <si>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</si>
  <si>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</si>
  <si>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</si>
  <si>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</si>
  <si>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</si>
  <si>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</si>
  <si>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</si>
  <si>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</si>
  <si>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</si>
  <si>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</si>
  <si>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</si>
  <si>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</si>
  <si>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</si>
  <si>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</si>
  <si>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</si>
  <si>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</si>
  <si>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</si>
  <si>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</si>
  <si>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</si>
  <si>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</si>
  <si>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</si>
  <si>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</si>
  <si>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</si>
  <si>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</si>
  <si>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</si>
  <si>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</si>
  <si>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</si>
  <si>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</si>
  <si>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</si>
  <si>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</si>
  <si>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</si>
  <si>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</si>
  <si>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</si>
  <si>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</si>
  <si>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</si>
  <si>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</si>
  <si>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</si>
  <si>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</si>
  <si>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</si>
  <si>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</si>
  <si>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</si>
  <si>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</si>
  <si>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</si>
  <si>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</si>
  <si>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</si>
  <si>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</si>
  <si>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</si>
  <si>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</si>
  <si>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</si>
  <si>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</si>
  <si>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</si>
  <si>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</si>
  <si>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</si>
  <si>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</si>
  <si>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</si>
  <si>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</si>
  <si>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</si>
  <si>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</si>
  <si>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</si>
  <si>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</si>
  <si>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</si>
  <si>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</si>
  <si>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</si>
  <si>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</si>
  <si>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</si>
  <si>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</si>
  <si>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</si>
  <si>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</si>
  <si>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</si>
  <si>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</si>
  <si>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</si>
  <si>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</si>
  <si>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</si>
  <si>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</si>
  <si>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</si>
  <si>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</si>
  <si>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</si>
  <si>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</si>
  <si>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</si>
  <si>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</si>
  <si>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</si>
  <si>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</si>
  <si>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</si>
  <si>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</si>
  <si>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</si>
  <si>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</si>
  <si>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</si>
  <si>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</si>
  <si>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</si>
  <si>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</si>
  <si>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</si>
  <si>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</si>
  <si>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</si>
  <si>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</si>
  <si>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</si>
  <si>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</si>
  <si>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</si>
  <si>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</si>
  <si>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</si>
  <si>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</si>
  <si>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</si>
  <si>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</si>
  <si>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</si>
  <si>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</si>
  <si>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</si>
  <si>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</si>
  <si>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</si>
  <si>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</si>
  <si>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</si>
  <si>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</si>
  <si>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</si>
  <si>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</si>
  <si>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</si>
  <si>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</si>
  <si>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</si>
  <si>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</si>
  <si>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</si>
  <si>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</si>
  <si>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</si>
  <si>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</si>
  <si>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</si>
  <si>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</si>
  <si>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</si>
  <si>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</si>
  <si>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</si>
  <si>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</si>
  <si>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</si>
  <si>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</si>
  <si>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</si>
  <si>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</si>
  <si>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</si>
  <si>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</si>
  <si>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</si>
  <si>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</si>
  <si>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</si>
  <si>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</si>
  <si>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</si>
  <si>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</si>
  <si>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</si>
  <si>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</si>
  <si>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</si>
  <si>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</si>
  <si>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</si>
  <si>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</si>
  <si>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</si>
  <si>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</si>
  <si>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</si>
  <si>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</si>
  <si>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</si>
  <si>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</si>
  <si>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</si>
  <si>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</si>
  <si>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</si>
  <si>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</si>
  <si>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</si>
  <si>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</si>
  <si>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</si>
  <si>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</si>
  <si>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</si>
  <si>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</si>
  <si>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</si>
  <si>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</si>
  <si>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</si>
  <si>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</si>
  <si>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</si>
  <si>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</si>
  <si>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</si>
  <si>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</si>
  <si>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</si>
  <si>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</si>
  <si>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</si>
  <si>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</si>
  <si>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</si>
  <si>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</si>
  <si>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</si>
  <si>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</si>
  <si>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</si>
  <si>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</si>
  <si>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</si>
  <si>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</si>
  <si>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</si>
  <si>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</si>
  <si>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</si>
  <si>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</si>
  <si>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</si>
  <si>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</si>
  <si>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</si>
  <si>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</si>
  <si>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</si>
  <si>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</si>
  <si>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</si>
  <si>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</si>
  <si>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</si>
  <si>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</si>
  <si>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</si>
  <si>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</si>
  <si>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</si>
  <si>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</si>
  <si>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</si>
  <si>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</si>
  <si>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</si>
  <si>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</si>
  <si>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</si>
  <si>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</si>
  <si>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</si>
  <si>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</si>
  <si>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</si>
  <si>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</si>
  <si>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</si>
  <si>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</si>
  <si>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</si>
  <si>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</si>
  <si>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</si>
  <si>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</si>
  <si>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</si>
  <si>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</si>
  <si>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</si>
  <si>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</si>
  <si>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</si>
  <si>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</si>
  <si>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</si>
  <si>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</si>
  <si>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</si>
  <si>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</si>
  <si>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</si>
  <si>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</si>
  <si>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</si>
  <si>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</si>
  <si>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</si>
  <si>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</si>
  <si>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</si>
  <si>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</si>
  <si>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</si>
  <si>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</si>
  <si>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</si>
  <si>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</si>
  <si>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</si>
  <si>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</si>
  <si>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</si>
  <si>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</si>
  <si>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</si>
  <si>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</si>
  <si>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</si>
  <si>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</si>
  <si>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</si>
  <si>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</si>
  <si>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</si>
  <si>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</si>
  <si>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</si>
  <si>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</si>
  <si>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</si>
  <si>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</si>
  <si>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</si>
  <si>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</si>
  <si>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</si>
  <si>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</si>
  <si>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</si>
  <si>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</si>
  <si>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</si>
  <si>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</si>
  <si>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</si>
  <si>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</si>
  <si>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</si>
  <si>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</si>
  <si>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</si>
  <si>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</si>
  <si>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</si>
  <si>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</si>
  <si>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</si>
  <si>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</si>
  <si>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</si>
  <si>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</si>
  <si>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</si>
  <si>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</si>
  <si>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</si>
  <si>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</si>
  <si>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</si>
  <si>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</si>
  <si>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</si>
  <si>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</si>
  <si>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</si>
  <si>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</si>
  <si>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</si>
  <si>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</si>
  <si>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</si>
  <si>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</si>
  <si>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</si>
  <si>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</si>
  <si>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</si>
  <si>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</si>
  <si>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</si>
  <si>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</si>
  <si>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</si>
  <si>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</si>
  <si>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</si>
  <si>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</si>
  <si>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</si>
  <si>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</si>
  <si>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</si>
  <si>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</si>
  <si>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</si>
  <si>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</si>
  <si>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</si>
  <si>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</si>
  <si>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</si>
  <si>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</si>
  <si>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</si>
  <si>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</si>
  <si>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</si>
  <si>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</si>
  <si>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</si>
  <si>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</si>
  <si>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</si>
  <si>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</si>
  <si>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</si>
  <si>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</si>
  <si>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</si>
  <si>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</si>
  <si>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</si>
  <si>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</si>
  <si>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</si>
  <si>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</si>
  <si>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</si>
  <si>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</si>
  <si>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</si>
  <si>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</si>
  <si>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</si>
  <si>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</si>
  <si>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</si>
  <si>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</si>
  <si>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</si>
  <si>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</si>
  <si>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</si>
  <si>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</si>
  <si>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</si>
  <si>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</si>
  <si>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</si>
  <si>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</si>
  <si>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</si>
  <si>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</si>
  <si>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</si>
  <si>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</si>
  <si>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</si>
  <si>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</si>
  <si>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</si>
  <si>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</si>
  <si>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</si>
  <si>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</si>
  <si>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</si>
  <si>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</si>
  <si>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</si>
  <si>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</si>
  <si>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</si>
  <si>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</si>
  <si>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</si>
  <si>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</si>
  <si>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</si>
  <si>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</si>
  <si>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</si>
  <si>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</si>
  <si>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</si>
  <si>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</si>
  <si>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</si>
  <si>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</si>
  <si>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</si>
  <si>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</si>
  <si>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</si>
  <si>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</si>
  <si>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</si>
  <si>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</si>
  <si>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</si>
  <si>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</si>
  <si>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</si>
  <si>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</si>
  <si>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</si>
  <si>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</si>
  <si>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</si>
  <si>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</si>
  <si>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</si>
  <si>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</si>
  <si>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</si>
  <si>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</si>
  <si>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</si>
  <si>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</si>
  <si>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</si>
  <si>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</si>
  <si>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</si>
  <si>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</si>
  <si>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</si>
  <si>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</si>
  <si>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</si>
  <si>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</si>
  <si>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</si>
  <si>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</si>
  <si>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</si>
  <si>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</si>
  <si>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</si>
  <si>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</si>
  <si>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</si>
  <si>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</si>
  <si>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</si>
  <si>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</si>
  <si>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</si>
  <si>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</si>
  <si>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</si>
  <si>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</si>
  <si>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</si>
  <si>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</si>
  <si>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</si>
  <si>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</si>
  <si>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</si>
  <si>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</si>
  <si>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</si>
  <si>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</si>
  <si>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</si>
  <si>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</si>
  <si>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</si>
  <si>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</si>
  <si>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</si>
  <si>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</si>
  <si>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</si>
  <si>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</si>
  <si>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</si>
  <si>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</si>
  <si>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</si>
  <si>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</si>
  <si>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</si>
  <si>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</si>
  <si>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</si>
  <si>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</si>
  <si>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</si>
  <si>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</si>
  <si>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</si>
  <si>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</si>
  <si>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</si>
  <si>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</si>
  <si>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</si>
  <si>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</si>
  <si>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</si>
  <si>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</si>
  <si>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</si>
  <si>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</si>
  <si>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</si>
  <si>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</si>
  <si>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</si>
  <si>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</si>
  <si>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</si>
  <si>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</si>
  <si>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</si>
  <si>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</si>
  <si>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</si>
  <si>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</si>
  <si>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</si>
  <si>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</si>
  <si>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</si>
  <si>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</si>
  <si>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</si>
  <si>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</si>
  <si>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</si>
  <si>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</si>
  <si>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</si>
  <si>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</si>
  <si>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</si>
  <si>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</si>
  <si>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</si>
  <si>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</si>
  <si>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</si>
  <si>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</si>
  <si>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</si>
  <si>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</si>
  <si>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</si>
  <si>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</si>
  <si>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</si>
  <si>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</si>
  <si>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</si>
  <si>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</si>
  <si>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</si>
  <si>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</si>
  <si>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</si>
  <si>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</si>
  <si>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</si>
  <si>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</si>
  <si>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</si>
  <si>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</si>
  <si>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</si>
  <si>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</si>
  <si>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</si>
  <si>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</si>
  <si>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</si>
  <si>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</si>
  <si>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</si>
  <si>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</si>
  <si>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</si>
  <si>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</si>
  <si>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</si>
  <si>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</si>
  <si>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</si>
  <si>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</si>
  <si>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</si>
  <si>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</si>
  <si>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</si>
  <si>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</si>
  <si>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</si>
  <si>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</si>
  <si>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</si>
  <si>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</si>
  <si>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</si>
  <si>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</si>
  <si>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</si>
  <si>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</si>
  <si>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</si>
  <si>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</si>
  <si>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</si>
  <si>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</si>
  <si>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</si>
  <si>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</si>
  <si>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</si>
  <si>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</si>
  <si>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</si>
  <si>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</si>
  <si>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</si>
  <si>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</si>
  <si>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</si>
  <si>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</si>
  <si>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</si>
  <si>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</si>
  <si>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</si>
  <si>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</si>
  <si>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</si>
  <si>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</si>
  <si>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</si>
  <si>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</si>
  <si>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</si>
  <si>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</si>
  <si>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</si>
  <si>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</si>
  <si>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</si>
  <si>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</si>
  <si>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</si>
  <si>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</si>
  <si>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</si>
  <si>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</si>
  <si>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</si>
  <si>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</si>
  <si>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</si>
  <si>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</si>
  <si>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</si>
  <si>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</si>
  <si>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</si>
  <si>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</si>
  <si>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</si>
  <si>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</si>
  <si>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</si>
  <si>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</si>
  <si>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</si>
  <si>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</si>
  <si>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</si>
  <si>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</si>
  <si>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</si>
  <si>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</si>
  <si>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</si>
  <si>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</si>
  <si>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</si>
  <si>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</si>
  <si>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</si>
  <si>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</si>
  <si>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</si>
  <si>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</si>
  <si>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</si>
  <si>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</si>
  <si>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</si>
  <si>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</si>
  <si>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</si>
  <si>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</si>
  <si>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</si>
  <si>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</si>
  <si>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</si>
  <si>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</si>
  <si>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</si>
  <si>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</si>
  <si>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</si>
  <si>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</si>
  <si>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</si>
  <si>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</si>
  <si>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</si>
  <si>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</si>
  <si>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</si>
  <si>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</si>
  <si>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</si>
  <si>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</si>
  <si>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</si>
  <si>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</si>
  <si>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</si>
  <si>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</si>
  <si>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</si>
  <si>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</si>
  <si>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</si>
  <si>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</si>
  <si>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</si>
  <si>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</si>
  <si>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</si>
  <si>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</si>
  <si>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</si>
  <si>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</si>
  <si>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</si>
  <si>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</si>
  <si>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</si>
  <si>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</si>
  <si>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</si>
  <si>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</si>
  <si>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</si>
  <si>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</si>
  <si>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</si>
  <si>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</si>
  <si>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</si>
  <si>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</si>
  <si>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</si>
  <si>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</si>
  <si>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</si>
  <si>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</si>
  <si>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</si>
  <si>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</si>
  <si>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</si>
  <si>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</si>
  <si>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</si>
  <si>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</si>
  <si>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</si>
  <si>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</si>
  <si>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</si>
  <si>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</si>
  <si>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</si>
  <si>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</si>
  <si>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</si>
  <si>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</si>
  <si>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</si>
  <si>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</si>
  <si>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</si>
  <si>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</si>
  <si>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</si>
  <si>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</si>
  <si>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</si>
  <si>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</si>
  <si>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</si>
  <si>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</si>
  <si>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</si>
  <si>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</si>
  <si>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</si>
  <si>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</si>
  <si>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</si>
  <si>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</si>
  <si>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</si>
  <si>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</si>
  <si>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</si>
  <si>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</si>
  <si>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</si>
  <si>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</si>
  <si>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</si>
  <si>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</si>
  <si>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</si>
  <si>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</si>
  <si>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</si>
  <si>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</si>
  <si>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</si>
  <si>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</si>
  <si>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</si>
  <si>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</si>
  <si>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</si>
  <si>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</si>
  <si>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</si>
  <si>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</si>
  <si>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</si>
  <si>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</si>
  <si>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</si>
  <si>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</si>
  <si>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</si>
  <si>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</si>
  <si>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</si>
  <si>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</si>
  <si>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</si>
  <si>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</si>
  <si>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</si>
  <si>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</si>
  <si>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</si>
  <si>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</si>
  <si>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</si>
  <si>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</si>
  <si>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</si>
  <si>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</si>
  <si>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</si>
  <si>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</si>
  <si>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</si>
  <si>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</si>
  <si>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</si>
  <si>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</si>
  <si>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</si>
  <si>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</si>
  <si>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</si>
  <si>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</si>
  <si>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</si>
  <si>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</si>
  <si>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</si>
  <si>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</si>
  <si>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</si>
  <si>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</si>
  <si>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</si>
  <si>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</si>
  <si>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</si>
  <si>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</si>
  <si>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</si>
  <si>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</si>
  <si>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</si>
  <si>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</si>
  <si>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</si>
  <si>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</si>
  <si>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</si>
  <si>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</si>
  <si>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</si>
  <si>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</si>
  <si>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</si>
  <si>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</si>
  <si>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</si>
  <si>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</si>
  <si>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</si>
  <si>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</si>
  <si>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</si>
  <si>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</si>
  <si>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</si>
  <si>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</si>
  <si>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</si>
  <si>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</si>
  <si>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</si>
  <si>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</si>
  <si>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</si>
  <si>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</si>
  <si>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</si>
  <si>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</si>
  <si>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</si>
  <si>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</si>
  <si>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</si>
  <si>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</si>
  <si>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</si>
  <si>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</si>
  <si>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</si>
  <si>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</si>
  <si>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</si>
  <si>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</si>
  <si>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</si>
  <si>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</si>
  <si>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</si>
  <si>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</si>
  <si>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</si>
  <si>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</si>
  <si>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</si>
  <si>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</si>
  <si>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</si>
  <si>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</si>
  <si>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</si>
  <si>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</si>
  <si>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</si>
  <si>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</si>
  <si>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</si>
  <si>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</si>
  <si>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</si>
  <si>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</si>
  <si>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</si>
  <si>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</si>
  <si>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</si>
  <si>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</si>
  <si>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</si>
  <si>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</si>
  <si>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</si>
  <si>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</si>
  <si>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</si>
  <si>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</si>
  <si>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</si>
  <si>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</si>
  <si>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</si>
  <si>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</si>
  <si>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</si>
  <si>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</si>
  <si>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</si>
  <si>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</si>
  <si>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</si>
  <si>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</si>
  <si>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</si>
  <si>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</si>
  <si>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</si>
  <si>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</si>
  <si>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</si>
  <si>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</si>
  <si>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</si>
  <si>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</si>
  <si>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</si>
  <si>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</si>
  <si>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</si>
  <si>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</si>
  <si>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</si>
  <si>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</si>
  <si>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</si>
  <si>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</si>
  <si>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</si>
  <si>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</si>
  <si>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</si>
  <si>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</si>
  <si>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</si>
  <si>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</si>
  <si>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</si>
  <si>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</si>
  <si>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</si>
  <si>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</si>
  <si>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</si>
  <si>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</si>
  <si>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</si>
  <si>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</si>
  <si>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</si>
  <si>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</si>
  <si>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</si>
  <si>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</si>
  <si>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</si>
  <si>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</si>
  <si>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</si>
  <si>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</si>
  <si>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</si>
  <si>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</si>
  <si>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</si>
  <si>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</si>
  <si>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</si>
  <si>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</si>
  <si>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</si>
  <si>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</si>
  <si>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</si>
  <si>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</si>
  <si>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</si>
  <si>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</si>
  <si>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</si>
  <si>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</si>
  <si>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</si>
  <si>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</si>
  <si>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</si>
  <si>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</si>
  <si>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</si>
  <si>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</si>
  <si>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</si>
  <si>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</si>
  <si>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</si>
  <si>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</si>
  <si>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</si>
  <si>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</si>
  <si>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</si>
  <si>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</si>
  <si>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</si>
  <si>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</si>
  <si>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</si>
  <si>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</si>
  <si>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</si>
  <si>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</si>
  <si>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</si>
  <si>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</si>
  <si>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</si>
  <si>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</si>
  <si>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</si>
  <si>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</si>
  <si>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</si>
  <si>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</si>
  <si>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</si>
  <si>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</si>
  <si>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</si>
  <si>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</si>
  <si>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</si>
  <si>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</si>
  <si>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</si>
  <si>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</si>
  <si>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</si>
  <si>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</si>
  <si>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</si>
  <si>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</si>
  <si>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</si>
  <si>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</si>
  <si>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</si>
  <si>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</si>
  <si>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</si>
  <si>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</si>
  <si>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</si>
  <si>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</si>
  <si>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</si>
  <si>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</si>
  <si>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</si>
  <si>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</si>
  <si>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</si>
  <si>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</si>
  <si>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</si>
  <si>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</si>
  <si>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</si>
  <si>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</si>
  <si>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</si>
  <si>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</si>
  <si>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</si>
  <si>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</si>
  <si>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</si>
  <si>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</si>
  <si>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</si>
  <si>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</si>
  <si>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</si>
  <si>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</si>
  <si>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</si>
  <si>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</si>
  <si>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</si>
  <si>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</si>
  <si>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</si>
  <si>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</si>
  <si>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</si>
  <si>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</si>
  <si>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</si>
  <si>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</si>
  <si>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</si>
  <si>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</si>
  <si>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</si>
  <si>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</si>
  <si>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</si>
  <si>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</si>
  <si>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</si>
  <si>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</si>
  <si>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</si>
  <si>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</si>
  <si>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</si>
  <si>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</si>
  <si>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</si>
  <si>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</si>
  <si>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</si>
  <si>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</si>
  <si>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</si>
  <si>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</si>
  <si>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</si>
  <si>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</si>
  <si>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</si>
  <si>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</si>
  <si>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</si>
  <si>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</si>
  <si>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</si>
  <si>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</si>
  <si>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</si>
  <si>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</si>
  <si>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</si>
  <si>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</si>
  <si>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</si>
  <si>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</si>
  <si>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</si>
  <si>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</si>
  <si>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</si>
  <si>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</si>
  <si>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</si>
  <si>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</si>
  <si>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</si>
  <si>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</si>
  <si>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</si>
  <si>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</si>
  <si>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</si>
  <si>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</si>
  <si>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</si>
  <si>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</si>
  <si>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</si>
  <si>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</si>
  <si>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</si>
  <si>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</si>
  <si>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</si>
  <si>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</si>
  <si>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</si>
  <si>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</si>
  <si>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</si>
  <si>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</si>
  <si>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</si>
  <si>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</si>
  <si>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</si>
  <si>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</si>
  <si>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</si>
  <si>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</si>
  <si>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</si>
  <si>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</si>
  <si>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</si>
  <si>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</si>
  <si>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</si>
  <si>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</si>
  <si>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</si>
  <si>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</si>
  <si>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</si>
  <si>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</si>
  <si>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</si>
  <si>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</si>
  <si>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</si>
  <si>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</si>
  <si>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</si>
  <si>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</si>
  <si>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</si>
  <si>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</si>
  <si>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</si>
  <si>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</si>
  <si>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</si>
  <si>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</si>
  <si>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</si>
  <si>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</si>
  <si>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</si>
  <si>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</si>
  <si>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</si>
  <si>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</si>
  <si>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</si>
  <si>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</si>
  <si>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</si>
  <si>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</si>
  <si>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</si>
  <si>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</si>
  <si>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</si>
  <si>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</si>
  <si>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</si>
  <si>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</si>
  <si>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</si>
  <si>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</si>
  <si>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</si>
  <si>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</si>
  <si>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</si>
  <si>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</si>
  <si>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</si>
  <si>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</si>
  <si>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</si>
  <si>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</si>
  <si>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</si>
  <si>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</si>
  <si>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</si>
  <si>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</si>
  <si>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</si>
  <si>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</si>
  <si>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</si>
  <si>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</si>
  <si>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</si>
  <si>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</si>
  <si>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</si>
  <si>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</si>
  <si>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</si>
  <si>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</si>
  <si>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</si>
  <si>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</si>
  <si>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</si>
  <si>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</si>
  <si>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</si>
  <si>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</si>
  <si>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</si>
  <si>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</si>
  <si>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</si>
  <si>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</si>
  <si>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</si>
  <si>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</si>
  <si>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</si>
  <si>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</si>
  <si>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</si>
  <si>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</si>
  <si>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</si>
  <si>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</si>
  <si>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</si>
  <si>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</si>
  <si>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</si>
  <si>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</si>
  <si>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</si>
  <si>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</si>
  <si>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</si>
  <si>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</si>
  <si>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</si>
  <si>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</si>
  <si>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</si>
  <si>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</si>
  <si>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</si>
  <si>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</si>
  <si>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</si>
  <si>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</si>
  <si>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</si>
  <si>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</si>
  <si>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</si>
  <si>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</si>
  <si>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</si>
  <si>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</si>
  <si>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</si>
  <si>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</si>
  <si>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</si>
  <si>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</si>
  <si>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</si>
  <si>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</si>
  <si>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</si>
  <si>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</si>
  <si>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</si>
  <si>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</si>
  <si>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</si>
  <si>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</si>
  <si>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</si>
  <si>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</si>
  <si>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</si>
  <si>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</si>
  <si>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</si>
  <si>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</si>
  <si>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</si>
  <si>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</si>
  <si>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</si>
  <si>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</si>
  <si>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</si>
  <si>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</si>
  <si>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</si>
  <si>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</si>
  <si>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</si>
  <si>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</si>
  <si>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</si>
  <si>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</si>
  <si>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</si>
  <si>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</si>
  <si>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</si>
  <si>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</si>
  <si>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</si>
  <si>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</si>
  <si>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</si>
  <si>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</si>
  <si>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</si>
  <si>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</si>
  <si>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</si>
  <si>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</si>
  <si>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</si>
  <si>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</si>
  <si>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</si>
  <si>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</si>
  <si>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</si>
  <si>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</si>
  <si>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</si>
  <si>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</si>
  <si>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</si>
  <si>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</si>
  <si>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</si>
  <si>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</si>
  <si>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</si>
  <si>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</si>
  <si>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</si>
  <si>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</si>
  <si>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</si>
  <si>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</si>
  <si>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</si>
  <si>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</si>
  <si>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</si>
  <si>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</si>
  <si>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</si>
  <si>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</si>
  <si>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</si>
  <si>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</si>
  <si>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</si>
  <si>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</si>
  <si>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</si>
  <si>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</si>
  <si>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</si>
  <si>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</si>
  <si>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</si>
  <si>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</si>
  <si>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</si>
  <si>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</si>
  <si>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</si>
  <si>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</si>
  <si>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</si>
  <si>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</si>
  <si>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</si>
  <si>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</si>
  <si>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</si>
  <si>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</si>
  <si>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</si>
  <si>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</si>
  <si>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</si>
  <si>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</si>
  <si>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</si>
  <si>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</si>
  <si>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</si>
  <si>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</si>
  <si>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</si>
  <si>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</si>
  <si>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</si>
  <si>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</si>
  <si>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</si>
  <si>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</si>
  <si>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</si>
  <si>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</si>
  <si>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</si>
  <si>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</si>
  <si>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</si>
  <si>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</si>
  <si>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</si>
  <si>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</si>
  <si>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</si>
  <si>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</si>
  <si>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</si>
  <si>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</si>
  <si>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</si>
  <si>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</si>
  <si>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</si>
  <si>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</si>
  <si>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</si>
  <si>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</si>
  <si>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</si>
  <si>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</si>
  <si>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</si>
  <si>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</si>
  <si>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</si>
  <si>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</si>
  <si>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</si>
  <si>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</si>
  <si>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</si>
  <si>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</si>
  <si>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</si>
  <si>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</si>
  <si>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</si>
  <si>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</si>
  <si>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</si>
  <si>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</si>
  <si>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</si>
  <si>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</si>
  <si>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</si>
  <si>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</si>
  <si>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</si>
  <si>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</si>
  <si>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</si>
  <si>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</si>
  <si>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</si>
  <si>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</si>
  <si>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</si>
  <si>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</si>
  <si>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</si>
  <si>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</si>
  <si>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</si>
  <si>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</si>
  <si>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</si>
  <si>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</si>
  <si>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</si>
  <si>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</si>
  <si>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</si>
  <si>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</si>
  <si>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</si>
  <si>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</si>
  <si>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</si>
  <si>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</si>
  <si>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</si>
  <si>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</si>
  <si>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</si>
  <si>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</si>
  <si>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</si>
  <si>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</si>
  <si>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</si>
  <si>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</si>
  <si>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</si>
  <si>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</si>
  <si>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</si>
  <si>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</si>
  <si>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</si>
  <si>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</si>
  <si>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</si>
  <si>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</si>
  <si>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</si>
  <si>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</si>
  <si>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</si>
  <si>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</si>
  <si>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</si>
  <si>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</si>
  <si>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</si>
  <si>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</si>
  <si>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</si>
  <si>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</si>
  <si>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</si>
  <si>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</si>
  <si>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</si>
  <si>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</si>
  <si>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</si>
  <si>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</si>
  <si>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</si>
  <si>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</si>
  <si>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</si>
  <si>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</si>
  <si>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</si>
  <si>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</si>
  <si>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</si>
  <si>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</si>
  <si>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</si>
  <si>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</si>
  <si>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</si>
  <si>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</si>
  <si>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</si>
  <si>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</si>
  <si>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</si>
  <si>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</si>
  <si>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</si>
  <si>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</si>
  <si>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</si>
  <si>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</si>
  <si>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</si>
  <si>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</si>
  <si>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</si>
  <si>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</si>
  <si>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</si>
  <si>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</si>
  <si>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</si>
  <si>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</si>
  <si>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</si>
  <si>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</si>
  <si>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</si>
  <si>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</si>
  <si>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</si>
  <si>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</si>
  <si>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</si>
  <si>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</si>
  <si>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</si>
  <si>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</si>
  <si>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</si>
  <si>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</si>
  <si>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</si>
  <si>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</si>
  <si>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</si>
  <si>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</si>
  <si>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</si>
  <si>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</si>
  <si>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</si>
  <si>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</si>
  <si>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</si>
  <si>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</si>
  <si>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</si>
  <si>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</si>
  <si>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</si>
  <si>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</si>
  <si>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</si>
  <si>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</si>
  <si>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</si>
  <si>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</si>
  <si>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</si>
  <si>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</si>
  <si>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</si>
  <si>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</si>
  <si>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</si>
  <si>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</si>
  <si>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</si>
  <si>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</si>
  <si>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</si>
  <si>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</si>
  <si>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</si>
  <si>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</si>
  <si>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</si>
  <si>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</si>
  <si>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</si>
  <si>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</si>
  <si>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</si>
  <si>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</si>
  <si>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</si>
  <si>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</si>
  <si>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</si>
  <si>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</si>
  <si>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</si>
  <si>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</si>
  <si>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</si>
  <si>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</si>
  <si>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</si>
  <si>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</si>
  <si>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</si>
  <si>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</si>
  <si>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</si>
  <si>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</si>
  <si>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</si>
  <si>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</si>
  <si>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</si>
  <si>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</si>
  <si>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</si>
  <si>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</si>
  <si>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</si>
  <si>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</si>
  <si>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</si>
  <si>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</si>
  <si>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</si>
  <si>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</si>
  <si>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</si>
  <si>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</si>
  <si>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</si>
  <si>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</si>
  <si>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</si>
  <si>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</si>
  <si>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</si>
  <si>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</si>
  <si>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</si>
  <si>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</si>
  <si>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</si>
  <si>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</si>
  <si>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</si>
  <si>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</si>
  <si>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</si>
  <si>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</si>
  <si>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</si>
  <si>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</si>
  <si>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</si>
  <si>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</si>
  <si>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</si>
  <si>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</si>
  <si>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</si>
  <si>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</si>
  <si>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</si>
  <si>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</si>
  <si>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</si>
  <si>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</si>
  <si>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</si>
  <si>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</si>
  <si>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</si>
  <si>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</si>
  <si>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</si>
  <si>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</si>
  <si>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</si>
  <si>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</si>
  <si>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</si>
  <si>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</si>
  <si>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</si>
  <si>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</si>
  <si>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</si>
  <si>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</si>
  <si>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</si>
  <si>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</si>
  <si>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</si>
  <si>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</si>
  <si>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</si>
  <si>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</si>
  <si>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</si>
  <si>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</si>
  <si>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</si>
  <si>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</si>
  <si>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</si>
  <si>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</si>
  <si>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</si>
  <si>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</si>
  <si>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</si>
  <si>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</si>
  <si>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</si>
  <si>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</si>
  <si>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</si>
  <si>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</si>
  <si>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</si>
  <si>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</si>
  <si>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</si>
  <si>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</si>
  <si>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</si>
  <si>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</si>
  <si>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</si>
  <si>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</si>
  <si>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</si>
  <si>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</si>
  <si>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</si>
  <si>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</si>
  <si>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</si>
  <si>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</si>
  <si>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</si>
  <si>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</si>
  <si>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</si>
  <si>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</si>
  <si>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</si>
  <si>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</si>
  <si>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</si>
  <si>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</si>
  <si>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</si>
  <si>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</si>
  <si>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</si>
  <si>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</si>
  <si>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</si>
  <si>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</si>
  <si>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</si>
  <si>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</si>
  <si>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</si>
  <si>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</si>
  <si>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</si>
  <si>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</si>
  <si>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</si>
  <si>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</si>
  <si>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</si>
  <si>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</si>
  <si>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</si>
  <si>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</si>
  <si>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</si>
  <si>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</si>
  <si>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</si>
  <si>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</si>
  <si>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</si>
  <si>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</si>
  <si>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</si>
  <si>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</si>
  <si>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</si>
  <si>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</si>
  <si>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</si>
  <si>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</si>
  <si>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</si>
  <si>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</si>
  <si>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</si>
  <si>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</si>
  <si>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</si>
  <si>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</si>
  <si>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</si>
  <si>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</si>
  <si>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</si>
  <si>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</si>
  <si>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</si>
  <si>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</si>
  <si>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</si>
  <si>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</si>
  <si>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</si>
  <si>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</si>
  <si>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</si>
  <si>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</si>
  <si>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</si>
  <si>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</si>
  <si>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</si>
  <si>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</si>
  <si>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</si>
  <si>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</si>
  <si>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</si>
  <si>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</si>
  <si>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</si>
  <si>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</si>
  <si>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</si>
  <si>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</si>
  <si>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</si>
  <si>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</si>
  <si>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</si>
  <si>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</si>
  <si>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</si>
  <si>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</si>
  <si>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</si>
  <si>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</si>
  <si>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</si>
  <si>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</si>
  <si>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</si>
  <si>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</si>
  <si>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</si>
  <si>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</si>
  <si>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</si>
  <si>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</si>
  <si>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</si>
  <si>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</si>
  <si>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</si>
  <si>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</si>
  <si>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</si>
  <si>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</si>
  <si>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</si>
  <si>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</si>
  <si>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</si>
  <si>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</si>
  <si>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</si>
  <si>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</si>
  <si>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</si>
  <si>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</si>
  <si>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</si>
  <si>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</si>
  <si>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</si>
  <si>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</si>
  <si>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</si>
  <si>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</si>
  <si>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</si>
  <si>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</si>
  <si>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</si>
  <si>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</si>
  <si>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</si>
  <si>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</si>
  <si>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</si>
  <si>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</si>
  <si>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</si>
  <si>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</si>
  <si>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</si>
  <si>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</si>
  <si>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</si>
  <si>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</si>
  <si>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</si>
  <si>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</si>
  <si>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</si>
  <si>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</si>
  <si>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</si>
  <si>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</si>
  <si>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</si>
  <si>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</si>
  <si>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</si>
  <si>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</si>
  <si>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</si>
  <si>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</si>
  <si>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</si>
  <si>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</si>
  <si>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</si>
  <si>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</si>
  <si>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</si>
  <si>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</si>
  <si>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</si>
  <si>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</si>
  <si>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</si>
  <si>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</si>
  <si>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</si>
  <si>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</si>
  <si>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</si>
  <si>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</si>
  <si>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</si>
  <si>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</si>
  <si>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</si>
  <si>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</si>
  <si>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</si>
  <si>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</si>
  <si>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</si>
  <si>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</si>
  <si>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</si>
  <si>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</si>
  <si>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</si>
  <si>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</si>
  <si>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</si>
  <si>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</si>
  <si>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</si>
  <si>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</si>
  <si>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</si>
  <si>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</si>
  <si>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</si>
  <si>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</si>
  <si>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</si>
  <si>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</si>
  <si>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</si>
  <si>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</si>
  <si>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</si>
  <si>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</si>
  <si>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</si>
  <si>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</si>
  <si>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</si>
  <si>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</si>
  <si>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</si>
  <si>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</si>
  <si>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</si>
  <si>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</si>
  <si>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</si>
  <si>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</si>
  <si>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</si>
  <si>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</si>
  <si>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</si>
  <si>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</si>
  <si>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</si>
  <si>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</si>
  <si>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</si>
  <si>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</si>
  <si>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</si>
  <si>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</si>
  <si>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</si>
  <si>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</si>
  <si>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</si>
  <si>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</si>
  <si>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</si>
  <si>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</si>
  <si>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</si>
  <si>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</si>
  <si>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</si>
  <si>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</si>
  <si>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</si>
  <si>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</si>
  <si>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</si>
  <si>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</si>
  <si>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</si>
  <si>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</si>
  <si>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</si>
  <si>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</si>
  <si>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</si>
  <si>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</si>
  <si>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</si>
  <si>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</si>
  <si>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</si>
  <si>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</si>
  <si>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</si>
  <si>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</si>
  <si>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</si>
  <si>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</si>
  <si>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</si>
  <si>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</si>
  <si>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</si>
  <si>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</si>
  <si>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</si>
  <si>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</si>
  <si>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</si>
  <si>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</si>
  <si>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</si>
  <si>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</si>
  <si>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</si>
  <si>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</si>
  <si>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</si>
  <si>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</si>
  <si>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</si>
  <si>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</si>
  <si>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</si>
  <si>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</si>
  <si>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</si>
  <si>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</si>
  <si>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</si>
  <si>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</si>
  <si>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</si>
  <si>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</si>
  <si>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</si>
  <si>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</si>
  <si>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</si>
  <si>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</si>
  <si>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</si>
  <si>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</si>
  <si>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</si>
  <si>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</si>
  <si>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</si>
  <si>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</si>
  <si>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</si>
  <si>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</si>
  <si>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</si>
  <si>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</si>
  <si>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</si>
  <si>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</si>
  <si>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</si>
  <si>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</si>
  <si>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</si>
  <si>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</si>
  <si>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</si>
  <si>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</si>
  <si>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</si>
  <si>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</si>
  <si>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</si>
  <si>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</si>
  <si>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</si>
  <si>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</si>
  <si>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</si>
  <si>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</si>
  <si>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</si>
  <si>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</si>
  <si>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</si>
  <si>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</si>
  <si>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</si>
  <si>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</si>
  <si>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</si>
  <si>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</si>
  <si>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</si>
  <si>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</si>
  <si>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</si>
  <si>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</si>
  <si>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</si>
  <si>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</si>
  <si>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</si>
  <si>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</si>
  <si>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</si>
  <si>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</si>
  <si>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</si>
  <si>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</si>
  <si>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</si>
  <si>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</si>
  <si>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</si>
  <si>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</si>
  <si>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</si>
  <si>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</si>
  <si>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</si>
  <si>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</si>
  <si>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</si>
  <si>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</si>
  <si>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</si>
  <si>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</si>
  <si>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</si>
  <si>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</si>
  <si>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</si>
  <si>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</si>
  <si>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</si>
  <si>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</si>
  <si>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</si>
  <si>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</si>
  <si>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</si>
  <si>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</si>
  <si>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</si>
  <si>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</si>
  <si>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</si>
  <si>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</si>
  <si>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</si>
  <si>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</si>
  <si>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</si>
  <si>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</si>
  <si>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</si>
  <si>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</si>
  <si>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</si>
  <si>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</si>
  <si>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</si>
  <si>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</si>
  <si>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</si>
  <si>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</si>
  <si>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</si>
  <si>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</si>
  <si>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</si>
  <si>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</si>
  <si>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</si>
  <si>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</si>
  <si>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</si>
  <si>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</si>
  <si>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</si>
  <si>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</si>
  <si>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</si>
  <si>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</si>
  <si>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</si>
  <si>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</si>
  <si>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</si>
  <si>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</si>
  <si>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</si>
  <si>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</si>
  <si>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</si>
  <si>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</si>
  <si>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</si>
  <si>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</si>
  <si>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</si>
  <si>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</si>
  <si>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</si>
  <si>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</si>
  <si>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</si>
  <si>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</si>
  <si>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</si>
  <si>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</si>
  <si>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</si>
  <si>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</si>
  <si>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</si>
  <si>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</si>
  <si>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</si>
  <si>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</si>
  <si>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</si>
  <si>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</si>
  <si>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</si>
  <si>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</si>
  <si>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</si>
  <si>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</si>
  <si>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</si>
  <si>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</si>
  <si>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</si>
  <si>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</si>
  <si>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</si>
  <si>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</si>
  <si>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</si>
  <si>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</si>
  <si>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</si>
  <si>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</si>
  <si>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</si>
  <si>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</si>
  <si>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</si>
  <si>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</si>
  <si>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</si>
  <si>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</si>
  <si>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</si>
  <si>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</si>
  <si>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</si>
  <si>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</si>
  <si>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</si>
  <si>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</si>
  <si>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</si>
  <si>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</si>
  <si>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</si>
  <si>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</si>
  <si>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</si>
  <si>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</si>
  <si>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</si>
  <si>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</si>
  <si>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</si>
  <si>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</si>
  <si>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</si>
  <si>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</si>
  <si>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</si>
  <si>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</si>
  <si>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</si>
  <si>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</si>
  <si>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</si>
  <si>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</si>
  <si>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</si>
  <si>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</si>
  <si>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</si>
  <si>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</si>
  <si>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</si>
  <si>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</si>
  <si>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</si>
  <si>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</si>
  <si>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</si>
  <si>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</si>
  <si>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</si>
  <si>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</si>
  <si>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</si>
  <si>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</si>
  <si>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</si>
  <si>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</si>
  <si>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</si>
  <si>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</si>
  <si>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</si>
  <si>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</si>
  <si>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</si>
  <si>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</si>
  <si>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</si>
  <si>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</si>
  <si>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</si>
  <si>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</si>
  <si>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</si>
  <si>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</si>
  <si>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</si>
  <si>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</si>
  <si>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</si>
  <si>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</si>
  <si>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</si>
  <si>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</si>
  <si>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</si>
  <si>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</si>
  <si>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</si>
  <si>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</si>
  <si>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</si>
  <si>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</si>
  <si>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</si>
  <si>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</si>
  <si>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</si>
  <si>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</si>
  <si>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</si>
  <si>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</si>
  <si>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</si>
  <si>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</si>
  <si>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</si>
  <si>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</si>
  <si>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</si>
  <si>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</si>
  <si>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</si>
  <si>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</si>
  <si>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</si>
  <si>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</si>
  <si>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</si>
  <si>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</si>
  <si>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</si>
  <si>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</si>
  <si>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</si>
  <si>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</si>
  <si>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</si>
  <si>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</si>
  <si>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</si>
  <si>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</si>
  <si>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</si>
  <si>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</si>
  <si>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</si>
  <si>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</si>
  <si>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</si>
  <si>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</si>
  <si>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</si>
  <si>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</si>
  <si>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</si>
  <si>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</si>
  <si>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</si>
  <si>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</si>
  <si>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</si>
  <si>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</si>
  <si>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</si>
  <si>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</si>
  <si>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</si>
  <si>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</si>
  <si>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</si>
  <si>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</si>
  <si>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</si>
  <si>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</si>
  <si>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</si>
  <si>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</si>
  <si>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</si>
  <si>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</si>
  <si>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</si>
  <si>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</si>
  <si>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</si>
  <si>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</si>
  <si>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</si>
  <si>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</si>
  <si>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</si>
  <si>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</si>
  <si>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</si>
  <si>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</si>
  <si>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</si>
  <si>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郑燚</t>
  </si>
  <si>
    <t>崔锴</t>
  </si>
  <si>
    <t>抵押</t>
  </si>
  <si>
    <t>房地产抵押价值</t>
  </si>
  <si>
    <t>北京市</t>
  </si>
  <si>
    <t>企业</t>
  </si>
  <si>
    <t>《不动产权证书》</t>
  </si>
  <si>
    <t>复印件</t>
  </si>
  <si>
    <t>居住项目</t>
  </si>
  <si>
    <t>无</t>
  </si>
  <si>
    <t>否</t>
  </si>
  <si>
    <t>现房</t>
  </si>
  <si>
    <t>通路</t>
  </si>
  <si>
    <t>通电</t>
  </si>
  <si>
    <t>通讯</t>
  </si>
  <si>
    <t>通上水</t>
  </si>
  <si>
    <t>通下水</t>
  </si>
  <si>
    <t>通热</t>
  </si>
  <si>
    <t>平整</t>
  </si>
  <si>
    <t>Ⅶ-门1</t>
  </si>
  <si>
    <t>是</t>
  </si>
  <si>
    <t>地上</t>
  </si>
  <si>
    <t>底商</t>
  </si>
  <si>
    <t>底商</t>
    <phoneticPr fontId="7" type="noConversion"/>
  </si>
  <si>
    <t>成新度</t>
  </si>
  <si>
    <t>建成</t>
    <phoneticPr fontId="3" type="noConversion"/>
  </si>
  <si>
    <t>直线</t>
    <phoneticPr fontId="3" type="noConversion"/>
  </si>
  <si>
    <t>收益法 (元)</t>
  </si>
  <si>
    <t>较好</t>
  </si>
  <si>
    <t>较好</t>
    <phoneticPr fontId="40" type="noConversion"/>
  </si>
  <si>
    <t>较好</t>
    <phoneticPr fontId="24" type="noConversion"/>
  </si>
  <si>
    <t>一般</t>
  </si>
  <si>
    <t>一般</t>
    <phoneticPr fontId="24" type="noConversion"/>
  </si>
  <si>
    <t>一般</t>
    <phoneticPr fontId="40" type="noConversion"/>
  </si>
  <si>
    <t>较好</t>
    <phoneticPr fontId="40" type="noConversion"/>
  </si>
  <si>
    <t>七通</t>
  </si>
  <si>
    <t>七通</t>
    <phoneticPr fontId="24" type="noConversion"/>
  </si>
  <si>
    <t>估价对象容积率</t>
  </si>
  <si>
    <t>不临65条商业街</t>
  </si>
  <si>
    <t>与级别开发程度不一致</t>
  </si>
  <si>
    <t>中心城区以外</t>
  </si>
  <si>
    <t>楼层修正</t>
  </si>
  <si>
    <t>好</t>
  </si>
  <si>
    <t>未包含在土地购买价格中</t>
  </si>
  <si>
    <t>已包含在土地取得成本中</t>
  </si>
  <si>
    <t>押一</t>
  </si>
  <si>
    <t>钢混</t>
  </si>
  <si>
    <t>非生产用房</t>
  </si>
  <si>
    <t>项目名称</t>
    <phoneticPr fontId="134" type="noConversion"/>
  </si>
  <si>
    <t>中昂时代广场</t>
    <phoneticPr fontId="134" type="noConversion"/>
  </si>
  <si>
    <t>面积</t>
    <phoneticPr fontId="134" type="noConversion"/>
  </si>
  <si>
    <t>华远裘马四季</t>
    <phoneticPr fontId="134" type="noConversion"/>
  </si>
  <si>
    <t>金泰丽湾悦栖山</t>
    <phoneticPr fontId="134" type="noConversion"/>
  </si>
  <si>
    <t>门头沟京汉铂寓</t>
    <phoneticPr fontId="134" type="noConversion"/>
  </si>
  <si>
    <t>霁月园</t>
    <phoneticPr fontId="134" type="noConversion"/>
  </si>
  <si>
    <t>西山艺境</t>
    <phoneticPr fontId="134" type="noConversion"/>
  </si>
  <si>
    <t>远洋新天地二期</t>
    <phoneticPr fontId="134" type="noConversion"/>
  </si>
  <si>
    <t>售价</t>
  </si>
  <si>
    <t>售价</t>
    <phoneticPr fontId="134" type="noConversion"/>
  </si>
  <si>
    <t>临镜苑</t>
    <phoneticPr fontId="134" type="noConversion"/>
  </si>
  <si>
    <t>华润悦景湾</t>
    <phoneticPr fontId="134" type="noConversion"/>
  </si>
  <si>
    <t>绿城西山燕庐</t>
    <phoneticPr fontId="134" type="noConversion"/>
  </si>
  <si>
    <t>合计</t>
  </si>
  <si>
    <t>序号</t>
  </si>
  <si>
    <t>房号（备案号）</t>
  </si>
  <si>
    <t>实际门牌号</t>
  </si>
  <si>
    <t>套内面积</t>
  </si>
  <si>
    <t>合同建筑面积</t>
  </si>
  <si>
    <t>起始租金
元/天/㎡</t>
  </si>
  <si>
    <t>租户姓名</t>
  </si>
  <si>
    <t>合同起始日期</t>
  </si>
  <si>
    <t>合同结束日期</t>
  </si>
  <si>
    <t>租期（年）</t>
  </si>
  <si>
    <t>应收租金总计（请用公式计算，以便核对月租金和年租金）</t>
  </si>
  <si>
    <t>权责应收应付（以缴费起始日期计算）</t>
  </si>
  <si>
    <t>第一年</t>
  </si>
  <si>
    <t>第二年</t>
  </si>
  <si>
    <t>第三年</t>
  </si>
  <si>
    <t>第四年</t>
  </si>
  <si>
    <t>第五年</t>
  </si>
  <si>
    <t>第六年</t>
  </si>
  <si>
    <t>应收租金总计</t>
  </si>
  <si>
    <t>已收租金（不含押金）</t>
  </si>
  <si>
    <t>未收租金总计</t>
  </si>
  <si>
    <t>2022年合计</t>
  </si>
  <si>
    <t>2023年合计</t>
  </si>
  <si>
    <t>2024年合计</t>
  </si>
  <si>
    <t>总计</t>
  </si>
  <si>
    <t>月租金（元/月）</t>
  </si>
  <si>
    <t>年租金</t>
  </si>
  <si>
    <t>应收</t>
  </si>
  <si>
    <t>应付</t>
  </si>
  <si>
    <t>净留</t>
  </si>
  <si>
    <t>实收</t>
  </si>
  <si>
    <t>实付</t>
  </si>
  <si>
    <t>未收</t>
  </si>
  <si>
    <t>未付</t>
  </si>
  <si>
    <t>17号楼1层17-2-1</t>
  </si>
  <si>
    <t>17号楼1层17-2-2</t>
  </si>
  <si>
    <t>17-2+17-3</t>
  </si>
  <si>
    <t>邢学国</t>
  </si>
  <si>
    <t>17号楼1层17-2-3</t>
  </si>
  <si>
    <t>17-4</t>
  </si>
  <si>
    <t>何少康</t>
  </si>
  <si>
    <t>17号楼1层17-2-4</t>
  </si>
  <si>
    <t>17-5</t>
  </si>
  <si>
    <t>17号楼1层17-2-5</t>
  </si>
  <si>
    <t>17-6</t>
  </si>
  <si>
    <t>17号楼1层17-2-6</t>
  </si>
  <si>
    <t>17-7+8+9</t>
  </si>
  <si>
    <t>西山天璟店</t>
  </si>
  <si>
    <t>17号楼1层17-2-7</t>
  </si>
  <si>
    <t>17-10</t>
  </si>
  <si>
    <t>17号楼1层17-2-8</t>
  </si>
  <si>
    <t>17号楼1层17-2-9</t>
  </si>
  <si>
    <t>17-12</t>
  </si>
  <si>
    <t>鲁晓晨</t>
  </si>
  <si>
    <t>17号楼1层17-2-10</t>
  </si>
  <si>
    <t>17-13+14</t>
  </si>
  <si>
    <t>王成</t>
  </si>
  <si>
    <t>17号楼1层17-2-11</t>
  </si>
  <si>
    <t>17-15+16</t>
  </si>
  <si>
    <t>17号楼1层17-2-12</t>
  </si>
  <si>
    <t>17-17</t>
  </si>
  <si>
    <t>崔凤</t>
  </si>
  <si>
    <t>毛坯</t>
    <phoneticPr fontId="134" type="noConversion"/>
  </si>
  <si>
    <t>普通</t>
    <phoneticPr fontId="134" type="noConversion"/>
  </si>
  <si>
    <t>17-11</t>
    <phoneticPr fontId="134" type="noConversion"/>
  </si>
  <si>
    <r>
      <t>2</t>
    </r>
    <r>
      <rPr>
        <sz val="11"/>
        <color theme="1"/>
        <rFont val="宋体"/>
        <family val="3"/>
        <charset val="134"/>
        <scheme val="minor"/>
      </rPr>
      <t>023年台账</t>
    </r>
    <phoneticPr fontId="134" type="noConversion"/>
  </si>
  <si>
    <t>今年回复满租未提供</t>
    <phoneticPr fontId="134" type="noConversion"/>
  </si>
  <si>
    <t>北京市门头沟区</t>
    <phoneticPr fontId="3" type="noConversion"/>
  </si>
  <si>
    <t>报价</t>
  </si>
  <si>
    <t>报价</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</si>
  <si>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</si>
  <si>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</si>
  <si>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</si>
  <si>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</si>
  <si>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</si>
  <si>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</si>
  <si>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</si>
  <si>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</si>
  <si>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</si>
  <si>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</si>
  <si>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</si>
  <si>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</si>
  <si>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</si>
  <si>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</si>
  <si>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</si>
  <si>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</si>
  <si>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</si>
  <si>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配套商业</t>
  </si>
  <si>
    <t>配套商业</t>
    <phoneticPr fontId="30" type="noConversion"/>
  </si>
  <si>
    <t>钢混</t>
    <phoneticPr fontId="30" type="noConversion"/>
  </si>
  <si>
    <t>精装修</t>
  </si>
  <si>
    <t>精装修</t>
    <phoneticPr fontId="30" type="noConversion"/>
  </si>
  <si>
    <t>普通装修</t>
  </si>
  <si>
    <t>普通装修</t>
    <phoneticPr fontId="30" type="noConversion"/>
  </si>
  <si>
    <t>可做餐饮</t>
    <phoneticPr fontId="30" type="noConversion"/>
  </si>
  <si>
    <t>不可做餐饮</t>
  </si>
  <si>
    <t>不可做餐饮</t>
    <phoneticPr fontId="30" type="noConversion"/>
  </si>
  <si>
    <t>非标层高</t>
  </si>
  <si>
    <t>非标层高</t>
    <phoneticPr fontId="30" type="noConversion"/>
  </si>
  <si>
    <t>标准层高</t>
  </si>
  <si>
    <t>标准层高</t>
    <phoneticPr fontId="30" type="noConversion"/>
  </si>
  <si>
    <t>适宜</t>
    <phoneticPr fontId="30" type="noConversion"/>
  </si>
  <si>
    <t>较适宜</t>
  </si>
  <si>
    <t>较适宜</t>
    <phoneticPr fontId="30" type="noConversion"/>
  </si>
  <si>
    <t>普通装修</t>
    <phoneticPr fontId="30" type="noConversion"/>
  </si>
  <si>
    <t>1层</t>
  </si>
  <si>
    <t>六通</t>
  </si>
  <si>
    <t>单套模式</t>
  </si>
  <si>
    <t>比较法-商业</t>
  </si>
  <si>
    <t>项目局部</t>
  </si>
  <si>
    <t>正常</t>
  </si>
  <si>
    <t>商业</t>
    <phoneticPr fontId="30" type="noConversion"/>
  </si>
  <si>
    <t>楼面单价</t>
  </si>
  <si>
    <t>情况4</t>
  </si>
  <si>
    <t>转让取得</t>
  </si>
  <si>
    <t>非个人房产</t>
  </si>
  <si>
    <t>买卖合同</t>
  </si>
  <si>
    <t>2016年5月1日后购买</t>
  </si>
  <si>
    <r>
      <rPr>
        <sz val="10"/>
        <color theme="9" tint="-0.249977111117893"/>
        <rFont val="宋体"/>
        <family val="3"/>
        <charset val="134"/>
      </rPr>
      <t>门头沟区城子大街</t>
    </r>
    <r>
      <rPr>
        <sz val="10"/>
        <color theme="9" tint="-0.249977111117893"/>
        <rFont val="Arial"/>
        <family val="2"/>
      </rPr>
      <t>90</t>
    </r>
    <r>
      <rPr>
        <sz val="10"/>
        <color theme="9" tint="-0.249977111117893"/>
        <rFont val="宋体"/>
        <family val="3"/>
        <charset val="134"/>
      </rPr>
      <t>号院</t>
    </r>
    <r>
      <rPr>
        <sz val="10"/>
        <color theme="9" tint="-0.249977111117893"/>
        <rFont val="Arial"/>
        <family val="2"/>
      </rPr>
      <t>17</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17-2</t>
    </r>
    <phoneticPr fontId="6" type="noConversion"/>
  </si>
  <si>
    <t>中骏西山天璟</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</si>
</sst>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 numFmtId="197" formatCode="#,##0_ "/>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1"/>
      <color theme="1"/>
      <name val="等线"/>
      <family val="3"/>
      <charset val="134"/>
    </font>
    <font>
      <sz val="11"/>
      <color theme="1"/>
      <name val="等线"/>
      <family val="3"/>
      <charset val="134"/>
    </font>
    <font>
      <sz val="10.5"/>
      <color theme="1"/>
      <name val="等线"/>
      <family val="3"/>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9" tint="0.79995117038483843"/>
        <bgColor indexed="64"/>
      </patternFill>
    </fill>
    <fill>
      <patternFill patternType="solid">
        <fgColor theme="9" tint="0.79998168889431442"/>
        <bgColor indexed="64"/>
      </patternFill>
    </fill>
    <fill>
      <patternFill patternType="solid">
        <fgColor rgb="FF00B050"/>
        <bgColor indexed="64"/>
      </patternFill>
    </fill>
    <fill>
      <patternFill patternType="solid">
        <fgColor theme="9"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0" fontId="269" fillId="0" borderId="0" xfId="10" applyFont="1" applyFill="1" applyAlignment="1">
      <alignment vertical="center" wrapText="1"/>
    </xf>
    <xf numFmtId="196" fontId="269" fillId="22" borderId="2" xfId="10" applyNumberFormat="1" applyFont="1" applyFill="1" applyBorder="1" applyAlignment="1">
      <alignment horizontal="center" vertical="center" wrapText="1"/>
    </xf>
    <xf numFmtId="0" fontId="269" fillId="22" borderId="2" xfId="10" applyFont="1" applyFill="1" applyBorder="1" applyAlignment="1">
      <alignment horizontal="center" vertical="center" wrapText="1"/>
    </xf>
    <xf numFmtId="179" fontId="269" fillId="22" borderId="2" xfId="10" applyNumberFormat="1" applyFont="1" applyFill="1" applyBorder="1" applyAlignment="1">
      <alignment horizontal="center" vertical="center" wrapText="1"/>
    </xf>
    <xf numFmtId="0" fontId="269" fillId="22" borderId="1" xfId="10" applyFont="1" applyFill="1" applyBorder="1" applyAlignment="1">
      <alignment horizontal="center" vertical="center" wrapText="1"/>
    </xf>
    <xf numFmtId="0" fontId="269" fillId="5" borderId="2" xfId="10" applyFont="1" applyFill="1" applyBorder="1" applyAlignment="1">
      <alignment horizontal="center" vertical="center" wrapText="1"/>
    </xf>
    <xf numFmtId="0" fontId="269" fillId="24" borderId="54" xfId="10" applyFont="1" applyFill="1" applyBorder="1" applyAlignment="1">
      <alignment horizontal="center" vertical="center" wrapText="1"/>
    </xf>
    <xf numFmtId="196" fontId="269" fillId="24" borderId="54" xfId="10" applyNumberFormat="1" applyFont="1" applyFill="1" applyBorder="1" applyAlignment="1">
      <alignment horizontal="center" vertical="center" wrapText="1"/>
    </xf>
    <xf numFmtId="0" fontId="269" fillId="24" borderId="54" xfId="10" applyFont="1" applyFill="1" applyBorder="1" applyAlignment="1">
      <alignment horizontal="left" vertical="center" wrapText="1"/>
    </xf>
    <xf numFmtId="0" fontId="269" fillId="23" borderId="1" xfId="10" applyFont="1" applyFill="1" applyBorder="1" applyAlignment="1">
      <alignment horizontal="center" vertical="center" wrapText="1"/>
    </xf>
    <xf numFmtId="179" fontId="269" fillId="23" borderId="1" xfId="10" applyNumberFormat="1" applyFont="1" applyFill="1" applyBorder="1" applyAlignment="1">
      <alignment horizontal="center" vertical="center" wrapText="1"/>
    </xf>
    <xf numFmtId="196" fontId="269" fillId="5" borderId="1" xfId="10" applyNumberFormat="1" applyFont="1" applyFill="1" applyBorder="1" applyAlignment="1">
      <alignment horizontal="center" vertical="center" wrapText="1"/>
    </xf>
    <xf numFmtId="196" fontId="269" fillId="8" borderId="1" xfId="10" applyNumberFormat="1" applyFont="1" applyFill="1" applyBorder="1" applyAlignment="1">
      <alignment horizontal="center" vertical="center" wrapText="1"/>
    </xf>
    <xf numFmtId="196" fontId="269" fillId="9" borderId="1" xfId="10" applyNumberFormat="1" applyFont="1" applyFill="1" applyBorder="1" applyAlignment="1">
      <alignment horizontal="center" vertical="center" wrapText="1"/>
    </xf>
    <xf numFmtId="49" fontId="269" fillId="9" borderId="1" xfId="10" applyNumberFormat="1" applyFont="1" applyFill="1" applyBorder="1" applyAlignment="1">
      <alignment horizontal="center" vertical="center" wrapText="1"/>
    </xf>
    <xf numFmtId="49" fontId="269" fillId="27" borderId="1" xfId="10" applyNumberFormat="1" applyFont="1" applyFill="1" applyBorder="1" applyAlignment="1">
      <alignment horizontal="center" vertical="center" wrapText="1"/>
    </xf>
    <xf numFmtId="49" fontId="269" fillId="5" borderId="1" xfId="10" applyNumberFormat="1" applyFont="1" applyFill="1" applyBorder="1" applyAlignment="1">
      <alignment horizontal="center" vertical="center" wrapText="1"/>
    </xf>
    <xf numFmtId="196" fontId="269" fillId="28" borderId="1" xfId="10" applyNumberFormat="1" applyFont="1" applyFill="1" applyBorder="1" applyAlignment="1">
      <alignment horizontal="center" vertical="center" wrapText="1"/>
    </xf>
    <xf numFmtId="49" fontId="269" fillId="22" borderId="1" xfId="10" applyNumberFormat="1" applyFont="1" applyFill="1" applyBorder="1" applyAlignment="1">
      <alignment horizontal="center" vertical="center" wrapText="1"/>
    </xf>
    <xf numFmtId="49" fontId="269" fillId="26" borderId="1" xfId="10" applyNumberFormat="1" applyFont="1" applyFill="1" applyBorder="1" applyAlignment="1">
      <alignment horizontal="center" vertical="center" wrapText="1"/>
    </xf>
    <xf numFmtId="49" fontId="269" fillId="23" borderId="1" xfId="10" applyNumberFormat="1" applyFont="1" applyFill="1" applyBorder="1" applyAlignment="1">
      <alignment horizontal="center" vertical="center" wrapText="1"/>
    </xf>
    <xf numFmtId="0" fontId="270" fillId="0" borderId="0" xfId="10" applyFont="1" applyFill="1" applyAlignment="1">
      <alignment vertical="center" wrapText="1"/>
    </xf>
    <xf numFmtId="0" fontId="270" fillId="0" borderId="1" xfId="10" applyFont="1" applyFill="1" applyBorder="1" applyAlignment="1">
      <alignment horizontal="center" vertical="center" wrapText="1"/>
    </xf>
    <xf numFmtId="0" fontId="271" fillId="0" borderId="1" xfId="10" applyFont="1" applyFill="1" applyBorder="1" applyAlignment="1">
      <alignment horizontal="center" vertical="center" wrapText="1"/>
    </xf>
    <xf numFmtId="49" fontId="270" fillId="0" borderId="1" xfId="10" applyNumberFormat="1" applyFont="1" applyFill="1" applyBorder="1" applyAlignment="1">
      <alignment horizontal="center" vertical="center" wrapText="1"/>
    </xf>
    <xf numFmtId="179" fontId="270" fillId="0" borderId="1" xfId="10" applyNumberFormat="1" applyFont="1" applyFill="1" applyBorder="1" applyAlignment="1">
      <alignment horizontal="center" vertical="center" wrapText="1"/>
    </xf>
    <xf numFmtId="196" fontId="270" fillId="5" borderId="1" xfId="10" applyNumberFormat="1" applyFont="1" applyFill="1" applyBorder="1" applyAlignment="1">
      <alignment horizontal="center" vertical="center" wrapText="1"/>
    </xf>
    <xf numFmtId="197" fontId="270" fillId="0" borderId="1" xfId="10" applyNumberFormat="1" applyFont="1" applyFill="1" applyBorder="1" applyAlignment="1">
      <alignment horizontal="center" vertical="center" wrapText="1"/>
    </xf>
    <xf numFmtId="0" fontId="270" fillId="7" borderId="1" xfId="10" applyFont="1" applyFill="1" applyBorder="1" applyAlignment="1">
      <alignment horizontal="center" vertical="center" wrapText="1"/>
    </xf>
    <xf numFmtId="179" fontId="270" fillId="7" borderId="1" xfId="10" applyNumberFormat="1" applyFont="1" applyFill="1" applyBorder="1" applyAlignment="1">
      <alignment horizontal="center" vertical="center" wrapText="1"/>
    </xf>
    <xf numFmtId="196" fontId="270" fillId="7" borderId="1" xfId="10" applyNumberFormat="1" applyFont="1" applyFill="1" applyBorder="1" applyAlignment="1">
      <alignment horizontal="center" vertical="center" wrapText="1"/>
    </xf>
    <xf numFmtId="196" fontId="269" fillId="7" borderId="1" xfId="10" applyNumberFormat="1" applyFont="1" applyFill="1" applyBorder="1" applyAlignment="1">
      <alignment horizontal="center" vertical="center" wrapText="1"/>
    </xf>
    <xf numFmtId="196" fontId="269" fillId="22" borderId="1" xfId="10" applyNumberFormat="1" applyFont="1" applyFill="1" applyBorder="1" applyAlignment="1">
      <alignment horizontal="center" vertical="center" wrapText="1"/>
    </xf>
    <xf numFmtId="196" fontId="270" fillId="0" borderId="1" xfId="10" applyNumberFormat="1" applyFont="1" applyFill="1" applyBorder="1" applyAlignment="1">
      <alignment vertical="center" wrapText="1"/>
    </xf>
    <xf numFmtId="196" fontId="269" fillId="5" borderId="1" xfId="10" applyNumberFormat="1" applyFont="1" applyFill="1" applyBorder="1" applyAlignment="1">
      <alignment vertical="center" wrapText="1"/>
    </xf>
    <xf numFmtId="196" fontId="270" fillId="26" borderId="1" xfId="10" applyNumberFormat="1" applyFont="1" applyFill="1" applyBorder="1" applyAlignment="1">
      <alignment vertical="center" wrapText="1"/>
    </xf>
    <xf numFmtId="196" fontId="269" fillId="23" borderId="1" xfId="10" applyNumberFormat="1" applyFont="1" applyFill="1" applyBorder="1" applyAlignment="1">
      <alignment vertical="center" wrapText="1"/>
    </xf>
    <xf numFmtId="196" fontId="269" fillId="23" borderId="1" xfId="10" applyNumberFormat="1" applyFont="1" applyFill="1" applyBorder="1" applyAlignment="1">
      <alignment horizontal="center" vertical="center" wrapText="1"/>
    </xf>
    <xf numFmtId="0" fontId="271" fillId="28" borderId="1" xfId="10" applyFont="1" applyFill="1" applyBorder="1" applyAlignment="1">
      <alignment horizontal="center" vertical="center" wrapText="1"/>
    </xf>
    <xf numFmtId="14" fontId="270" fillId="0" borderId="1" xfId="10" applyNumberFormat="1" applyFont="1" applyFill="1" applyBorder="1" applyAlignment="1">
      <alignment horizontal="center" vertical="center" wrapText="1"/>
    </xf>
    <xf numFmtId="0" fontId="271" fillId="7" borderId="1" xfId="10" applyFont="1" applyFill="1" applyBorder="1" applyAlignment="1">
      <alignment horizontal="center" vertical="center" wrapText="1"/>
    </xf>
    <xf numFmtId="0" fontId="270" fillId="5" borderId="1" xfId="10" applyFont="1" applyFill="1" applyBorder="1" applyAlignment="1">
      <alignment horizontal="center" vertical="center" wrapText="1"/>
    </xf>
    <xf numFmtId="179" fontId="270" fillId="0" borderId="0" xfId="10" applyNumberFormat="1" applyFont="1" applyFill="1" applyAlignment="1">
      <alignment horizontal="center" vertical="center" wrapText="1"/>
    </xf>
    <xf numFmtId="196" fontId="270" fillId="0" borderId="1" xfId="10" applyNumberFormat="1" applyFont="1" applyFill="1" applyBorder="1" applyAlignment="1">
      <alignment horizontal="center" vertical="center" wrapText="1"/>
    </xf>
    <xf numFmtId="0" fontId="95" fillId="5" borderId="0" xfId="0" applyFont="1" applyFill="1">
      <alignment vertical="center"/>
    </xf>
    <xf numFmtId="0" fontId="0" fillId="5" borderId="0" xfId="0" applyFill="1">
      <alignment vertical="center"/>
    </xf>
    <xf numFmtId="0" fontId="0" fillId="0" borderId="0" xfId="0" applyFill="1">
      <alignmen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81" fontId="99" fillId="16" borderId="1" xfId="0" applyNumberFormat="1" applyFont="1" applyFill="1" applyBorder="1" applyAlignment="1" applyProtection="1">
      <alignment horizontal="center" vertical="center"/>
      <protection locked="0"/>
    </xf>
    <xf numFmtId="181" fontId="44" fillId="16" borderId="1"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196" fontId="269" fillId="5" borderId="13" xfId="10" applyNumberFormat="1" applyFont="1" applyFill="1" applyBorder="1" applyAlignment="1">
      <alignment horizontal="center" vertical="center" wrapText="1"/>
    </xf>
    <xf numFmtId="196" fontId="269" fillId="5" borderId="15" xfId="10" applyNumberFormat="1" applyFont="1" applyFill="1" applyBorder="1" applyAlignment="1">
      <alignment horizontal="center" vertical="center" wrapText="1"/>
    </xf>
    <xf numFmtId="196" fontId="269" fillId="5" borderId="2" xfId="10" applyNumberFormat="1" applyFont="1" applyFill="1" applyBorder="1" applyAlignment="1">
      <alignment horizontal="center" vertical="center" wrapText="1"/>
    </xf>
    <xf numFmtId="49" fontId="269" fillId="22" borderId="4" xfId="10" applyNumberFormat="1" applyFont="1" applyFill="1" applyBorder="1" applyAlignment="1">
      <alignment horizontal="center" vertical="center" wrapText="1"/>
    </xf>
    <xf numFmtId="49" fontId="269" fillId="22" borderId="60" xfId="10" applyNumberFormat="1" applyFont="1" applyFill="1" applyBorder="1" applyAlignment="1">
      <alignment horizontal="center" vertical="center" wrapText="1"/>
    </xf>
    <xf numFmtId="49" fontId="269" fillId="23" borderId="13" xfId="10" applyNumberFormat="1" applyFont="1" applyFill="1" applyBorder="1" applyAlignment="1">
      <alignment horizontal="center" vertical="center" wrapText="1"/>
    </xf>
    <xf numFmtId="49" fontId="269" fillId="23" borderId="15" xfId="10" applyNumberFormat="1" applyFont="1" applyFill="1" applyBorder="1" applyAlignment="1">
      <alignment horizontal="center" vertical="center" wrapText="1"/>
    </xf>
    <xf numFmtId="49" fontId="269" fillId="23" borderId="2" xfId="10" applyNumberFormat="1" applyFont="1" applyFill="1" applyBorder="1" applyAlignment="1">
      <alignment horizontal="center" vertical="center" wrapText="1"/>
    </xf>
    <xf numFmtId="196" fontId="269" fillId="23" borderId="13" xfId="10" applyNumberFormat="1" applyFont="1" applyFill="1" applyBorder="1" applyAlignment="1">
      <alignment horizontal="center" vertical="center" wrapText="1"/>
    </xf>
    <xf numFmtId="196" fontId="269" fillId="23" borderId="15" xfId="10" applyNumberFormat="1" applyFont="1" applyFill="1" applyBorder="1" applyAlignment="1">
      <alignment horizontal="center" vertical="center" wrapText="1"/>
    </xf>
    <xf numFmtId="196" fontId="269" fillId="23" borderId="2" xfId="10" applyNumberFormat="1" applyFont="1" applyFill="1" applyBorder="1" applyAlignment="1">
      <alignment horizontal="center" vertical="center" wrapText="1"/>
    </xf>
    <xf numFmtId="0" fontId="269" fillId="5" borderId="13" xfId="10" applyFont="1" applyFill="1" applyBorder="1" applyAlignment="1">
      <alignment horizontal="center" vertical="center" wrapText="1"/>
    </xf>
    <xf numFmtId="0" fontId="269" fillId="5" borderId="15" xfId="10" applyFont="1" applyFill="1" applyBorder="1" applyAlignment="1">
      <alignment horizontal="center" vertical="center" wrapText="1"/>
    </xf>
    <xf numFmtId="0" fontId="269" fillId="5" borderId="2" xfId="10" applyFont="1" applyFill="1" applyBorder="1" applyAlignment="1">
      <alignment horizontal="center" vertical="center" wrapText="1"/>
    </xf>
    <xf numFmtId="0" fontId="269" fillId="8" borderId="13" xfId="10" applyFont="1" applyFill="1" applyBorder="1" applyAlignment="1">
      <alignment horizontal="center" vertical="center" wrapText="1"/>
    </xf>
    <xf numFmtId="0" fontId="269" fillId="8" borderId="15" xfId="10" applyFont="1" applyFill="1" applyBorder="1" applyAlignment="1">
      <alignment horizontal="center" vertical="center" wrapText="1"/>
    </xf>
    <xf numFmtId="0" fontId="269" fillId="8" borderId="2" xfId="10" applyFont="1" applyFill="1" applyBorder="1" applyAlignment="1">
      <alignment horizontal="center" vertical="center" wrapText="1"/>
    </xf>
    <xf numFmtId="0" fontId="269" fillId="23" borderId="13" xfId="10" applyFont="1" applyFill="1" applyBorder="1" applyAlignment="1">
      <alignment horizontal="center" vertical="center" wrapText="1"/>
    </xf>
    <xf numFmtId="0" fontId="269" fillId="23" borderId="15" xfId="10" applyFont="1" applyFill="1" applyBorder="1" applyAlignment="1">
      <alignment horizontal="center" vertical="center" wrapText="1"/>
    </xf>
    <xf numFmtId="0" fontId="269" fillId="23" borderId="2" xfId="10" applyFont="1" applyFill="1" applyBorder="1" applyAlignment="1">
      <alignment horizontal="center" vertical="center" wrapText="1"/>
    </xf>
    <xf numFmtId="196" fontId="269" fillId="24" borderId="5" xfId="10" applyNumberFormat="1" applyFont="1" applyFill="1" applyBorder="1" applyAlignment="1">
      <alignment horizontal="center" vertical="center" wrapText="1"/>
    </xf>
    <xf numFmtId="196" fontId="269" fillId="24" borderId="54" xfId="10" applyNumberFormat="1" applyFont="1" applyFill="1" applyBorder="1" applyAlignment="1">
      <alignment horizontal="center" vertical="center" wrapText="1"/>
    </xf>
    <xf numFmtId="0" fontId="269" fillId="24" borderId="54" xfId="10" applyFont="1" applyFill="1" applyBorder="1" applyAlignment="1">
      <alignment horizontal="center" vertical="center" wrapText="1"/>
    </xf>
    <xf numFmtId="0" fontId="269" fillId="24" borderId="5" xfId="10" applyFont="1" applyFill="1" applyBorder="1" applyAlignment="1">
      <alignment horizontal="center" vertical="center" wrapText="1"/>
    </xf>
    <xf numFmtId="0" fontId="269" fillId="24" borderId="5" xfId="10" applyFont="1" applyFill="1" applyBorder="1" applyAlignment="1">
      <alignment horizontal="left" vertical="center" wrapText="1"/>
    </xf>
    <xf numFmtId="0" fontId="269" fillId="24" borderId="54" xfId="10" applyFont="1" applyFill="1" applyBorder="1" applyAlignment="1">
      <alignment horizontal="left" vertical="center" wrapText="1"/>
    </xf>
    <xf numFmtId="0" fontId="269" fillId="23" borderId="5" xfId="10" applyFont="1" applyFill="1" applyBorder="1" applyAlignment="1">
      <alignment horizontal="center" vertical="center" wrapText="1"/>
    </xf>
    <xf numFmtId="179" fontId="269" fillId="23" borderId="3" xfId="10" applyNumberFormat="1" applyFont="1" applyFill="1" applyBorder="1" applyAlignment="1">
      <alignment horizontal="center" vertical="center" wrapText="1"/>
    </xf>
    <xf numFmtId="0" fontId="269" fillId="23" borderId="3" xfId="10" applyFont="1" applyFill="1" applyBorder="1" applyAlignment="1">
      <alignment horizontal="center" vertical="center" wrapText="1"/>
    </xf>
    <xf numFmtId="179" fontId="269" fillId="23" borderId="54" xfId="10" applyNumberFormat="1" applyFont="1" applyFill="1" applyBorder="1" applyAlignment="1">
      <alignment horizontal="center" vertical="center" wrapText="1"/>
    </xf>
    <xf numFmtId="0" fontId="269" fillId="23" borderId="54" xfId="10" applyFont="1" applyFill="1" applyBorder="1" applyAlignment="1">
      <alignment horizontal="center" vertical="center" wrapText="1"/>
    </xf>
    <xf numFmtId="189" fontId="269" fillId="5" borderId="5" xfId="10" applyNumberFormat="1" applyFont="1" applyFill="1" applyBorder="1" applyAlignment="1">
      <alignment horizontal="center" vertical="center" wrapText="1"/>
    </xf>
    <xf numFmtId="189" fontId="269" fillId="5" borderId="54" xfId="10" applyNumberFormat="1" applyFont="1" applyFill="1" applyBorder="1" applyAlignment="1">
      <alignment horizontal="center" vertical="center" wrapText="1"/>
    </xf>
    <xf numFmtId="189" fontId="269" fillId="24" borderId="54" xfId="10" applyNumberFormat="1" applyFont="1" applyFill="1" applyBorder="1" applyAlignment="1">
      <alignment horizontal="center" vertical="center" wrapText="1"/>
    </xf>
    <xf numFmtId="189" fontId="269" fillId="5" borderId="3" xfId="10" applyNumberFormat="1" applyFont="1" applyFill="1" applyBorder="1" applyAlignment="1">
      <alignment horizontal="center" vertical="center" wrapText="1"/>
    </xf>
    <xf numFmtId="189" fontId="269" fillId="24" borderId="5" xfId="10" applyNumberFormat="1" applyFont="1" applyFill="1" applyBorder="1" applyAlignment="1">
      <alignment horizontal="center" vertical="center" wrapText="1"/>
    </xf>
    <xf numFmtId="189" fontId="269" fillId="24" borderId="3" xfId="10" applyNumberFormat="1" applyFont="1" applyFill="1" applyBorder="1" applyAlignment="1">
      <alignment horizontal="center" vertical="center" wrapText="1"/>
    </xf>
    <xf numFmtId="189" fontId="269" fillId="25" borderId="5" xfId="10" applyNumberFormat="1" applyFont="1" applyFill="1" applyBorder="1" applyAlignment="1">
      <alignment horizontal="center" vertical="center" wrapText="1"/>
    </xf>
    <xf numFmtId="189" fontId="269" fillId="25" borderId="54" xfId="10" applyNumberFormat="1" applyFont="1" applyFill="1" applyBorder="1" applyAlignment="1">
      <alignment horizontal="center" vertical="center" wrapText="1"/>
    </xf>
    <xf numFmtId="189" fontId="269" fillId="25" borderId="3" xfId="10" applyNumberFormat="1" applyFont="1" applyFill="1" applyBorder="1" applyAlignment="1">
      <alignment horizontal="center" vertical="center" wrapText="1"/>
    </xf>
    <xf numFmtId="189" fontId="269" fillId="26" borderId="5" xfId="10" applyNumberFormat="1" applyFont="1" applyFill="1" applyBorder="1" applyAlignment="1">
      <alignment horizontal="center" vertical="center" wrapText="1"/>
    </xf>
    <xf numFmtId="189" fontId="269" fillId="26" borderId="54" xfId="10" applyNumberFormat="1" applyFont="1" applyFill="1" applyBorder="1" applyAlignment="1">
      <alignment horizontal="center" vertical="center" wrapText="1"/>
    </xf>
    <xf numFmtId="189" fontId="269" fillId="26" borderId="3" xfId="10" applyNumberFormat="1" applyFont="1" applyFill="1" applyBorder="1" applyAlignment="1">
      <alignment horizontal="center" vertical="center" wrapText="1"/>
    </xf>
    <xf numFmtId="189" fontId="269" fillId="23" borderId="5" xfId="10" applyNumberFormat="1" applyFont="1" applyFill="1" applyBorder="1" applyAlignment="1">
      <alignment horizontal="center" vertical="center" wrapText="1"/>
    </xf>
    <xf numFmtId="189" fontId="269" fillId="23" borderId="54" xfId="10" applyNumberFormat="1" applyFont="1" applyFill="1" applyBorder="1" applyAlignment="1">
      <alignment horizontal="center" vertical="center" wrapText="1"/>
    </xf>
    <xf numFmtId="189" fontId="269" fillId="23" borderId="3" xfId="10" applyNumberFormat="1"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北京市门头沟区城子大街90号院17号楼1层17-2房地产抵押价值预评估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受贵公司委托，我公司对北京市门头沟区城子大街90号院17号楼1层17-2房地产抵押价值进行了预评估。</v>
      </c>
    </row>
    <row r="7" spans="1:2" s="1203" customFormat="1">
      <c r="A7" s="1201" t="s">
        <v>566</v>
      </c>
      <c r="B7" s="1202" t="str">
        <f>'预评函-1'!A7</f>
        <v>估价对象为北京市门头沟区城子大街90号院17号楼1层17-2房地产，为所有。根据《国有土地使用证》[]，估价对象（分摊）出让国有建设用地使用权面积为0平方米，建筑面积为499.53平方米。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门头沟区城子大街90号院17号楼1层17-2房地产,属开发建设的居住项目，该项目尚在开发建设中。根据《国有土地使用证》[]，估价对象（分摊）出让国有建设用地使用权面积为0平方米，规划建筑面积为499.53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门头沟区城子大街90号院17号楼1层17-2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2024年7月22日（评估专业人员实地查勘之日）</v>
      </c>
    </row>
    <row r="13" spans="1:2" s="1203" customFormat="1">
      <c r="A13" s="1201" t="s">
        <v>529</v>
      </c>
      <c r="B13" s="1202" t="str">
        <f>'预评函-1'!A18</f>
        <v>本次估价的“房地产价值”是指在正常市场情况下，在价值时点2024年7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1400</v>
      </c>
    </row>
    <row r="21" spans="1:2" s="1203" customFormat="1">
      <c r="A21" s="1201" t="s">
        <v>537</v>
      </c>
      <c r="B21" s="1202">
        <f ca="1">'预评函-2'!D7</f>
        <v>28034</v>
      </c>
    </row>
    <row r="22" spans="1:2" s="1203" customFormat="1">
      <c r="A22" s="1201" t="s">
        <v>538</v>
      </c>
      <c r="B22" s="1202" t="str">
        <f ca="1">'预评函-2'!D6</f>
        <v>壹仟肆佰万元整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1400</v>
      </c>
    </row>
    <row r="31" spans="1:2" s="1203" customFormat="1">
      <c r="A31" s="1201" t="s">
        <v>576</v>
      </c>
      <c r="B31" s="1202">
        <f ca="1">'预评函-2'!D15</f>
        <v>28034</v>
      </c>
    </row>
    <row r="32" spans="1:2" s="1203" customFormat="1">
      <c r="A32" s="1201" t="s">
        <v>543</v>
      </c>
      <c r="B32" s="1202" t="str">
        <f ca="1">'预评函-2'!D14</f>
        <v>壹仟肆佰万元整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北京市门头沟区城子大街90号院17号楼1层17-2房地产</v>
      </c>
    </row>
    <row r="42" spans="1:2" s="1203" customFormat="1">
      <c r="A42" s="1201" t="s">
        <v>590</v>
      </c>
      <c r="B42" s="1202" t="str">
        <f>'预评函-3'!B2</f>
        <v>建筑面积</v>
      </c>
    </row>
    <row r="43" spans="1:2" s="1203" customFormat="1">
      <c r="A43" s="1201" t="s">
        <v>591</v>
      </c>
      <c r="B43" s="1202">
        <f>'预评函-3'!B4</f>
        <v>499.53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3335</v>
      </c>
    </row>
    <row r="8" spans="1:23">
      <c r="A8" s="1546" t="s">
        <v>1026</v>
      </c>
      <c r="B8" s="1546" t="s">
        <v>1027</v>
      </c>
      <c r="C8" s="1547" t="s">
        <v>319</v>
      </c>
      <c r="F8" s="1548" t="s">
        <v>1028</v>
      </c>
      <c r="H8" s="1548" t="s">
        <v>2572</v>
      </c>
      <c r="I8" s="1548" t="s">
        <v>3336</v>
      </c>
    </row>
    <row r="9" spans="1:23">
      <c r="A9" s="1546" t="s">
        <v>1029</v>
      </c>
      <c r="B9" s="1546" t="s">
        <v>1030</v>
      </c>
      <c r="C9" s="1547" t="s">
        <v>320</v>
      </c>
      <c r="F9" s="1548" t="s">
        <v>1031</v>
      </c>
      <c r="H9" s="1548"/>
      <c r="I9" s="1551" t="s">
        <v>3337</v>
      </c>
    </row>
    <row r="10" spans="1:23">
      <c r="A10" s="1546" t="s">
        <v>1032</v>
      </c>
      <c r="B10" s="1546" t="s">
        <v>1033</v>
      </c>
      <c r="C10" s="1547" t="s">
        <v>321</v>
      </c>
      <c r="F10" s="1548" t="s">
        <v>2573</v>
      </c>
      <c r="I10" s="1551" t="s">
        <v>3338</v>
      </c>
    </row>
    <row r="11" spans="1:23">
      <c r="A11" s="1546" t="s">
        <v>1034</v>
      </c>
      <c r="B11" s="1546" t="s">
        <v>1035</v>
      </c>
      <c r="C11" s="1547" t="s">
        <v>322</v>
      </c>
      <c r="F11" s="1548" t="s">
        <v>13</v>
      </c>
      <c r="I11" s="1551" t="s">
        <v>3339</v>
      </c>
    </row>
    <row r="12" spans="1:23">
      <c r="A12" s="1546" t="s">
        <v>1036</v>
      </c>
      <c r="B12" s="1546" t="s">
        <v>1037</v>
      </c>
      <c r="C12" s="1547" t="s">
        <v>323</v>
      </c>
      <c r="I12" s="1551" t="s">
        <v>3340</v>
      </c>
    </row>
    <row r="13" spans="1:23">
      <c r="A13" s="1546" t="s">
        <v>1038</v>
      </c>
      <c r="B13" s="1546" t="s">
        <v>1039</v>
      </c>
      <c r="C13" s="1547" t="s">
        <v>324</v>
      </c>
      <c r="I13" s="1551" t="s">
        <v>3341</v>
      </c>
    </row>
    <row r="14" spans="1:23">
      <c r="A14" s="1546" t="s">
        <v>1040</v>
      </c>
      <c r="B14" s="1546" t="s">
        <v>1041</v>
      </c>
      <c r="C14" s="1548" t="s">
        <v>13</v>
      </c>
      <c r="I14" s="1551" t="s">
        <v>3342</v>
      </c>
    </row>
    <row r="15" spans="1:23">
      <c r="A15" s="1546" t="s">
        <v>1042</v>
      </c>
      <c r="B15" s="1546" t="s">
        <v>1043</v>
      </c>
      <c r="C15" s="1547"/>
      <c r="I15" s="1551" t="s">
        <v>3343</v>
      </c>
    </row>
    <row r="16" spans="1:23">
      <c r="A16" s="1546" t="s">
        <v>1044</v>
      </c>
      <c r="B16" s="1546" t="s">
        <v>312</v>
      </c>
      <c r="C16" s="1547"/>
    </row>
    <row r="17" spans="1:3">
      <c r="A17" s="1546" t="s">
        <v>1045</v>
      </c>
      <c r="B17" s="1546" t="s">
        <v>2284</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城子大街90号院17号楼1层17-2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4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9"/>
      <c r="B54" s="1554" t="s">
        <v>385</v>
      </c>
      <c r="C54" s="1551" t="s">
        <v>583</v>
      </c>
    </row>
    <row r="55" spans="1:4">
      <c r="A55" s="3549"/>
      <c r="B55" s="1554" t="s">
        <v>386</v>
      </c>
      <c r="C55" s="1551" t="s">
        <v>584</v>
      </c>
    </row>
    <row r="56" spans="1:4">
      <c r="A56" s="3549"/>
      <c r="B56" s="1554" t="s">
        <v>387</v>
      </c>
      <c r="C56" s="1551" t="s">
        <v>588</v>
      </c>
    </row>
    <row r="57" spans="1:4">
      <c r="A57" s="354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2495</v>
      </c>
      <c r="B1" s="3012"/>
      <c r="C1" s="3012"/>
      <c r="D1" s="3012"/>
      <c r="E1" s="3012"/>
      <c r="F1" s="3013"/>
      <c r="I1" s="3435" t="s">
        <v>2588</v>
      </c>
      <c r="J1" s="3224"/>
      <c r="K1" s="3224"/>
      <c r="L1" s="3224"/>
      <c r="M1" s="3224"/>
      <c r="N1" s="3436"/>
      <c r="O1" s="3436"/>
      <c r="P1" s="3436"/>
      <c r="Q1" s="3436"/>
      <c r="R1" s="3436"/>
    </row>
    <row r="2" spans="1:18">
      <c r="A2" s="3015"/>
      <c r="B2" s="3016"/>
      <c r="C2" s="3016"/>
      <c r="D2" s="3016"/>
      <c r="E2" s="3016"/>
      <c r="F2" s="3017"/>
      <c r="I2" s="3550" t="s">
        <v>2575</v>
      </c>
      <c r="J2" s="3550"/>
      <c r="K2" s="3550"/>
      <c r="L2" s="3550"/>
      <c r="M2" s="3550"/>
      <c r="N2" s="3550"/>
      <c r="O2" s="3550"/>
      <c r="P2" s="3550"/>
      <c r="Q2" s="3550"/>
      <c r="R2" s="3550"/>
    </row>
    <row r="3" spans="1:18">
      <c r="A3" s="3018" t="s">
        <v>2496</v>
      </c>
      <c r="B3" s="3019">
        <f>项目基本情况!D3</f>
        <v>45495</v>
      </c>
      <c r="C3" s="3021"/>
      <c r="D3" s="3021"/>
      <c r="E3" s="3021"/>
      <c r="F3" s="3017"/>
      <c r="I3" s="3437"/>
      <c r="J3" s="3437" t="s">
        <v>2579</v>
      </c>
      <c r="K3" s="3437" t="s">
        <v>2580</v>
      </c>
      <c r="L3" s="3437" t="s">
        <v>2581</v>
      </c>
      <c r="M3" s="3437" t="s">
        <v>2582</v>
      </c>
      <c r="N3" s="3438" t="s">
        <v>2583</v>
      </c>
      <c r="O3" s="3438" t="s">
        <v>2584</v>
      </c>
      <c r="P3" s="3438" t="s">
        <v>2585</v>
      </c>
      <c r="Q3" s="3438" t="s">
        <v>2586</v>
      </c>
      <c r="R3" s="3438" t="s">
        <v>2587</v>
      </c>
    </row>
    <row r="4" spans="1:18">
      <c r="A4" s="3018" t="s">
        <v>2497</v>
      </c>
      <c r="B4" s="3021" t="s">
        <v>2498</v>
      </c>
      <c r="C4" s="3021" t="s">
        <v>2499</v>
      </c>
      <c r="D4" s="3021" t="s">
        <v>2500</v>
      </c>
      <c r="E4" s="3021" t="s">
        <v>2501</v>
      </c>
      <c r="F4" s="3017"/>
      <c r="I4" s="3437" t="s">
        <v>2576</v>
      </c>
      <c r="J4" s="3437">
        <v>80</v>
      </c>
      <c r="K4" s="3437">
        <v>70</v>
      </c>
      <c r="L4" s="3437">
        <v>20</v>
      </c>
      <c r="M4" s="3437">
        <v>30</v>
      </c>
      <c r="N4" s="3021">
        <v>45</v>
      </c>
      <c r="O4" s="3021">
        <v>60</v>
      </c>
      <c r="P4" s="3021">
        <v>50</v>
      </c>
      <c r="Q4" s="3021">
        <v>20</v>
      </c>
      <c r="R4" s="3021">
        <v>375</v>
      </c>
    </row>
    <row r="5" spans="1:18">
      <c r="A5" s="3022">
        <v>40</v>
      </c>
      <c r="B5" s="3019">
        <v>46375</v>
      </c>
      <c r="C5" s="3021">
        <f>ROUNDDOWN(MIN((B5-B3)/365,A5),2)</f>
        <v>2.41</v>
      </c>
      <c r="D5" s="3023">
        <f>IF(ISERROR(ROUND(POWER(1+E5,A5-C5)*(POWER(1+E5,C5)-1)/(POWER(1+E5,A5)-1),3)),0,ROUND(POWER(1+E5,A5-C5)*(POWER(1+E5,C5)-1)/(POWER(1+E5,A5)-1),4))</f>
        <v>0.1139</v>
      </c>
      <c r="E5" s="3024">
        <v>0.04</v>
      </c>
      <c r="F5" s="3017"/>
      <c r="I5" s="3437" t="s">
        <v>2577</v>
      </c>
      <c r="J5" s="3437">
        <v>70</v>
      </c>
      <c r="K5" s="3437">
        <v>60</v>
      </c>
      <c r="L5" s="3437">
        <v>15</v>
      </c>
      <c r="M5" s="3437">
        <v>25</v>
      </c>
      <c r="N5" s="3021">
        <v>40</v>
      </c>
      <c r="O5" s="3021">
        <v>50</v>
      </c>
      <c r="P5" s="3021">
        <v>40</v>
      </c>
      <c r="Q5" s="3021">
        <v>15</v>
      </c>
      <c r="R5" s="3021">
        <v>315</v>
      </c>
    </row>
    <row r="6" spans="1:18">
      <c r="A6" s="3022">
        <v>50</v>
      </c>
      <c r="B6" s="3019">
        <v>50028</v>
      </c>
      <c r="C6" s="3021">
        <f>ROUNDDOWN(MIN((B6-B3)/365,A6),2)</f>
        <v>12.41</v>
      </c>
      <c r="D6" s="3023">
        <f>IF(ISERROR(ROUND(POWER(1+E6,A6-C6)*(POWER(1+E6,C6)-1)/(POWER(1+E6,A6)-1),3)),0,ROUND(POWER(1+E6,A6-C6)*(POWER(1+E6,C6)-1)/(POWER(1+E6,A6)-1),4))</f>
        <v>0.44850000000000001</v>
      </c>
      <c r="E6" s="3024">
        <v>0.04</v>
      </c>
      <c r="F6" s="3017"/>
      <c r="I6" s="3437" t="s">
        <v>2578</v>
      </c>
      <c r="J6" s="3437">
        <v>60</v>
      </c>
      <c r="K6" s="3437">
        <v>50</v>
      </c>
      <c r="L6" s="3437">
        <v>10</v>
      </c>
      <c r="M6" s="3437">
        <v>20</v>
      </c>
      <c r="N6" s="3021">
        <v>35</v>
      </c>
      <c r="O6" s="3021">
        <v>40</v>
      </c>
      <c r="P6" s="3021">
        <v>30</v>
      </c>
      <c r="Q6" s="3021">
        <v>10</v>
      </c>
      <c r="R6" s="3021">
        <v>255</v>
      </c>
    </row>
    <row r="7" spans="1:18">
      <c r="A7" s="3022">
        <v>70</v>
      </c>
      <c r="B7" s="3019">
        <v>57333</v>
      </c>
      <c r="C7" s="3021">
        <f>ROUNDDOWN(MIN((B7-B3)/365,A7),2)</f>
        <v>32.43</v>
      </c>
      <c r="D7" s="3023">
        <f>IF(ISERROR(ROUND(POWER(1+E7,A7-C7)*(POWER(1+E7,C7)-1)/(POWER(1+E7,A7)-1),3)),0,ROUND(POWER(1+E7,A7-C7)*(POWER(1+E7,C7)-1)/(POWER(1+E7,A7)-1),4))</f>
        <v>0.76910000000000001</v>
      </c>
      <c r="E7" s="3024">
        <v>0.04</v>
      </c>
      <c r="F7" s="3017"/>
    </row>
    <row r="8" spans="1:18">
      <c r="A8" s="3015"/>
      <c r="B8" s="3016"/>
      <c r="C8" s="3016"/>
      <c r="D8" s="3016"/>
      <c r="E8" s="3016"/>
      <c r="F8" s="3017"/>
    </row>
    <row r="9" spans="1:18">
      <c r="A9" s="3018" t="s">
        <v>2502</v>
      </c>
      <c r="B9" s="3021"/>
      <c r="C9" s="3021"/>
      <c r="D9" s="3021"/>
      <c r="E9" s="3021"/>
      <c r="F9" s="3025"/>
    </row>
    <row r="10" spans="1:18">
      <c r="A10" s="3018" t="s">
        <v>2503</v>
      </c>
      <c r="B10" s="3021"/>
      <c r="C10" s="3021"/>
      <c r="D10" s="3021" t="s">
        <v>2501</v>
      </c>
      <c r="E10" s="3021"/>
      <c r="F10" s="3025" t="s">
        <v>2500</v>
      </c>
    </row>
    <row r="11" spans="1:18">
      <c r="A11" s="3018" t="s">
        <v>2504</v>
      </c>
      <c r="B11" s="3026">
        <v>70</v>
      </c>
      <c r="C11" s="3021" t="s">
        <v>2505</v>
      </c>
      <c r="D11" s="3027">
        <v>4.4999999999999998E-2</v>
      </c>
      <c r="E11" s="3021" t="s">
        <v>2506</v>
      </c>
      <c r="F11" s="3028">
        <f>ROUND(1-(1/(POWER(1+D11,B11))),4)</f>
        <v>0.95409999999999995</v>
      </c>
    </row>
    <row r="12" spans="1:18">
      <c r="A12" s="3018" t="s">
        <v>2507</v>
      </c>
      <c r="B12" s="3026">
        <v>40</v>
      </c>
      <c r="C12" s="3021" t="s">
        <v>2508</v>
      </c>
      <c r="D12" s="3027">
        <v>4.4999999999999998E-2</v>
      </c>
      <c r="E12" s="3021" t="s">
        <v>2509</v>
      </c>
      <c r="F12" s="3028">
        <f>ROUND(1-(1/(POWER(1+D12,B12))),4)</f>
        <v>0.82809999999999995</v>
      </c>
    </row>
    <row r="13" spans="1:18">
      <c r="A13" s="3018" t="s">
        <v>2510</v>
      </c>
      <c r="B13" s="3021"/>
      <c r="C13" s="3021"/>
      <c r="D13" s="3016"/>
      <c r="E13" s="3016"/>
      <c r="F13" s="3017"/>
    </row>
    <row r="14" spans="1:18">
      <c r="A14" s="3018" t="s">
        <v>2511</v>
      </c>
      <c r="B14" s="3026">
        <v>5000</v>
      </c>
      <c r="C14" s="3020"/>
      <c r="D14" s="3016"/>
      <c r="E14" s="3016"/>
      <c r="F14" s="3017"/>
    </row>
    <row r="15" spans="1:18">
      <c r="A15" s="3018" t="s">
        <v>2512</v>
      </c>
      <c r="B15" s="3021">
        <f>ROUND(B14*F12/F11,2)</f>
        <v>4339.6899999999996</v>
      </c>
      <c r="C15" s="3021">
        <f>ROUND(F12/F11,4)</f>
        <v>0.8679</v>
      </c>
      <c r="D15" s="3016"/>
      <c r="E15" s="3016"/>
      <c r="F15" s="3017"/>
    </row>
    <row r="16" spans="1:18">
      <c r="A16" s="3018" t="s">
        <v>2513</v>
      </c>
      <c r="B16" s="3021"/>
      <c r="C16" s="3021"/>
      <c r="D16" s="3016"/>
      <c r="E16" s="3016"/>
      <c r="F16" s="3017"/>
    </row>
    <row r="17" spans="1:13">
      <c r="A17" s="3018" t="s">
        <v>2512</v>
      </c>
      <c r="B17" s="3027">
        <v>4810</v>
      </c>
      <c r="C17" s="3020"/>
      <c r="D17" s="3016"/>
      <c r="E17" s="3016"/>
      <c r="F17" s="3017"/>
    </row>
    <row r="18" spans="1:13" ht="14.25" thickBot="1">
      <c r="A18" s="3029" t="s">
        <v>2511</v>
      </c>
      <c r="B18" s="3030">
        <f>ROUND(B17*F11/F12,2)</f>
        <v>5541.87</v>
      </c>
      <c r="C18" s="3030">
        <f>ROUND(F11/F12,4)</f>
        <v>1.1521999999999999</v>
      </c>
      <c r="D18" s="3031"/>
      <c r="E18" s="3031"/>
      <c r="F18" s="3032"/>
    </row>
    <row r="19" spans="1:13" ht="14.25" thickBot="1"/>
    <row r="20" spans="1:13" s="3067" customFormat="1" ht="14.25" thickTop="1">
      <c r="A20" s="3064" t="s">
        <v>2514</v>
      </c>
      <c r="B20" s="3065"/>
      <c r="C20" s="3065"/>
      <c r="D20" s="3065"/>
      <c r="E20" s="3065"/>
      <c r="F20" s="3065"/>
      <c r="G20" s="3066"/>
      <c r="I20" s="3068" t="s">
        <v>2559</v>
      </c>
      <c r="J20" s="3068" t="s">
        <v>2564</v>
      </c>
      <c r="K20" s="3068"/>
      <c r="L20" s="3068"/>
      <c r="M20" s="3068"/>
    </row>
    <row r="21" spans="1:13">
      <c r="A21" s="3033"/>
      <c r="B21" s="3034" t="s">
        <v>2515</v>
      </c>
      <c r="C21" s="3034" t="s">
        <v>2516</v>
      </c>
      <c r="D21" s="3034" t="s">
        <v>2517</v>
      </c>
      <c r="E21" s="3034" t="s">
        <v>2518</v>
      </c>
      <c r="F21" s="3034" t="s">
        <v>2519</v>
      </c>
      <c r="G21" s="3035" t="s">
        <v>2520</v>
      </c>
      <c r="I21" s="3056">
        <v>5</v>
      </c>
      <c r="J21" s="3056">
        <v>54.2</v>
      </c>
    </row>
    <row r="22" spans="1:13">
      <c r="A22" s="3033" t="s">
        <v>2521</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2522</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2562</v>
      </c>
      <c r="M23" s="3056" t="s">
        <v>2563</v>
      </c>
    </row>
    <row r="24" spans="1:13">
      <c r="A24" s="3033" t="s">
        <v>2523</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2561</v>
      </c>
      <c r="M24" s="3056">
        <v>10</v>
      </c>
    </row>
    <row r="25" spans="1:13">
      <c r="A25" s="3033" t="s">
        <v>2524</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2565</v>
      </c>
      <c r="M25" s="3056">
        <v>8</v>
      </c>
    </row>
    <row r="26" spans="1:13">
      <c r="A26" s="3038"/>
      <c r="B26" s="3039"/>
      <c r="C26" s="3039"/>
      <c r="D26" s="3039"/>
      <c r="E26" s="3039"/>
      <c r="F26" s="3039"/>
      <c r="G26" s="3040"/>
      <c r="I26" s="3056">
        <v>30</v>
      </c>
      <c r="J26" s="3056">
        <v>90.5</v>
      </c>
      <c r="K26" s="3056">
        <f t="shared" si="2"/>
        <v>4.2000000000000028</v>
      </c>
      <c r="L26" s="3056" t="s">
        <v>2566</v>
      </c>
      <c r="M26" s="3056">
        <v>5</v>
      </c>
    </row>
    <row r="27" spans="1:13">
      <c r="A27" s="3038" t="s">
        <v>2525</v>
      </c>
      <c r="B27" s="3039"/>
      <c r="C27" s="3039"/>
      <c r="D27" s="3039"/>
      <c r="E27" s="3039"/>
      <c r="F27" s="3039"/>
      <c r="G27" s="3040"/>
      <c r="I27" s="3056">
        <v>35</v>
      </c>
      <c r="J27" s="3056">
        <v>93.8</v>
      </c>
      <c r="K27" s="3056">
        <f t="shared" si="2"/>
        <v>3.2999999999999972</v>
      </c>
      <c r="L27" s="3056" t="s">
        <v>2567</v>
      </c>
      <c r="M27" s="3056">
        <v>3</v>
      </c>
    </row>
    <row r="28" spans="1:13">
      <c r="A28" s="3038" t="s">
        <v>2526</v>
      </c>
      <c r="B28" s="3039"/>
      <c r="C28" s="3039"/>
      <c r="D28" s="3039"/>
      <c r="E28" s="3039"/>
      <c r="F28" s="3039"/>
      <c r="G28" s="3040"/>
      <c r="I28" s="3056">
        <v>40</v>
      </c>
      <c r="J28" s="3056">
        <v>96.4</v>
      </c>
      <c r="K28" s="3056">
        <f t="shared" si="2"/>
        <v>2.6000000000000085</v>
      </c>
      <c r="L28" s="3056" t="s">
        <v>2568</v>
      </c>
      <c r="M28" s="3056">
        <v>2</v>
      </c>
    </row>
    <row r="29" spans="1:13">
      <c r="A29" s="3038" t="s">
        <v>2527</v>
      </c>
      <c r="B29" s="3039"/>
      <c r="C29" s="3039"/>
      <c r="D29" s="3039"/>
      <c r="E29" s="3039"/>
      <c r="F29" s="3039"/>
      <c r="G29" s="3040"/>
      <c r="I29" s="3056">
        <v>45</v>
      </c>
      <c r="J29" s="3056">
        <v>98.4</v>
      </c>
      <c r="K29" s="3056">
        <f t="shared" si="2"/>
        <v>2</v>
      </c>
    </row>
    <row r="30" spans="1:13">
      <c r="A30" s="3038" t="s">
        <v>2528</v>
      </c>
      <c r="B30" s="3039"/>
      <c r="C30" s="3039"/>
      <c r="D30" s="3039"/>
      <c r="E30" s="3039"/>
      <c r="F30" s="3039"/>
      <c r="G30" s="3040"/>
      <c r="I30" s="3056">
        <v>50</v>
      </c>
      <c r="J30" s="3056">
        <v>100</v>
      </c>
      <c r="K30" s="3056">
        <f t="shared" si="2"/>
        <v>1.5999999999999943</v>
      </c>
    </row>
    <row r="31" spans="1:13">
      <c r="A31" s="3038" t="s">
        <v>2529</v>
      </c>
      <c r="B31" s="3039"/>
      <c r="C31" s="3039"/>
      <c r="D31" s="3039"/>
      <c r="E31" s="3039"/>
      <c r="F31" s="3039"/>
      <c r="G31" s="3040"/>
      <c r="I31" s="3056" t="s">
        <v>2560</v>
      </c>
    </row>
    <row r="32" spans="1:13">
      <c r="A32" s="3038" t="s">
        <v>2530</v>
      </c>
      <c r="B32" s="3039"/>
      <c r="C32" s="3039"/>
      <c r="D32" s="3039"/>
      <c r="E32" s="3039"/>
      <c r="F32" s="3039"/>
      <c r="G32" s="3040"/>
    </row>
    <row r="33" spans="1:13">
      <c r="A33" s="3038" t="s">
        <v>2531</v>
      </c>
      <c r="B33" s="3039"/>
      <c r="C33" s="3039"/>
      <c r="D33" s="3039"/>
      <c r="E33" s="3039"/>
      <c r="F33" s="3039"/>
      <c r="G33" s="3040"/>
      <c r="I33" s="3056" t="s">
        <v>2559</v>
      </c>
      <c r="J33" s="3056" t="s">
        <v>2569</v>
      </c>
    </row>
    <row r="34" spans="1:13">
      <c r="A34" s="3038" t="s">
        <v>2532</v>
      </c>
      <c r="B34" s="3039"/>
      <c r="C34" s="3039"/>
      <c r="D34" s="3039"/>
      <c r="E34" s="3039"/>
      <c r="F34" s="3039"/>
      <c r="G34" s="3040"/>
      <c r="I34" s="3056">
        <v>5</v>
      </c>
      <c r="J34" s="3056">
        <v>55.1</v>
      </c>
    </row>
    <row r="35" spans="1:13">
      <c r="A35" s="3038" t="s">
        <v>2533</v>
      </c>
      <c r="B35" s="3039"/>
      <c r="C35" s="3039"/>
      <c r="D35" s="3039"/>
      <c r="E35" s="3039"/>
      <c r="F35" s="3039"/>
      <c r="G35" s="3040"/>
      <c r="I35" s="3056">
        <v>10</v>
      </c>
      <c r="J35" s="3056">
        <v>67</v>
      </c>
      <c r="K35" s="3056">
        <f>J35-J34</f>
        <v>11.899999999999999</v>
      </c>
    </row>
    <row r="36" spans="1:13">
      <c r="A36" s="3038" t="s">
        <v>2534</v>
      </c>
      <c r="B36" s="3039"/>
      <c r="C36" s="3039"/>
      <c r="D36" s="3039"/>
      <c r="E36" s="3039"/>
      <c r="F36" s="3039"/>
      <c r="G36" s="3040"/>
      <c r="I36" s="3056">
        <v>15</v>
      </c>
      <c r="J36" s="3056">
        <v>76.3</v>
      </c>
      <c r="K36" s="3056">
        <f t="shared" ref="K36:K41" si="3">J36-J35</f>
        <v>9.2999999999999972</v>
      </c>
      <c r="L36" s="3056" t="s">
        <v>2562</v>
      </c>
      <c r="M36" s="3056" t="s">
        <v>2563</v>
      </c>
    </row>
    <row r="37" spans="1:13">
      <c r="A37" s="3038" t="s">
        <v>2535</v>
      </c>
      <c r="B37" s="3039"/>
      <c r="C37" s="3039"/>
      <c r="D37" s="3039"/>
      <c r="E37" s="3039"/>
      <c r="F37" s="3039"/>
      <c r="G37" s="3040"/>
      <c r="I37" s="3056">
        <v>20</v>
      </c>
      <c r="J37" s="3056">
        <v>83.6</v>
      </c>
      <c r="K37" s="3056">
        <f t="shared" si="3"/>
        <v>7.2999999999999972</v>
      </c>
      <c r="L37" s="3056" t="s">
        <v>2561</v>
      </c>
      <c r="M37" s="3056">
        <v>10</v>
      </c>
    </row>
    <row r="38" spans="1:13">
      <c r="A38" s="3038" t="s">
        <v>2536</v>
      </c>
      <c r="B38" s="3039"/>
      <c r="C38" s="3039"/>
      <c r="D38" s="3039"/>
      <c r="E38" s="3039"/>
      <c r="F38" s="3039"/>
      <c r="G38" s="3040"/>
      <c r="I38" s="3056">
        <v>25</v>
      </c>
      <c r="J38" s="3056">
        <v>89.3</v>
      </c>
      <c r="K38" s="3056">
        <f t="shared" si="3"/>
        <v>5.7000000000000028</v>
      </c>
      <c r="L38" s="3056" t="s">
        <v>2565</v>
      </c>
      <c r="M38" s="3056">
        <v>8</v>
      </c>
    </row>
    <row r="39" spans="1:13">
      <c r="A39" s="3038"/>
      <c r="B39" s="3039"/>
      <c r="C39" s="3039"/>
      <c r="D39" s="3039"/>
      <c r="E39" s="3039"/>
      <c r="F39" s="3039"/>
      <c r="G39" s="3040"/>
      <c r="I39" s="3056">
        <v>30</v>
      </c>
      <c r="J39" s="3056">
        <v>93.8</v>
      </c>
      <c r="K39" s="3056">
        <f t="shared" si="3"/>
        <v>4.5</v>
      </c>
      <c r="L39" s="3056" t="s">
        <v>2566</v>
      </c>
      <c r="M39" s="3056">
        <v>6</v>
      </c>
    </row>
    <row r="40" spans="1:13">
      <c r="A40" s="3041" t="s">
        <v>2537</v>
      </c>
      <c r="B40" s="3042"/>
      <c r="C40" s="3042"/>
      <c r="D40" s="3042"/>
      <c r="E40" s="3042"/>
      <c r="F40" s="3042"/>
      <c r="G40" s="3043"/>
      <c r="I40" s="3056">
        <v>35</v>
      </c>
      <c r="J40" s="3056">
        <v>97.2</v>
      </c>
      <c r="K40" s="3056">
        <f t="shared" si="3"/>
        <v>3.4000000000000057</v>
      </c>
      <c r="L40" s="3056" t="s">
        <v>2567</v>
      </c>
      <c r="M40" s="3056">
        <v>3</v>
      </c>
    </row>
    <row r="41" spans="1:13">
      <c r="A41" s="3044" t="s">
        <v>2538</v>
      </c>
      <c r="B41" s="3045" t="s">
        <v>2539</v>
      </c>
      <c r="C41" s="3046" t="s">
        <v>2540</v>
      </c>
      <c r="D41" s="3046" t="s">
        <v>2541</v>
      </c>
      <c r="E41" s="3047"/>
      <c r="F41" s="3048"/>
      <c r="G41" s="3049"/>
      <c r="I41" s="3056">
        <v>40</v>
      </c>
      <c r="J41" s="3056">
        <v>100</v>
      </c>
      <c r="K41" s="3056">
        <f t="shared" si="3"/>
        <v>2.7999999999999972</v>
      </c>
    </row>
    <row r="42" spans="1:13">
      <c r="A42" s="3044" t="s">
        <v>2542</v>
      </c>
      <c r="B42" s="3045" t="s">
        <v>2543</v>
      </c>
      <c r="C42" s="3046" t="s">
        <v>2544</v>
      </c>
      <c r="D42" s="3050" t="s">
        <v>2545</v>
      </c>
      <c r="E42" s="3042" t="s">
        <v>2546</v>
      </c>
      <c r="F42" s="3042"/>
      <c r="G42" s="3043"/>
    </row>
    <row r="43" spans="1:13">
      <c r="A43" s="3044" t="s">
        <v>2547</v>
      </c>
      <c r="B43" s="3045" t="s">
        <v>2548</v>
      </c>
      <c r="C43" s="3046" t="s">
        <v>2549</v>
      </c>
      <c r="D43" s="3046" t="s">
        <v>2550</v>
      </c>
      <c r="E43" s="3047" t="s">
        <v>2551</v>
      </c>
      <c r="F43" s="3048"/>
      <c r="G43" s="3049"/>
      <c r="I43" s="3056" t="s">
        <v>2559</v>
      </c>
      <c r="J43" s="3056" t="s">
        <v>2570</v>
      </c>
    </row>
    <row r="44" spans="1:13">
      <c r="A44" s="3044" t="s">
        <v>2552</v>
      </c>
      <c r="B44" s="3045" t="s">
        <v>2553</v>
      </c>
      <c r="C44" s="3046" t="s">
        <v>2554</v>
      </c>
      <c r="D44" s="3050">
        <v>0.5</v>
      </c>
      <c r="E44" s="3047" t="s">
        <v>2555</v>
      </c>
      <c r="F44" s="3048"/>
      <c r="G44" s="3049"/>
      <c r="I44" s="3056">
        <v>30</v>
      </c>
      <c r="J44" s="3056">
        <v>81.7</v>
      </c>
    </row>
    <row r="45" spans="1:13" ht="14.25" thickBot="1">
      <c r="A45" s="3051" t="s">
        <v>2556</v>
      </c>
      <c r="B45" s="3052" t="s">
        <v>2543</v>
      </c>
      <c r="C45" s="3053" t="s">
        <v>2543</v>
      </c>
      <c r="D45" s="3053" t="s">
        <v>2557</v>
      </c>
      <c r="E45" s="3054" t="s">
        <v>2558</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59" t="str">
        <f>IF(B10="北京市","北京市",C10)&amp;F10&amp;IF(结果表!G1="在建","出让国有建设用地使用权及在建建筑物",IF(结果表!G1="土地","出让国有建设用地使用权",))&amp;B9&amp;"预评估"</f>
        <v>北京市门头沟区城子大街90号院17号楼1层17-2房地产抵押价值预评估</v>
      </c>
      <c r="C1" s="3560"/>
      <c r="D1" s="3560"/>
      <c r="E1" s="3560"/>
      <c r="F1" s="3560"/>
      <c r="G1" s="3560"/>
      <c r="H1" s="3560"/>
      <c r="I1" s="3561"/>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北京市门头沟区城子大街90号院17号楼1层17-2房地产抵押价值</v>
      </c>
      <c r="T1" s="1745"/>
      <c r="U1" s="1745"/>
      <c r="V1" s="1745"/>
      <c r="W1" s="1745"/>
      <c r="X1" s="1745"/>
      <c r="Y1" s="1745"/>
      <c r="Z1" s="1745"/>
      <c r="AA1" s="1745"/>
      <c r="AB1" s="1745"/>
    </row>
    <row r="2" spans="1:30">
      <c r="A2" s="2367" t="s">
        <v>2167</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北京市门头沟区城子大街90号院17号楼1层17-2房地产</v>
      </c>
      <c r="T2" s="1745"/>
      <c r="U2" s="1745"/>
      <c r="V2" s="1745"/>
      <c r="W2" s="1745"/>
      <c r="X2" s="1745"/>
      <c r="Y2" s="1745"/>
      <c r="Z2" s="1745"/>
      <c r="AA2" s="1745"/>
      <c r="AB2" s="1745"/>
    </row>
    <row r="3" spans="1:30">
      <c r="A3" s="302" t="s">
        <v>2168</v>
      </c>
      <c r="B3" s="2373">
        <v>45495</v>
      </c>
      <c r="C3" s="2374" t="s">
        <v>2169</v>
      </c>
      <c r="D3" s="2373">
        <f>B3</f>
        <v>45495</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3374</v>
      </c>
      <c r="C4" s="2376">
        <f ca="1">SUMIF(注册房地产估价师,B4,估价师及机构信息!B3:B24)</f>
        <v>1120070131</v>
      </c>
      <c r="D4" s="2375" t="s">
        <v>3375</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2173</v>
      </c>
      <c r="B7" s="2387"/>
      <c r="C7" s="2385"/>
      <c r="D7" s="2386"/>
      <c r="E7" s="2660"/>
      <c r="F7" s="2662"/>
      <c r="G7" s="2662"/>
      <c r="H7" s="2662"/>
      <c r="I7" s="2662"/>
      <c r="J7" s="2439"/>
      <c r="K7" s="2614"/>
      <c r="L7" s="2611"/>
      <c r="M7" s="2611"/>
      <c r="N7" s="2439"/>
      <c r="O7" s="2450"/>
      <c r="P7" s="2439"/>
      <c r="Q7" s="2439"/>
      <c r="R7" s="2439"/>
    </row>
    <row r="8" spans="1:30">
      <c r="A8" s="2388" t="s">
        <v>2174</v>
      </c>
      <c r="B8" s="2389" t="s">
        <v>3376</v>
      </c>
      <c r="C8" s="2390"/>
      <c r="D8" s="3562" t="s">
        <v>2175</v>
      </c>
      <c r="E8" s="2391" t="s">
        <v>3377</v>
      </c>
      <c r="F8" s="2392"/>
      <c r="G8" s="2661"/>
      <c r="H8" s="2661"/>
      <c r="I8" s="2661"/>
      <c r="J8" s="2439"/>
      <c r="K8" s="2612"/>
      <c r="L8" s="2611"/>
      <c r="M8" s="2611"/>
      <c r="N8" s="2439"/>
      <c r="O8" s="2450"/>
      <c r="P8" s="2439"/>
      <c r="Q8" s="2439"/>
      <c r="R8" s="2439"/>
    </row>
    <row r="9" spans="1:30" ht="13.5" thickBot="1">
      <c r="A9" s="2393" t="s">
        <v>2176</v>
      </c>
      <c r="B9" s="2394" t="s">
        <v>3377</v>
      </c>
      <c r="C9" s="2395"/>
      <c r="D9" s="3563"/>
      <c r="E9" s="2394" t="s">
        <v>43</v>
      </c>
      <c r="F9" s="2396"/>
      <c r="G9" s="2663"/>
      <c r="H9" s="2663"/>
      <c r="I9" s="2663"/>
      <c r="J9" s="2439"/>
      <c r="K9" s="2614"/>
      <c r="L9" s="2611"/>
      <c r="M9" s="2611"/>
      <c r="N9" s="2439"/>
      <c r="O9" s="2450"/>
      <c r="P9" s="2439"/>
      <c r="Q9" s="2439"/>
      <c r="R9" s="2439"/>
    </row>
    <row r="10" spans="1:30" ht="13.5" thickTop="1">
      <c r="A10" s="2397" t="s">
        <v>2177</v>
      </c>
      <c r="B10" s="2398" t="s">
        <v>3378</v>
      </c>
      <c r="C10" s="2399"/>
      <c r="D10" s="2382"/>
      <c r="E10" s="2400" t="s">
        <v>2178</v>
      </c>
      <c r="F10" s="2664" t="s">
        <v>3555</v>
      </c>
      <c r="G10" s="2665"/>
      <c r="H10" s="2666"/>
      <c r="I10" s="2667"/>
      <c r="J10" s="2439"/>
      <c r="K10" s="2614"/>
      <c r="L10" s="2611"/>
      <c r="M10" s="2611"/>
      <c r="N10" s="2439"/>
      <c r="O10" s="2450"/>
      <c r="P10" s="2439"/>
      <c r="Q10" s="2439"/>
      <c r="R10" s="2439"/>
    </row>
    <row r="11" spans="1:30">
      <c r="A11" s="2401" t="s">
        <v>2179</v>
      </c>
      <c r="B11" s="2402" t="s">
        <v>3379</v>
      </c>
      <c r="C11" s="2403"/>
      <c r="D11" s="2404"/>
      <c r="E11" s="2370"/>
      <c r="F11" s="2370"/>
      <c r="G11" s="2370"/>
      <c r="H11" s="2370"/>
      <c r="I11" s="2370"/>
      <c r="J11" s="3059"/>
      <c r="K11" s="3058"/>
      <c r="L11" s="2611"/>
      <c r="M11" s="2611"/>
      <c r="N11" s="2439"/>
      <c r="O11" s="2450"/>
      <c r="P11" s="2439"/>
      <c r="Q11" s="2439"/>
      <c r="R11" s="2439"/>
    </row>
    <row r="12" spans="1:30">
      <c r="A12" s="2405" t="s">
        <v>2180</v>
      </c>
      <c r="B12" s="323" t="s">
        <v>2181</v>
      </c>
      <c r="C12" s="2406" t="s">
        <v>2182</v>
      </c>
      <c r="D12" s="2406" t="s">
        <v>2183</v>
      </c>
      <c r="E12" s="2406" t="s">
        <v>2184</v>
      </c>
      <c r="F12" s="2406" t="s">
        <v>2185</v>
      </c>
      <c r="G12" s="2406" t="s">
        <v>2186</v>
      </c>
      <c r="H12" s="2406" t="s">
        <v>2187</v>
      </c>
      <c r="I12" s="3057" t="s">
        <v>2571</v>
      </c>
      <c r="J12" s="3060"/>
      <c r="K12" s="2611"/>
      <c r="L12" s="2611"/>
      <c r="M12" s="2439"/>
      <c r="N12" s="2450"/>
      <c r="O12" s="2439"/>
      <c r="P12" s="2439"/>
      <c r="Q12" s="2439"/>
      <c r="AD12" s="1745"/>
    </row>
    <row r="13" spans="1:30">
      <c r="A13" s="3421" t="s">
        <v>3326</v>
      </c>
      <c r="B13" s="2407" t="s">
        <v>2188</v>
      </c>
      <c r="C13" s="856"/>
      <c r="D13" s="856">
        <v>57056</v>
      </c>
      <c r="E13" s="856"/>
      <c r="F13" s="856"/>
      <c r="G13" s="856"/>
      <c r="H13" s="856"/>
      <c r="I13" s="856"/>
      <c r="J13" s="3060"/>
      <c r="K13" s="2611"/>
      <c r="L13" s="2611"/>
      <c r="M13" s="2439"/>
      <c r="N13" s="2450"/>
      <c r="O13" s="2439"/>
      <c r="P13" s="2439"/>
      <c r="Q13" s="2439"/>
      <c r="AD13" s="1745"/>
    </row>
    <row r="14" spans="1:30">
      <c r="A14" s="1081"/>
      <c r="B14" s="2407" t="s">
        <v>2189</v>
      </c>
      <c r="C14" s="2408"/>
      <c r="D14" s="2408">
        <v>40</v>
      </c>
      <c r="E14" s="2408"/>
      <c r="F14" s="2408"/>
      <c r="G14" s="2408"/>
      <c r="H14" s="2408"/>
      <c r="I14" s="2408"/>
      <c r="J14" s="3061"/>
      <c r="K14" s="2611"/>
      <c r="L14" s="2611"/>
      <c r="M14" s="2439"/>
      <c r="N14" s="2450"/>
      <c r="O14" s="2439"/>
      <c r="P14" s="2439"/>
      <c r="Q14" s="2439"/>
      <c r="AD14" s="1745"/>
    </row>
    <row r="15" spans="1:30">
      <c r="A15" s="320"/>
      <c r="B15" s="2409" t="s">
        <v>2190</v>
      </c>
      <c r="C15" s="2410" t="str">
        <f>IF(A13="出让",IF(C13="","",ROUNDDOWN(MIN((C13-$D$3)/365,C14),2)),C14)</f>
        <v/>
      </c>
      <c r="D15" s="2410">
        <f>IF(A13="出让",IF(D13="","",ROUNDDOWN(MIN((D13-$D$3)/365,D14),2)),D14)</f>
        <v>31.67</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2191</v>
      </c>
      <c r="B16" s="3569"/>
      <c r="C16" s="3570"/>
      <c r="D16" s="3571"/>
      <c r="E16" s="2413" t="s">
        <v>2192</v>
      </c>
      <c r="F16" s="3572"/>
      <c r="G16" s="3573"/>
      <c r="H16" s="3573"/>
      <c r="I16" s="3574"/>
      <c r="J16" s="2439"/>
      <c r="K16" s="2615"/>
      <c r="L16" s="2451"/>
      <c r="M16" s="2451"/>
      <c r="N16" s="2507"/>
      <c r="O16" s="2451"/>
      <c r="P16" s="2507"/>
      <c r="Q16" s="2439"/>
      <c r="R16" s="2439"/>
    </row>
    <row r="17" spans="1:28">
      <c r="A17" s="313" t="s">
        <v>2193</v>
      </c>
      <c r="B17" s="302" t="s">
        <v>2194</v>
      </c>
      <c r="C17" s="8">
        <f>'数据-汇总表'!E3</f>
        <v>499.53</v>
      </c>
      <c r="D17" s="2322" t="s">
        <v>2195</v>
      </c>
      <c r="E17" s="3575" t="s">
        <v>2196</v>
      </c>
      <c r="F17" s="3576"/>
      <c r="G17" s="3576"/>
      <c r="H17" s="3576"/>
      <c r="I17" s="3577"/>
      <c r="J17" s="2439"/>
      <c r="K17" s="2616"/>
      <c r="L17" s="2451"/>
      <c r="M17" s="2451"/>
      <c r="N17" s="2507"/>
      <c r="O17" s="2451"/>
      <c r="P17" s="2507"/>
      <c r="Q17" s="2439"/>
      <c r="R17" s="2439"/>
      <c r="S17" s="2439"/>
      <c r="T17" s="2439"/>
      <c r="U17" s="2439"/>
      <c r="V17" s="2439"/>
    </row>
    <row r="18" spans="1:28" ht="24.75" thickBot="1">
      <c r="A18" s="2414" t="s">
        <v>2197</v>
      </c>
      <c r="B18" s="1090" t="s">
        <v>2198</v>
      </c>
      <c r="C18" s="2415">
        <f>'数据-汇总表'!D3</f>
        <v>0</v>
      </c>
      <c r="D18" s="1092" t="s">
        <v>2199</v>
      </c>
      <c r="E18" s="3578" t="s">
        <v>2200</v>
      </c>
      <c r="F18" s="3579"/>
      <c r="G18" s="3579"/>
      <c r="H18" s="3579"/>
      <c r="I18" s="3580"/>
      <c r="J18" s="2439"/>
      <c r="K18" s="2616"/>
      <c r="L18" s="2451"/>
      <c r="M18" s="2451"/>
      <c r="N18" s="2507"/>
      <c r="O18" s="2451"/>
      <c r="P18" s="2507"/>
      <c r="Q18" s="2439"/>
      <c r="R18" s="2439"/>
      <c r="S18" s="2439"/>
      <c r="T18" s="2439"/>
      <c r="U18" s="2439"/>
      <c r="V18" s="2439"/>
    </row>
    <row r="19" spans="1:28" ht="37.5" thickTop="1" thickBot="1">
      <c r="A19" s="327" t="s">
        <v>1055</v>
      </c>
      <c r="B19" s="307" t="s">
        <v>2201</v>
      </c>
      <c r="C19" s="1563"/>
      <c r="D19" s="1564" t="s">
        <v>2202</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2203</v>
      </c>
      <c r="B20" s="3565" t="s">
        <v>2204</v>
      </c>
      <c r="C20" s="3566"/>
      <c r="D20" s="3567" t="s">
        <v>2205</v>
      </c>
      <c r="E20" s="3568"/>
      <c r="F20" s="2645" t="s">
        <v>1056</v>
      </c>
      <c r="G20" s="2662"/>
      <c r="H20" s="2662"/>
      <c r="I20" s="2662"/>
      <c r="J20" s="2439"/>
      <c r="K20" s="3564"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6.25" thickBot="1">
      <c r="A21" s="2630"/>
      <c r="B21" s="2631" t="s">
        <v>3380</v>
      </c>
      <c r="C21" s="2632" t="s">
        <v>3381</v>
      </c>
      <c r="D21" s="1568"/>
      <c r="E21" s="2633"/>
      <c r="F21" s="2646"/>
      <c r="G21" s="2662"/>
      <c r="H21" s="2662"/>
      <c r="I21" s="2662"/>
      <c r="J21" s="2439"/>
      <c r="K21" s="356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13.5" thickBot="1">
      <c r="A22" s="2630"/>
      <c r="B22" s="2634"/>
      <c r="C22" s="2632"/>
      <c r="D22" s="2661"/>
      <c r="E22" s="2661"/>
      <c r="F22" s="2661"/>
      <c r="G22" s="2662"/>
      <c r="H22" s="2662"/>
      <c r="I22" s="2662"/>
      <c r="J22" s="2439"/>
      <c r="K22" s="356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2207</v>
      </c>
      <c r="B23" s="2500" t="s">
        <v>2208</v>
      </c>
      <c r="C23" s="2636"/>
      <c r="D23" s="2637" t="s">
        <v>2208</v>
      </c>
      <c r="E23" s="2638"/>
      <c r="F23" s="2661"/>
      <c r="G23" s="2662"/>
      <c r="H23" s="2662"/>
      <c r="I23" s="2662"/>
      <c r="J23" s="2439"/>
      <c r="K23" s="2617"/>
      <c r="L23" s="2473"/>
      <c r="M23" s="2611"/>
      <c r="N23" s="2507"/>
      <c r="O23" s="2451"/>
      <c r="P23" s="2507"/>
      <c r="Q23" s="2439"/>
      <c r="R23" s="2439"/>
      <c r="S23" s="2439"/>
      <c r="T23" s="2439"/>
      <c r="U23" s="2439"/>
      <c r="V23" s="2439"/>
    </row>
    <row r="24" spans="1:28">
      <c r="A24" s="2635"/>
      <c r="B24" s="2500" t="s">
        <v>1057</v>
      </c>
      <c r="C24" s="2639"/>
      <c r="D24" s="2635" t="s">
        <v>1057</v>
      </c>
      <c r="E24" s="2640"/>
      <c r="F24" s="2661"/>
      <c r="G24" s="2662"/>
      <c r="H24" s="2662"/>
      <c r="I24" s="2662"/>
      <c r="J24" s="2439"/>
      <c r="K24" s="2617"/>
      <c r="L24" s="2473"/>
      <c r="M24" s="2611"/>
      <c r="N24" s="2507"/>
      <c r="O24" s="2451"/>
      <c r="P24" s="2507"/>
      <c r="Q24" s="2439"/>
      <c r="R24" s="2439"/>
      <c r="S24" s="2439"/>
      <c r="T24" s="2439"/>
      <c r="U24" s="2439"/>
      <c r="V24" s="2439"/>
    </row>
    <row r="25" spans="1:28">
      <c r="A25" s="2635"/>
      <c r="B25" s="2500" t="s">
        <v>1058</v>
      </c>
      <c r="C25" s="2639"/>
      <c r="D25" s="2635" t="s">
        <v>1058</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1059</v>
      </c>
      <c r="C26" s="2643"/>
      <c r="D26" s="2641" t="s">
        <v>1059</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52" t="s">
        <v>2209</v>
      </c>
      <c r="B27" s="320" t="s">
        <v>2210</v>
      </c>
      <c r="C27" s="2416" t="s">
        <v>3382</v>
      </c>
      <c r="D27" s="2417"/>
      <c r="E27" s="2662"/>
      <c r="F27" s="2662"/>
      <c r="G27" s="2662"/>
      <c r="H27" s="2662"/>
      <c r="I27" s="2662"/>
      <c r="J27" s="2439"/>
      <c r="K27" s="2615"/>
      <c r="L27" s="2451"/>
      <c r="M27" s="2451"/>
      <c r="N27" s="2507"/>
      <c r="O27" s="2451"/>
      <c r="P27" s="2507"/>
      <c r="Q27" s="2439"/>
      <c r="R27" s="2439"/>
      <c r="S27" s="2439"/>
      <c r="T27" s="2439"/>
      <c r="U27" s="2439"/>
      <c r="V27" s="2439"/>
    </row>
    <row r="28" spans="1:28">
      <c r="A28" s="3552"/>
      <c r="B28" s="302" t="s">
        <v>2211</v>
      </c>
      <c r="C28" s="2418" t="s">
        <v>3383</v>
      </c>
      <c r="D28" s="2419"/>
      <c r="E28" s="2662"/>
      <c r="F28" s="2662"/>
      <c r="G28" s="2662"/>
      <c r="H28" s="2662"/>
      <c r="I28" s="2662"/>
      <c r="J28" s="2439"/>
      <c r="K28" s="2614"/>
      <c r="L28" s="2611"/>
      <c r="M28" s="2611"/>
      <c r="N28" s="2439"/>
      <c r="O28" s="2450"/>
      <c r="P28" s="2439"/>
      <c r="Q28" s="2439"/>
      <c r="R28" s="2439"/>
      <c r="S28" s="2439"/>
      <c r="T28" s="2439"/>
      <c r="U28" s="2439"/>
      <c r="V28" s="2439"/>
    </row>
    <row r="29" spans="1:28">
      <c r="A29" s="3552"/>
      <c r="B29" s="302" t="s">
        <v>2212</v>
      </c>
      <c r="C29" s="2420" t="s">
        <v>3384</v>
      </c>
      <c r="D29" s="2421"/>
      <c r="E29" s="2662"/>
      <c r="F29" s="2662"/>
      <c r="G29" s="2662"/>
      <c r="H29" s="2662"/>
      <c r="I29" s="2662"/>
      <c r="J29" s="2439"/>
      <c r="K29" s="2614"/>
      <c r="L29" s="2611"/>
      <c r="M29" s="2611"/>
      <c r="N29" s="2439"/>
      <c r="O29" s="2450"/>
      <c r="P29" s="2439"/>
      <c r="Q29" s="2439"/>
      <c r="R29" s="2439"/>
      <c r="S29" s="2439"/>
      <c r="T29" s="2439"/>
      <c r="U29" s="2439"/>
      <c r="V29" s="2439"/>
    </row>
    <row r="30" spans="1:28">
      <c r="A30" s="3553"/>
      <c r="B30" s="302" t="s">
        <v>2213</v>
      </c>
      <c r="C30" s="3554"/>
      <c r="D30" s="3555"/>
      <c r="E30" s="2662"/>
      <c r="F30" s="2662"/>
      <c r="G30" s="2662"/>
      <c r="H30" s="2662"/>
      <c r="I30" s="2662"/>
      <c r="J30" s="2439"/>
      <c r="K30" s="2614"/>
      <c r="L30" s="2611"/>
      <c r="M30" s="2611"/>
      <c r="N30" s="2439"/>
      <c r="O30" s="2450"/>
      <c r="P30" s="2439"/>
      <c r="Q30" s="2439"/>
      <c r="R30" s="2439"/>
      <c r="S30" s="2439"/>
      <c r="T30" s="2439"/>
      <c r="U30" s="2439"/>
      <c r="V30" s="2439"/>
    </row>
    <row r="31" spans="1:28">
      <c r="A31" s="3556" t="s">
        <v>2214</v>
      </c>
      <c r="B31" s="2422" t="s">
        <v>3385</v>
      </c>
      <c r="C31" s="2323" t="str">
        <f>IF(B31="现房","成新及维护状况正常否",IF(B31="在建","工程状态是否正常",IF(B31="土地","是否闲置","-")))</f>
        <v>成新及维护状况正常否</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57"/>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57"/>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2215</v>
      </c>
      <c r="B34" s="2026" t="s">
        <v>3386</v>
      </c>
      <c r="C34" s="2026" t="s">
        <v>3387</v>
      </c>
      <c r="D34" s="2026" t="s">
        <v>3388</v>
      </c>
      <c r="E34" s="2026" t="s">
        <v>3389</v>
      </c>
      <c r="F34" s="2026" t="s">
        <v>3390</v>
      </c>
      <c r="G34" s="2026" t="s">
        <v>3391</v>
      </c>
      <c r="H34" s="2026" t="s">
        <v>3392</v>
      </c>
      <c r="I34" s="2662"/>
      <c r="J34" s="2439"/>
      <c r="K34" s="2427">
        <f>COUNTIF(B34:H34,"——")</f>
        <v>0</v>
      </c>
      <c r="L34" s="323" t="s">
        <v>2216</v>
      </c>
      <c r="M34" s="323" t="s">
        <v>2217</v>
      </c>
      <c r="N34" s="323" t="s">
        <v>2218</v>
      </c>
      <c r="O34" s="323" t="s">
        <v>2219</v>
      </c>
      <c r="P34" s="323" t="s">
        <v>2220</v>
      </c>
      <c r="Q34" s="323" t="s">
        <v>2221</v>
      </c>
      <c r="R34" s="323" t="s">
        <v>2222</v>
      </c>
      <c r="S34" s="3551" t="s">
        <v>2223</v>
      </c>
      <c r="T34" s="2428" t="str">
        <f>NUMBERSTRING(7-K34,1)&amp;"通"</f>
        <v>七通</v>
      </c>
      <c r="U34" s="2439"/>
      <c r="V34" s="2439"/>
    </row>
    <row r="35" spans="1:30">
      <c r="A35" s="2429"/>
      <c r="B35" s="3558" t="s">
        <v>2224</v>
      </c>
      <c r="C35" s="3558"/>
      <c r="D35" s="3558"/>
      <c r="E35" s="3558"/>
      <c r="F35" s="664">
        <f>C10</f>
        <v>0</v>
      </c>
      <c r="G35" s="2662"/>
      <c r="H35" s="2662"/>
      <c r="I35" s="2662"/>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通路、通电、通讯、通上水、通下水、通热、平整</v>
      </c>
      <c r="S35" s="3551"/>
      <c r="T35" s="329" t="str">
        <f>IF(T34="一通",L35,IF(T34="二通",M35,IF(T34="三通",N35,IF(T34="四通",O35,IF(T34="五通",P35,IF(T34="六通",Q35,R35))))))</f>
        <v>通路、通电、通讯、通上水、通下水、通热、平整</v>
      </c>
      <c r="U35" s="2439"/>
      <c r="V35" s="2439"/>
    </row>
    <row r="36" spans="1:30">
      <c r="A36" s="2430"/>
      <c r="B36" s="664" t="s">
        <v>2183</v>
      </c>
      <c r="C36" s="664" t="s">
        <v>2184</v>
      </c>
      <c r="D36" s="664" t="s">
        <v>2182</v>
      </c>
      <c r="E36" s="664" t="s">
        <v>2187</v>
      </c>
      <c r="F36" s="3063" t="s">
        <v>2574</v>
      </c>
      <c r="G36" s="2662"/>
      <c r="H36" s="2662"/>
      <c r="I36" s="2662"/>
      <c r="J36" s="2439"/>
      <c r="K36" s="2614"/>
      <c r="L36" s="2611"/>
      <c r="M36" s="2611"/>
      <c r="N36" s="2439"/>
      <c r="O36" s="2450"/>
      <c r="P36" s="2439"/>
      <c r="Q36" s="2439"/>
      <c r="R36" s="2439"/>
      <c r="S36" s="2439"/>
      <c r="T36" s="2439"/>
      <c r="U36" s="2439"/>
      <c r="V36" s="2439"/>
    </row>
    <row r="37" spans="1:30">
      <c r="A37" s="2628" t="s">
        <v>2225</v>
      </c>
      <c r="B37" s="2431" t="s">
        <v>304</v>
      </c>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2226</v>
      </c>
      <c r="B38" s="2432" t="s">
        <v>3393</v>
      </c>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2227</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2228</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2229</v>
      </c>
      <c r="B42" s="8" t="s">
        <v>2230</v>
      </c>
      <c r="C42" s="8" t="s">
        <v>2231</v>
      </c>
      <c r="D42" s="8" t="s">
        <v>2232</v>
      </c>
      <c r="E42" s="8" t="s">
        <v>2233</v>
      </c>
      <c r="F42" s="8" t="s">
        <v>2234</v>
      </c>
      <c r="G42" s="8" t="s">
        <v>2235</v>
      </c>
      <c r="H42" s="8" t="s">
        <v>2236</v>
      </c>
      <c r="I42" s="8" t="s">
        <v>2237</v>
      </c>
      <c r="J42" s="2624" t="s">
        <v>2238</v>
      </c>
      <c r="K42" s="2625" t="s">
        <v>2239</v>
      </c>
      <c r="L42" s="2625" t="s">
        <v>2240</v>
      </c>
      <c r="M42" s="2625" t="s">
        <v>2241</v>
      </c>
      <c r="N42" s="2618" t="s">
        <v>2242</v>
      </c>
      <c r="O42" s="2618" t="s">
        <v>2243</v>
      </c>
      <c r="P42" s="2618" t="s">
        <v>2244</v>
      </c>
      <c r="Q42" s="2619" t="s">
        <v>2245</v>
      </c>
      <c r="R42" s="2619" t="s">
        <v>2246</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499.53</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499.53</v>
      </c>
      <c r="H5" s="13">
        <f t="shared" ref="H5:AT5" si="0">SUM(H13:H656)</f>
        <v>499.53</v>
      </c>
      <c r="I5" s="13">
        <f t="shared" si="0"/>
        <v>499.53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499.53</v>
      </c>
      <c r="BA5" s="15">
        <f t="shared" si="1"/>
        <v>499.53</v>
      </c>
      <c r="BB5" s="15">
        <f t="shared" si="1"/>
        <v>499.53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3395</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3394</v>
      </c>
      <c r="E13" s="13">
        <f>IF($C$3="是",ROUND($A$3*G13/$B$3,2),ROUND($A$3*(G13-AT13)/$B$3,2))</f>
        <v>0</v>
      </c>
      <c r="F13" s="29"/>
      <c r="G13" s="30">
        <f>H13+AC13+AT13</f>
        <v>499.53</v>
      </c>
      <c r="H13" s="17">
        <f>SUMIF(I$12:AB$12,"总值",I13:AB13)</f>
        <v>499.53</v>
      </c>
      <c r="I13" s="1626">
        <v>499.53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499.53</v>
      </c>
      <c r="BA13" s="13">
        <f>SUM(BB13:BK13)</f>
        <v>499.53</v>
      </c>
      <c r="BB13" s="13">
        <f>IF($D13="是",I13-J13,0)</f>
        <v>499.53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90" t="s">
        <v>1129</v>
      </c>
      <c r="B2" s="3590"/>
      <c r="C2" s="3590"/>
      <c r="D2" s="796" t="s">
        <v>1105</v>
      </c>
      <c r="E2" s="1639" t="s">
        <v>1106</v>
      </c>
      <c r="F2" s="2657"/>
      <c r="G2" s="2648"/>
      <c r="H2" s="2649"/>
      <c r="I2" s="2325" t="s">
        <v>1130</v>
      </c>
      <c r="J2" s="2657"/>
      <c r="K2" s="2657"/>
      <c r="L2" s="2657"/>
      <c r="M2" s="2657"/>
      <c r="N2" s="2659"/>
      <c r="O2" s="2657"/>
      <c r="P2" s="2657"/>
    </row>
    <row r="3" spans="1:16" ht="15.75" thickBot="1">
      <c r="A3" s="3591" t="s">
        <v>1103</v>
      </c>
      <c r="B3" s="3591"/>
      <c r="C3" s="3591"/>
      <c r="D3" s="43">
        <f>'数据-基础表'!AY6</f>
        <v>0</v>
      </c>
      <c r="E3" s="43">
        <f>'数据-基础表'!AZ5</f>
        <v>499.53</v>
      </c>
      <c r="F3" s="2657"/>
      <c r="G3" s="1145"/>
      <c r="H3" s="1026" t="s">
        <v>1104</v>
      </c>
      <c r="I3" s="855" t="e">
        <f>ROUND('数据-基础表'!B3/'数据-基础表'!A3,2)</f>
        <v>#DIV/0!</v>
      </c>
      <c r="J3" s="2657"/>
      <c r="K3" s="2657"/>
      <c r="L3" s="2657"/>
      <c r="M3" s="2657"/>
      <c r="N3" s="2659"/>
      <c r="O3" s="2657"/>
      <c r="P3" s="2657"/>
    </row>
    <row r="4" spans="1:16" ht="15">
      <c r="A4" s="3592"/>
      <c r="B4" s="3593"/>
      <c r="C4" s="3594"/>
      <c r="D4" s="1641" t="s">
        <v>1105</v>
      </c>
      <c r="E4" s="1642" t="s">
        <v>1106</v>
      </c>
      <c r="F4" s="2657"/>
      <c r="G4" s="2650" t="s">
        <v>1131</v>
      </c>
      <c r="H4" s="1026" t="s">
        <v>1111</v>
      </c>
      <c r="I4" s="855" t="e">
        <f>ROUND(SUMIF('数据-基础表'!I9:AS9,"地上",'数据-基础表'!I5:AS5)/'数据-基础表'!A3,2)</f>
        <v>#DIV/0!</v>
      </c>
      <c r="J4" s="2657"/>
      <c r="K4" s="2657"/>
      <c r="L4" s="2657"/>
      <c r="M4" s="2657"/>
      <c r="N4" s="2659"/>
      <c r="O4" s="2657"/>
      <c r="P4" s="2657"/>
    </row>
    <row r="5" spans="1:16">
      <c r="A5" s="44" t="s">
        <v>1107</v>
      </c>
      <c r="B5" s="3595" t="s">
        <v>1108</v>
      </c>
      <c r="C5" s="3595"/>
      <c r="D5" s="45">
        <f>ROUND($D$3*E5/$E$3,2)</f>
        <v>0</v>
      </c>
      <c r="E5" s="46">
        <f>SUMIF('数据-基础表'!$11:$11,"住宅",'数据-基础表'!$5:$5)</f>
        <v>0</v>
      </c>
      <c r="F5" s="2657"/>
      <c r="G5" s="1145"/>
      <c r="H5" s="1026" t="s">
        <v>1104</v>
      </c>
      <c r="I5" s="855" t="e">
        <f>ROUND(E31/D31,2)</f>
        <v>#DIV/0!</v>
      </c>
      <c r="J5" s="2657"/>
      <c r="K5" s="2657"/>
      <c r="L5" s="2657"/>
      <c r="M5" s="2657"/>
      <c r="N5" s="2657"/>
      <c r="O5" s="2657"/>
      <c r="P5" s="2657"/>
    </row>
    <row r="6" spans="1:16" ht="15" thickBot="1">
      <c r="A6" s="1644"/>
      <c r="B6" s="3595" t="s">
        <v>1109</v>
      </c>
      <c r="C6" s="3595"/>
      <c r="D6" s="45">
        <f>ROUND($D$3*E6/$E$3,2)</f>
        <v>0</v>
      </c>
      <c r="E6" s="46">
        <f>E3-E5</f>
        <v>499.53</v>
      </c>
      <c r="F6" s="2657"/>
      <c r="G6" s="2651" t="s">
        <v>1110</v>
      </c>
      <c r="H6" s="1146" t="s">
        <v>1111</v>
      </c>
      <c r="I6" s="2652" t="e">
        <f>ROUND(F31/D31,2)</f>
        <v>#DIV/0!</v>
      </c>
      <c r="J6" s="2657"/>
      <c r="K6" s="2657"/>
      <c r="L6" s="2657"/>
      <c r="M6" s="2657"/>
      <c r="N6" s="2657"/>
      <c r="O6" s="2657"/>
      <c r="P6" s="2657"/>
    </row>
    <row r="7" spans="1:16" ht="15.75" thickBot="1">
      <c r="A7" s="3587"/>
      <c r="B7" s="3588"/>
      <c r="C7" s="3589"/>
      <c r="D7" s="1641" t="s">
        <v>1105</v>
      </c>
      <c r="E7" s="1645" t="s">
        <v>1112</v>
      </c>
      <c r="F7" s="2657"/>
      <c r="G7" s="2653" t="s">
        <v>1113</v>
      </c>
      <c r="H7" s="2654"/>
      <c r="I7" s="2655"/>
      <c r="J7" s="2657"/>
      <c r="K7" s="2657"/>
      <c r="L7" s="2657"/>
      <c r="M7" s="2657"/>
      <c r="N7" s="2657"/>
      <c r="O7" s="2657"/>
      <c r="P7" s="2657"/>
    </row>
    <row r="8" spans="1:16">
      <c r="A8" s="44" t="s">
        <v>1114</v>
      </c>
      <c r="B8" s="47" t="s">
        <v>1115</v>
      </c>
      <c r="C8" s="45" t="s">
        <v>1116</v>
      </c>
      <c r="D8" s="45">
        <f t="shared" ref="D8:D15" si="0">ROUND($D$3*E8/$E$3,2)</f>
        <v>0</v>
      </c>
      <c r="E8" s="48">
        <f>SUMIF('数据-基础表'!BB10:BK10,"地上",'数据-基础表'!BB5:BK5)</f>
        <v>499.53</v>
      </c>
      <c r="F8" s="2657"/>
      <c r="G8" s="2658"/>
      <c r="H8" s="2658"/>
      <c r="I8" s="2657"/>
      <c r="J8" s="2657"/>
      <c r="K8" s="2657"/>
      <c r="L8" s="2657"/>
      <c r="M8" s="2657"/>
      <c r="N8" s="2657"/>
      <c r="O8" s="2657"/>
      <c r="P8" s="2657"/>
    </row>
    <row r="9" spans="1:16">
      <c r="A9" s="1646"/>
      <c r="B9" s="1647"/>
      <c r="C9" s="45" t="s">
        <v>1117</v>
      </c>
      <c r="D9" s="45">
        <f t="shared" si="0"/>
        <v>0</v>
      </c>
      <c r="E9" s="49">
        <v>0</v>
      </c>
      <c r="F9" s="2657"/>
      <c r="G9" s="2658"/>
      <c r="H9" s="2658"/>
      <c r="I9" s="2657"/>
      <c r="J9" s="2657"/>
      <c r="K9" s="2657"/>
      <c r="L9" s="2657"/>
      <c r="M9" s="2657"/>
      <c r="N9" s="2657"/>
      <c r="O9" s="2657"/>
      <c r="P9" s="2657"/>
    </row>
    <row r="10" spans="1:16">
      <c r="A10" s="1646"/>
      <c r="B10" s="1647"/>
      <c r="C10" s="45" t="s">
        <v>1126</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1118</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1119</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1120</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1132</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1127</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1121</v>
      </c>
      <c r="D16" s="47">
        <f>SUM(D8:D15)</f>
        <v>0</v>
      </c>
      <c r="E16" s="50">
        <f>SUM(E8:E15)</f>
        <v>499.53</v>
      </c>
      <c r="F16" s="2657"/>
      <c r="G16" s="2658"/>
      <c r="H16" s="1648" t="s">
        <v>1133</v>
      </c>
      <c r="I16" s="1649"/>
      <c r="J16" s="1139"/>
      <c r="K16" s="3584" t="s">
        <v>1133</v>
      </c>
      <c r="L16" s="3585"/>
      <c r="M16" s="3585"/>
      <c r="N16" s="3585"/>
      <c r="O16" s="3585"/>
      <c r="P16" s="3586"/>
    </row>
    <row r="17" spans="1:19" ht="15">
      <c r="A17" s="1650" t="s">
        <v>1134</v>
      </c>
      <c r="B17" s="1651" t="s">
        <v>1135</v>
      </c>
      <c r="C17" s="1652" t="s">
        <v>1136</v>
      </c>
      <c r="D17" s="1653" t="s">
        <v>1124</v>
      </c>
      <c r="E17" s="1654" t="s">
        <v>1125</v>
      </c>
      <c r="F17" s="1655"/>
      <c r="G17" s="1656"/>
      <c r="H17" s="1657" t="s">
        <v>1137</v>
      </c>
      <c r="I17" s="1658" t="s">
        <v>1122</v>
      </c>
      <c r="J17" s="1139"/>
      <c r="K17" s="3581" t="s">
        <v>1138</v>
      </c>
      <c r="L17" s="3582"/>
      <c r="M17" s="3583"/>
      <c r="N17" s="3581" t="s">
        <v>1139</v>
      </c>
      <c r="O17" s="3582"/>
      <c r="P17" s="3583"/>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5" t="s">
        <v>3397</v>
      </c>
      <c r="D19" s="45">
        <f>ROUND($D$3*E19/$E$3,2)</f>
        <v>0</v>
      </c>
      <c r="E19" s="53">
        <f t="shared" ref="E19:E26" si="1">SUM(F19:G19)</f>
        <v>499.53</v>
      </c>
      <c r="F19" s="2793">
        <f>'数据-基础表'!I5</f>
        <v>499.53</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499.53</v>
      </c>
    </row>
    <row r="20" spans="1:19">
      <c r="A20" s="1670"/>
      <c r="B20" s="47" t="s">
        <v>1151</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499.53</v>
      </c>
      <c r="F27" s="1140">
        <f>IF(SUM(F19:F26)=E8,SUM(F19:F26),"地上面积有误")</f>
        <v>499.53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499.53</v>
      </c>
    </row>
    <row r="28" spans="1:19">
      <c r="A28" s="1670"/>
      <c r="B28" s="47" t="s">
        <v>1153</v>
      </c>
      <c r="C28" s="1038" t="s">
        <v>1154</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1153</v>
      </c>
      <c r="C29" s="1674" t="s">
        <v>1155</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1152</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1156</v>
      </c>
      <c r="D31" s="676">
        <f>D27+D30</f>
        <v>0</v>
      </c>
      <c r="E31" s="676">
        <f>E27+E30</f>
        <v>499.53</v>
      </c>
      <c r="F31" s="677">
        <f>F27+F30</f>
        <v>499.53</v>
      </c>
      <c r="G31" s="678">
        <f>G27+G30</f>
        <v>0</v>
      </c>
      <c r="H31" s="2657"/>
      <c r="I31" s="2657"/>
      <c r="J31" s="2657"/>
      <c r="K31" s="2657"/>
      <c r="L31" s="2657"/>
      <c r="M31" s="2657"/>
      <c r="N31" s="2657"/>
      <c r="O31" s="2657"/>
      <c r="P31" s="2657"/>
    </row>
    <row r="32" spans="1:19">
      <c r="A32" s="1643"/>
      <c r="B32" s="1643" t="s">
        <v>1157</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J32" sqref="J3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1159</v>
      </c>
      <c r="B2" s="1045">
        <f>项目基本情况!D3</f>
        <v>45495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6"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3398</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底商</v>
      </c>
      <c r="B6" s="1713" t="str">
        <f>IF(A6=0,"","经营性")</f>
        <v>经营性</v>
      </c>
      <c r="C6" s="1714" t="s">
        <v>673</v>
      </c>
      <c r="D6" s="858">
        <f>SUMIF(项目基本情况!C$12:I$12,C6,项目基本情况!C$14:I$14)</f>
        <v>40</v>
      </c>
      <c r="E6" s="857">
        <f>IF(B6="","",SUMIF(项目基本情况!C$12:I$12,C6,项目基本情况!C$13:I$13))</f>
        <v>57056</v>
      </c>
      <c r="F6" s="64">
        <f>SUMIF(项目基本情况!C$12:I$12,C6,项目基本情况!C$15:I$15)</f>
        <v>31.67</v>
      </c>
      <c r="G6" s="65">
        <f>IF(ISERROR(ROUND(POWER(1+H6,D6-F6)*(POWER(1+H6,F6)-1)/(POWER(1+H6,D6)-1),3)),0,ROUND(POWER(1+H6,D6-F6)*(POWER(1+H6,F6)-1)/(POWER(1+H6,D6)-1),3))</f>
        <v>0.92500000000000004</v>
      </c>
      <c r="H6" s="732">
        <v>5.5E-2</v>
      </c>
      <c r="I6" s="3507">
        <v>0.06</v>
      </c>
      <c r="J6" s="66">
        <v>7.0000000000000007E-2</v>
      </c>
      <c r="K6" s="1030">
        <f>SUMIF('数据-汇总表'!C$19:C$33,A6,'数据-汇总表'!E$19:E$33)</f>
        <v>499.53</v>
      </c>
      <c r="L6" s="733">
        <v>4500</v>
      </c>
      <c r="M6" s="67">
        <f t="shared" ref="M6:M14" si="0">ROUND(K6*L6/10000,0)</f>
        <v>225</v>
      </c>
      <c r="N6" s="731">
        <f>N19</f>
        <v>0.93</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6">
        <v>5</v>
      </c>
      <c r="V6" s="70">
        <v>0.02</v>
      </c>
      <c r="W6" s="3508">
        <v>0.13</v>
      </c>
      <c r="X6" s="1040"/>
      <c r="Y6" s="71">
        <f>N6</f>
        <v>0.93</v>
      </c>
      <c r="Z6" s="72"/>
      <c r="AA6" s="66"/>
      <c r="AB6" s="66"/>
      <c r="AC6" s="1040"/>
      <c r="AD6" s="73"/>
      <c r="AE6" s="1041">
        <f ca="1">IF(AN6="",0,SUMIF(INDIRECT("'"&amp;AN6&amp;"'"&amp;"!E:E"),$AE$5,INDIRECT("'"&amp;AN6&amp;"'"&amp;"!F:F")))</f>
        <v>31.67</v>
      </c>
      <c r="AF6" s="1348"/>
      <c r="AG6" s="138">
        <f>IF(AF6="",0,AE6-AF6)</f>
        <v>0</v>
      </c>
      <c r="AH6" s="74"/>
      <c r="AI6" s="76">
        <v>365</v>
      </c>
      <c r="AJ6" s="77"/>
      <c r="AK6" s="78">
        <v>0.01</v>
      </c>
      <c r="AL6" s="79">
        <v>1E-3</v>
      </c>
      <c r="AM6" s="80">
        <v>0.01</v>
      </c>
      <c r="AN6" s="1715" t="s">
        <v>3401</v>
      </c>
      <c r="AO6" s="52">
        <f ca="1">SUMIF(INDIRECT("'"&amp;AN6&amp;"'"&amp;"!A:A"),"总价",INDIRECT("'"&amp;AN6&amp;"'"&amp;"!B:B"))</f>
        <v>1099.4549999999999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0.92500000000000004</v>
      </c>
      <c r="H16" s="90">
        <f>ROUND(SUMPRODUCT(H6:H13,K6:K13)/SUMPRODUCT((H6:H13&gt;0)*(K6:K13)),3)</f>
        <v>5.5E-2</v>
      </c>
      <c r="I16" s="91"/>
      <c r="J16" s="91"/>
      <c r="K16" s="92">
        <f>SUM(K6:K15)</f>
        <v>499.53</v>
      </c>
      <c r="L16" s="93">
        <f>ROUND(M16*10000/SUM(K6:K14),0)</f>
        <v>4504</v>
      </c>
      <c r="M16" s="93">
        <f>SUM(M6:M14)</f>
        <v>225</v>
      </c>
      <c r="N16" s="94">
        <f>ROUND(SUMPRODUCT(M6:M14,N6:N14)/M16,3)</f>
        <v>0.93</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1208</v>
      </c>
      <c r="B18" s="2683"/>
      <c r="C18" s="2671"/>
      <c r="D18" s="2674"/>
      <c r="E18" s="2671"/>
      <c r="F18" s="2671"/>
      <c r="G18" s="2671"/>
      <c r="H18" s="2671"/>
      <c r="I18" s="2671"/>
      <c r="J18" s="2671"/>
      <c r="K18" s="2670"/>
      <c r="L18" s="2670"/>
      <c r="M18" s="3447" t="s">
        <v>3399</v>
      </c>
      <c r="N18" s="2669">
        <v>2020</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1209</v>
      </c>
      <c r="B19" s="103">
        <v>0</v>
      </c>
      <c r="C19" s="2797" t="s">
        <v>2296</v>
      </c>
      <c r="D19" s="2674"/>
      <c r="E19" s="2671"/>
      <c r="F19" s="2671"/>
      <c r="G19" s="2671"/>
      <c r="H19" s="2671"/>
      <c r="I19" s="2671"/>
      <c r="J19" s="2671"/>
      <c r="K19" s="2670"/>
      <c r="L19" s="2670"/>
      <c r="M19" s="3447" t="s">
        <v>3400</v>
      </c>
      <c r="N19" s="2669">
        <f>ROUND(1-(1-0%)*(2024-N18)/60,2)</f>
        <v>0.93</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1210</v>
      </c>
      <c r="B20" s="104">
        <v>2</v>
      </c>
      <c r="C20" s="2798" t="s">
        <v>2294</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1211</v>
      </c>
      <c r="B21" s="104">
        <f>B20</f>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1212</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1213</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1214</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1215</v>
      </c>
      <c r="B26" s="1726" t="s">
        <v>1216</v>
      </c>
      <c r="C26" s="2675" t="s">
        <v>1217</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1218</v>
      </c>
      <c r="B27" s="107">
        <v>160</v>
      </c>
      <c r="C27" s="2799" t="s">
        <v>2298</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 (元)'!C10/10000</f>
        <v>9.9906000000000006</v>
      </c>
      <c r="C29" s="2800" t="s">
        <v>2285</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180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180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801" t="s">
        <v>2286</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801" t="s">
        <v>2287</v>
      </c>
      <c r="D34" s="2682" t="s">
        <v>2295</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180</v>
      </c>
      <c r="C35" s="2801" t="s">
        <v>2288</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0.02</v>
      </c>
      <c r="C36" s="2801" t="s">
        <v>2289</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1228</v>
      </c>
      <c r="B37" s="115">
        <v>0.02</v>
      </c>
      <c r="C37" s="2801" t="s">
        <v>2290</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1229</v>
      </c>
      <c r="B38" s="113">
        <v>0.02</v>
      </c>
      <c r="C38" s="2801" t="s">
        <v>2290</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1230</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2305</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1231</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1232</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1233</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1234</v>
      </c>
      <c r="B44" s="119">
        <v>7.0000000000000007E-2</v>
      </c>
      <c r="C44" s="2801" t="s">
        <v>2299</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1235</v>
      </c>
      <c r="B45" s="117">
        <v>0.03</v>
      </c>
      <c r="C45" s="2800" t="s">
        <v>2291</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1236</v>
      </c>
      <c r="B46" s="117">
        <v>0.02</v>
      </c>
      <c r="C46" s="2800" t="s">
        <v>2292</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1237</v>
      </c>
      <c r="B47" s="120">
        <v>0</v>
      </c>
      <c r="C47" s="2803" t="s">
        <v>2300</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1238</v>
      </c>
      <c r="B48" s="121">
        <v>0.03</v>
      </c>
      <c r="C48" s="2800" t="s">
        <v>2291</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1239</v>
      </c>
      <c r="B49" s="117">
        <v>5.0000000000000001E-4</v>
      </c>
      <c r="C49" s="2800" t="s">
        <v>2293</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1240</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1241</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1242</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1243</v>
      </c>
      <c r="B53" s="1738" t="s">
        <v>29</v>
      </c>
      <c r="C53" s="2659" t="s">
        <v>1244</v>
      </c>
      <c r="D53" s="2802" t="s">
        <v>2297</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1245</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1246</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1247</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1248</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1249</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1250</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1251</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1252</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1253</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1254</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96" t="s">
        <v>2277</v>
      </c>
      <c r="B1" s="3597"/>
      <c r="C1" s="3597"/>
      <c r="D1" s="3597"/>
      <c r="E1" s="3597"/>
      <c r="F1" s="3597"/>
      <c r="G1" s="359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2273</v>
      </c>
      <c r="D2" s="2461"/>
      <c r="E2" s="2458"/>
      <c r="F2" s="2462"/>
      <c r="G2" s="2460" t="s">
        <v>2274</v>
      </c>
      <c r="H2" s="799"/>
      <c r="I2" s="799"/>
      <c r="J2" s="799"/>
      <c r="K2" s="799"/>
      <c r="L2" s="799"/>
      <c r="M2" s="799"/>
      <c r="N2" s="799"/>
      <c r="O2" s="799"/>
      <c r="P2" s="799"/>
      <c r="Q2" s="799"/>
      <c r="R2" s="799"/>
    </row>
    <row r="3" spans="1:29" ht="25.5">
      <c r="A3" s="2441" t="s">
        <v>2275</v>
      </c>
      <c r="B3" s="2463" t="s">
        <v>2247</v>
      </c>
      <c r="C3" s="3448" t="s">
        <v>3403</v>
      </c>
      <c r="D3" s="2464"/>
      <c r="E3" s="2442" t="s">
        <v>2275</v>
      </c>
      <c r="F3" s="2465" t="s">
        <v>2248</v>
      </c>
      <c r="G3" s="2466" t="s">
        <v>2276</v>
      </c>
      <c r="H3" s="799"/>
      <c r="I3" s="799"/>
      <c r="J3" s="799"/>
      <c r="K3" s="799"/>
      <c r="L3" s="799"/>
      <c r="M3" s="799"/>
      <c r="N3" s="799"/>
      <c r="O3" s="799"/>
      <c r="P3" s="799"/>
      <c r="Q3" s="799"/>
      <c r="R3" s="799"/>
    </row>
    <row r="4" spans="1:29" ht="36">
      <c r="A4" s="2442"/>
      <c r="B4" s="323" t="s">
        <v>2249</v>
      </c>
      <c r="C4" s="3449" t="s">
        <v>3404</v>
      </c>
      <c r="D4" s="2464"/>
      <c r="E4" s="2467"/>
      <c r="F4" s="1373" t="s">
        <v>2250</v>
      </c>
      <c r="G4" s="2468" t="s">
        <v>2251</v>
      </c>
      <c r="H4" s="799"/>
      <c r="I4" s="799"/>
      <c r="J4" s="799"/>
      <c r="K4" s="799"/>
      <c r="L4" s="799"/>
      <c r="M4" s="799"/>
      <c r="N4" s="799"/>
      <c r="O4" s="799"/>
      <c r="P4" s="799"/>
      <c r="Q4" s="799"/>
      <c r="R4" s="799"/>
    </row>
    <row r="5" spans="1:29" ht="24">
      <c r="A5" s="2442"/>
      <c r="B5" s="323" t="s">
        <v>2252</v>
      </c>
      <c r="C5" s="3449" t="s">
        <v>3406</v>
      </c>
      <c r="D5" s="2464"/>
      <c r="E5" s="2467"/>
      <c r="F5" s="323" t="s">
        <v>2253</v>
      </c>
      <c r="G5" s="2468" t="s">
        <v>2254</v>
      </c>
      <c r="H5" s="799"/>
      <c r="I5" s="799"/>
      <c r="J5" s="799"/>
      <c r="K5" s="799"/>
      <c r="L5" s="799"/>
      <c r="M5" s="799"/>
      <c r="N5" s="799"/>
      <c r="O5" s="799"/>
      <c r="P5" s="799"/>
      <c r="Q5" s="799"/>
      <c r="R5" s="799"/>
    </row>
    <row r="6" spans="1:29">
      <c r="A6" s="2442"/>
      <c r="B6" s="323" t="s">
        <v>2255</v>
      </c>
      <c r="C6" s="3450" t="s">
        <v>3407</v>
      </c>
      <c r="D6" s="2464"/>
      <c r="E6" s="2467"/>
      <c r="F6" s="323" t="s">
        <v>2256</v>
      </c>
      <c r="G6" s="2468" t="s">
        <v>2257</v>
      </c>
      <c r="H6" s="799"/>
      <c r="I6" s="799"/>
      <c r="J6" s="799"/>
      <c r="K6" s="799"/>
      <c r="L6" s="799"/>
      <c r="M6" s="799"/>
      <c r="N6" s="799"/>
      <c r="O6" s="799"/>
      <c r="P6" s="799"/>
      <c r="Q6" s="799"/>
      <c r="R6" s="799"/>
    </row>
    <row r="7" spans="1:29" ht="24.75" thickBot="1">
      <c r="A7" s="2442"/>
      <c r="B7" s="323" t="s">
        <v>2253</v>
      </c>
      <c r="C7" s="3450" t="s">
        <v>3408</v>
      </c>
      <c r="D7" s="2469"/>
      <c r="E7" s="2470"/>
      <c r="F7" s="2471" t="s">
        <v>2258</v>
      </c>
      <c r="G7" s="2472" t="s">
        <v>2259</v>
      </c>
      <c r="H7" s="799"/>
      <c r="I7" s="799"/>
      <c r="J7" s="799"/>
      <c r="K7" s="799"/>
      <c r="L7" s="799"/>
      <c r="M7" s="799"/>
      <c r="N7" s="799"/>
      <c r="O7" s="799"/>
      <c r="P7" s="799"/>
      <c r="Q7" s="799"/>
      <c r="R7" s="799"/>
    </row>
    <row r="8" spans="1:29">
      <c r="A8" s="2442"/>
      <c r="B8" s="323" t="s">
        <v>2256</v>
      </c>
      <c r="C8" s="3450" t="s">
        <v>3410</v>
      </c>
      <c r="D8" s="2469"/>
      <c r="E8" s="2469"/>
      <c r="F8" s="2473"/>
      <c r="G8" s="2473"/>
      <c r="H8" s="799"/>
      <c r="I8" s="799"/>
      <c r="J8" s="799"/>
      <c r="K8" s="799"/>
      <c r="L8" s="799"/>
      <c r="M8" s="799"/>
      <c r="N8" s="799"/>
      <c r="O8" s="799"/>
      <c r="P8" s="799"/>
      <c r="Q8" s="799"/>
      <c r="R8" s="799"/>
    </row>
    <row r="9" spans="1:29">
      <c r="A9" s="2442"/>
      <c r="B9" s="323" t="s">
        <v>2260</v>
      </c>
      <c r="C9" s="3449" t="s">
        <v>3407</v>
      </c>
      <c r="D9" s="2464"/>
      <c r="E9" s="2469"/>
      <c r="F9" s="2473"/>
      <c r="G9" s="2473"/>
      <c r="H9" s="799"/>
      <c r="I9" s="799"/>
      <c r="J9" s="799"/>
      <c r="K9" s="799"/>
      <c r="L9" s="799"/>
      <c r="M9" s="799"/>
      <c r="N9" s="799"/>
      <c r="O9" s="799"/>
      <c r="P9" s="799"/>
      <c r="Q9" s="799"/>
      <c r="R9" s="799"/>
    </row>
    <row r="10" spans="1:29" s="2479" customFormat="1" ht="15" thickBot="1">
      <c r="A10" s="2443"/>
      <c r="B10" s="2474" t="s">
        <v>2261</v>
      </c>
      <c r="C10" s="2475"/>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69"/>
      <c r="C12" s="2464"/>
      <c r="D12" s="2482"/>
      <c r="E12" s="2464"/>
      <c r="F12" s="2469"/>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2278</v>
      </c>
      <c r="B13" s="2482"/>
      <c r="C13" s="2482"/>
      <c r="D13" s="2480"/>
      <c r="E13" s="2482"/>
      <c r="F13" s="2482"/>
      <c r="G13" s="2482"/>
    </row>
    <row r="14" spans="1:29" ht="15" thickBot="1">
      <c r="A14" s="2492"/>
      <c r="B14" s="2492"/>
      <c r="C14" s="2493" t="s">
        <v>2262</v>
      </c>
      <c r="D14" s="2464"/>
      <c r="E14" s="2494"/>
      <c r="F14" s="2494"/>
      <c r="G14" s="2460" t="s">
        <v>2263</v>
      </c>
    </row>
    <row r="15" spans="1:29" ht="25.5">
      <c r="A15" s="2444" t="s">
        <v>2264</v>
      </c>
      <c r="B15" s="2495" t="s">
        <v>2247</v>
      </c>
      <c r="C15" s="2496" t="str">
        <f>C3</f>
        <v>较好</v>
      </c>
      <c r="D15" s="2464"/>
      <c r="E15" s="2445" t="s">
        <v>2265</v>
      </c>
      <c r="F15" s="2495" t="s">
        <v>2266</v>
      </c>
      <c r="G15" s="2497" t="str">
        <f>G3</f>
        <v>估价对象位于XX开发区，园区建设成熟度XX，产业集聚程度XX</v>
      </c>
    </row>
    <row r="16" spans="1:29" ht="38.25">
      <c r="A16" s="2446"/>
      <c r="B16" s="2498" t="s">
        <v>2249</v>
      </c>
      <c r="C16" s="2499" t="str">
        <f>C4</f>
        <v>较好</v>
      </c>
      <c r="D16" s="2464"/>
      <c r="E16" s="2447"/>
      <c r="F16" s="2500" t="s">
        <v>2250</v>
      </c>
      <c r="G16" s="2501" t="str">
        <f>G4</f>
        <v>估价对象周边道路状况、公共交通通达情况、停车便捷程度，综合评价交通便捷度较好</v>
      </c>
    </row>
    <row r="17" spans="1:18">
      <c r="A17" s="2446"/>
      <c r="B17" s="2498" t="s">
        <v>2252</v>
      </c>
      <c r="C17" s="2499" t="str">
        <f>C5</f>
        <v>一般</v>
      </c>
      <c r="D17" s="2469"/>
      <c r="E17" s="2447"/>
      <c r="F17" s="2500" t="s">
        <v>2267</v>
      </c>
      <c r="G17" s="2502"/>
    </row>
    <row r="18" spans="1:18" ht="25.5">
      <c r="A18" s="2446"/>
      <c r="B18" s="2500" t="s">
        <v>2255</v>
      </c>
      <c r="C18" s="2501" t="str">
        <f>C6</f>
        <v>一般</v>
      </c>
      <c r="D18" s="2469"/>
      <c r="E18" s="2447"/>
      <c r="F18" s="2500" t="s">
        <v>2258</v>
      </c>
      <c r="G18" s="2501" t="str">
        <f>G7</f>
        <v>该园区内是否有污染型企业，绿化情况，卫生条件，整体环境状况判断</v>
      </c>
    </row>
    <row r="19" spans="1:18" ht="25.5">
      <c r="A19" s="2446"/>
      <c r="B19" s="2500" t="s">
        <v>2268</v>
      </c>
      <c r="C19" s="2502"/>
      <c r="D19" s="2464"/>
      <c r="E19" s="2447"/>
      <c r="F19" s="323" t="s">
        <v>2253</v>
      </c>
      <c r="G19" s="2501" t="str">
        <f>G5</f>
        <v>估价对象所在区域公共配套设施齐备情况</v>
      </c>
    </row>
    <row r="20" spans="1:18">
      <c r="A20" s="2446"/>
      <c r="B20" s="2500" t="s">
        <v>2269</v>
      </c>
      <c r="C20" s="2499" t="str">
        <f>C9</f>
        <v>一般</v>
      </c>
      <c r="D20" s="2469"/>
      <c r="E20" s="2447"/>
      <c r="F20" s="323" t="s">
        <v>2256</v>
      </c>
      <c r="G20" s="2501" t="str">
        <f>G6</f>
        <v>估价对象所在区域基础设施水平</v>
      </c>
    </row>
    <row r="21" spans="1:18">
      <c r="A21" s="2446"/>
      <c r="B21" s="323" t="s">
        <v>2253</v>
      </c>
      <c r="C21" s="2501" t="str">
        <f>C7</f>
        <v>较好</v>
      </c>
      <c r="D21" s="2464"/>
      <c r="E21" s="2447"/>
      <c r="F21" s="2500" t="s">
        <v>2270</v>
      </c>
      <c r="G21" s="2503"/>
    </row>
    <row r="22" spans="1:18" ht="13.5" customHeight="1">
      <c r="A22" s="2446"/>
      <c r="B22" s="323" t="s">
        <v>2256</v>
      </c>
      <c r="C22" s="2501" t="str">
        <f>C8</f>
        <v>七通</v>
      </c>
      <c r="D22" s="2464"/>
      <c r="E22" s="2447"/>
      <c r="F22" s="2500" t="s">
        <v>2261</v>
      </c>
      <c r="G22" s="2502"/>
    </row>
    <row r="23" spans="1:18" s="799" customFormat="1" ht="15" thickBot="1">
      <c r="A23" s="2446"/>
      <c r="B23" s="2500" t="s">
        <v>2270</v>
      </c>
      <c r="C23" s="2503"/>
      <c r="D23" s="1741"/>
      <c r="E23" s="2448"/>
      <c r="F23" s="2504" t="s">
        <v>2271</v>
      </c>
      <c r="G23" s="2505"/>
      <c r="H23" s="2489"/>
      <c r="I23" s="2490"/>
      <c r="J23" s="2489"/>
      <c r="K23" s="2489"/>
      <c r="L23" s="2490"/>
      <c r="M23" s="2489"/>
      <c r="N23" s="2489"/>
      <c r="O23" s="2490"/>
      <c r="P23" s="2489"/>
      <c r="Q23" s="2489"/>
      <c r="R23" s="2491"/>
    </row>
    <row r="24" spans="1:18" s="799" customFormat="1" ht="15" thickBot="1">
      <c r="A24" s="2449"/>
      <c r="B24" s="2504" t="s">
        <v>2272</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21" sqref="L21"/>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499.53</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45495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1400</v>
      </c>
      <c r="C5" s="2510">
        <f ca="1">IF(B5=D14,结果表!H102,ROUND(B5*10000/$B$1,0))</f>
        <v>28034</v>
      </c>
      <c r="D5" s="2510" t="e">
        <f ca="1">ROUND(B5*10000/$B$2,0)</f>
        <v>#DIV/0!</v>
      </c>
      <c r="E5" s="2684"/>
      <c r="F5" s="2685"/>
      <c r="G5" s="2685"/>
      <c r="H5" s="2686"/>
      <c r="I5" s="2686"/>
      <c r="J5" s="2686"/>
      <c r="K5" s="2686"/>
    </row>
    <row r="6" spans="1:11" ht="16.5">
      <c r="A6" s="2510" t="s">
        <v>656</v>
      </c>
      <c r="B6" s="2510">
        <f ca="1">SUM(G14:G23)</f>
        <v>1400</v>
      </c>
      <c r="C6" s="2510">
        <f ca="1">IF(B6=G14,结果表!H108,ROUND(B6*10000/$B$1,0))</f>
        <v>28034</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3349</v>
      </c>
      <c r="D10" s="2510" t="s">
        <v>3350</v>
      </c>
      <c r="E10" s="3439"/>
      <c r="F10" s="3443" t="s">
        <v>3351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499.53</v>
      </c>
      <c r="C14" s="2516"/>
      <c r="D14" s="2516">
        <f ca="1">结果表!H118</f>
        <v>1400</v>
      </c>
      <c r="E14" s="2516">
        <f ca="1">ROUND(D14*10000/B14,0)</f>
        <v>28026</v>
      </c>
      <c r="F14" s="2516" t="e">
        <f ca="1">ROUND(D14*10000/C14,0)</f>
        <v>#DIV/0!</v>
      </c>
      <c r="G14" s="2516">
        <f ca="1">D14</f>
        <v>1400</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F43" zoomScale="90" zoomScaleNormal="100" zoomScaleSheetLayoutView="90" zoomScalePageLayoutView="80" workbookViewId="0">
      <selection activeCell="O71" sqref="O7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3396</v>
      </c>
      <c r="D1" s="1747"/>
      <c r="E1" s="1747"/>
      <c r="F1" s="1749" t="s">
        <v>1261</v>
      </c>
      <c r="G1" s="1561" t="s">
        <v>3385</v>
      </c>
      <c r="H1" s="1750" t="str">
        <f>IF(G1="现房","——","估价对象范围")</f>
        <v>——</v>
      </c>
      <c r="I1" s="1751" t="s">
        <v>3546</v>
      </c>
    </row>
    <row r="2" spans="1:12" ht="21.75" customHeight="1" thickBot="1">
      <c r="A2" s="3632" t="str">
        <f>项目基本情况!S2</f>
        <v>北京市门头沟区城子大街90号院17号楼1层17-2房地产</v>
      </c>
      <c r="B2" s="3633"/>
      <c r="C2" s="3633"/>
      <c r="D2" s="3633"/>
      <c r="E2" s="3633"/>
      <c r="F2" s="3633"/>
      <c r="G2" s="3633"/>
      <c r="H2" s="3633"/>
      <c r="I2" s="3634"/>
    </row>
    <row r="3" spans="1:12" ht="12.75">
      <c r="A3" s="3636" t="s">
        <v>1262</v>
      </c>
      <c r="B3" s="3637"/>
      <c r="C3" s="3637"/>
      <c r="D3" s="3637"/>
      <c r="E3" s="3637"/>
      <c r="F3" s="3637"/>
      <c r="G3" s="3637"/>
      <c r="H3" s="3637"/>
      <c r="I3" s="3637"/>
    </row>
    <row r="4" spans="1:12" ht="14.25">
      <c r="A4" s="1754" t="s">
        <v>1263</v>
      </c>
      <c r="B4" s="1755" t="s">
        <v>1264</v>
      </c>
      <c r="C4" s="1756" t="s">
        <v>3545</v>
      </c>
      <c r="D4" s="1756" t="s">
        <v>3401</v>
      </c>
      <c r="E4" s="3638" t="s">
        <v>1265</v>
      </c>
      <c r="F4" s="3639"/>
      <c r="G4" s="3639"/>
      <c r="H4" s="3639"/>
      <c r="I4" s="364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2" t="s">
        <v>1266</v>
      </c>
      <c r="B5" s="3599">
        <v>25</v>
      </c>
      <c r="C5" s="3615"/>
      <c r="D5" s="3635"/>
      <c r="E5" s="131" t="s">
        <v>1267</v>
      </c>
      <c r="F5" s="1757"/>
      <c r="G5" s="1757"/>
      <c r="H5" s="1757"/>
      <c r="I5" s="1373"/>
    </row>
    <row r="6" spans="1:12" ht="12.75">
      <c r="A6" s="3612"/>
      <c r="B6" s="3599"/>
      <c r="C6" s="3616"/>
      <c r="D6" s="3635"/>
      <c r="E6" s="131" t="s">
        <v>1268</v>
      </c>
      <c r="F6" s="1757"/>
      <c r="G6" s="1757"/>
      <c r="H6" s="1757"/>
      <c r="I6" s="1373"/>
    </row>
    <row r="7" spans="1:12" ht="12.75">
      <c r="A7" s="3612"/>
      <c r="B7" s="3599"/>
      <c r="C7" s="3617"/>
      <c r="D7" s="3635"/>
      <c r="E7" s="131" t="s">
        <v>1269</v>
      </c>
      <c r="F7" s="1757"/>
      <c r="G7" s="1757"/>
      <c r="H7" s="1757"/>
      <c r="I7" s="1373"/>
    </row>
    <row r="8" spans="1:12" ht="12.75">
      <c r="A8" s="3612" t="s">
        <v>1270</v>
      </c>
      <c r="B8" s="3599">
        <v>15</v>
      </c>
      <c r="C8" s="3615"/>
      <c r="D8" s="3635"/>
      <c r="E8" s="131" t="s">
        <v>1271</v>
      </c>
      <c r="F8" s="1757"/>
      <c r="G8" s="1757"/>
      <c r="H8" s="1757"/>
      <c r="I8" s="1373"/>
    </row>
    <row r="9" spans="1:12" ht="12.75">
      <c r="A9" s="3612"/>
      <c r="B9" s="3599"/>
      <c r="C9" s="3617"/>
      <c r="D9" s="3635"/>
      <c r="E9" s="131" t="s">
        <v>1272</v>
      </c>
      <c r="F9" s="1757"/>
      <c r="G9" s="1757"/>
      <c r="H9" s="1757"/>
      <c r="I9" s="1373"/>
    </row>
    <row r="10" spans="1:12" ht="12.75">
      <c r="A10" s="3612" t="s">
        <v>1273</v>
      </c>
      <c r="B10" s="3599">
        <v>15</v>
      </c>
      <c r="C10" s="3615"/>
      <c r="D10" s="3635"/>
      <c r="E10" s="131" t="s">
        <v>1274</v>
      </c>
      <c r="F10" s="1757"/>
      <c r="G10" s="1757"/>
      <c r="H10" s="1757"/>
      <c r="I10" s="1373"/>
    </row>
    <row r="11" spans="1:12" ht="12.75">
      <c r="A11" s="3612"/>
      <c r="B11" s="3599"/>
      <c r="C11" s="3617"/>
      <c r="D11" s="3635"/>
      <c r="E11" s="131" t="s">
        <v>1275</v>
      </c>
      <c r="F11" s="1757"/>
      <c r="G11" s="1757"/>
      <c r="H11" s="1757"/>
      <c r="I11" s="1373"/>
    </row>
    <row r="12" spans="1:12" ht="12.75">
      <c r="A12" s="3612" t="s">
        <v>1276</v>
      </c>
      <c r="B12" s="3599">
        <v>15</v>
      </c>
      <c r="C12" s="3615"/>
      <c r="D12" s="3635"/>
      <c r="E12" s="131" t="s">
        <v>1277</v>
      </c>
      <c r="F12" s="1757"/>
      <c r="G12" s="1757"/>
      <c r="H12" s="1757"/>
      <c r="I12" s="1373"/>
    </row>
    <row r="13" spans="1:12" ht="12.75">
      <c r="A13" s="3612"/>
      <c r="B13" s="3599"/>
      <c r="C13" s="3617"/>
      <c r="D13" s="3635"/>
      <c r="E13" s="131" t="s">
        <v>1278</v>
      </c>
      <c r="F13" s="1757"/>
      <c r="G13" s="1757"/>
      <c r="H13" s="1757"/>
      <c r="I13" s="1373"/>
    </row>
    <row r="14" spans="1:12" ht="12.75">
      <c r="A14" s="3612" t="s">
        <v>1279</v>
      </c>
      <c r="B14" s="3599">
        <v>30</v>
      </c>
      <c r="C14" s="3615">
        <v>6</v>
      </c>
      <c r="D14" s="3635">
        <f>10-C14</f>
        <v>4</v>
      </c>
      <c r="E14" s="131" t="s">
        <v>1280</v>
      </c>
      <c r="F14" s="1757"/>
      <c r="G14" s="1757"/>
      <c r="H14" s="1757"/>
      <c r="I14" s="1373"/>
    </row>
    <row r="15" spans="1:12" ht="12.75">
      <c r="A15" s="3612"/>
      <c r="B15" s="3599"/>
      <c r="C15" s="3616"/>
      <c r="D15" s="3635"/>
      <c r="E15" s="131" t="s">
        <v>1281</v>
      </c>
      <c r="F15" s="1757"/>
      <c r="G15" s="1757"/>
      <c r="H15" s="1757"/>
      <c r="I15" s="1373"/>
    </row>
    <row r="16" spans="1:12" ht="12.75">
      <c r="A16" s="3612"/>
      <c r="B16" s="3599"/>
      <c r="C16" s="3617"/>
      <c r="D16" s="3635"/>
      <c r="E16" s="131" t="s">
        <v>1282</v>
      </c>
      <c r="F16" s="1757"/>
      <c r="G16" s="1757"/>
      <c r="H16" s="1757"/>
      <c r="I16" s="1373"/>
    </row>
    <row r="17" spans="1:36" ht="15">
      <c r="A17" s="1758" t="s">
        <v>1283</v>
      </c>
      <c r="B17" s="56"/>
      <c r="C17" s="132">
        <f>SUM(C5:C16)</f>
        <v>6</v>
      </c>
      <c r="D17" s="132">
        <f>SUM(D5:D16)</f>
        <v>4</v>
      </c>
      <c r="E17" s="129"/>
      <c r="F17" s="129"/>
      <c r="G17" s="129"/>
      <c r="H17" s="129"/>
      <c r="I17" s="129"/>
      <c r="K17" s="302"/>
      <c r="L17" s="302" t="s">
        <v>1284</v>
      </c>
      <c r="M17" s="302" t="s">
        <v>1285</v>
      </c>
    </row>
    <row r="18" spans="1:36" ht="31.9" customHeight="1" thickBot="1">
      <c r="A18" s="1759" t="s">
        <v>1286</v>
      </c>
      <c r="B18" s="1760"/>
      <c r="C18" s="133">
        <f>ROUND(C17/SUM(C17:D17),2)</f>
        <v>0.6</v>
      </c>
      <c r="D18" s="133">
        <f>1-C18</f>
        <v>0.4</v>
      </c>
      <c r="E18" s="3622" t="s">
        <v>2129</v>
      </c>
      <c r="F18" s="3623"/>
      <c r="G18" s="3623"/>
      <c r="H18" s="3623"/>
      <c r="I18" s="3623"/>
      <c r="K18" s="302" t="s">
        <v>1287</v>
      </c>
      <c r="L18" s="302">
        <f>IF(C1="",'数据-汇总表'!E3,SUMIF(项目类型,C1,'数据-汇总表'!E17:E26)+SUMIF(项目类型,C1,'数据-汇总表'!I17:I26))</f>
        <v>499.53</v>
      </c>
      <c r="M18" s="302">
        <f>IF(C1="",'数据-汇总表'!E3,SUMIF(项目类型,C1,'数据-汇总表'!E17:E26))</f>
        <v>499.53</v>
      </c>
    </row>
    <row r="19" spans="1:36" ht="15">
      <c r="A19" s="1761" t="s">
        <v>1288</v>
      </c>
      <c r="B19" s="1762" t="s">
        <v>1289</v>
      </c>
      <c r="C19" s="134">
        <f ca="1">SUMIF(INDIRECT("'"&amp;C4&amp;"'"&amp;"!A:A"),结果表!B19,INDIRECT("'"&amp;C4&amp;"'"&amp;"!B:B"))</f>
        <v>1600.9937</v>
      </c>
      <c r="D19" s="135">
        <f ca="1">SUMIF(INDIRECT("'"&amp;D4&amp;"'"&amp;"!A:A"),结果表!B19,INDIRECT("'"&amp;D4&amp;"'"&amp;"!B:B"))</f>
        <v>1099.4549999999999</v>
      </c>
      <c r="E19" s="1761" t="s">
        <v>1290</v>
      </c>
      <c r="F19" s="1762" t="s">
        <v>1289</v>
      </c>
      <c r="G19" s="136">
        <f ca="1">ROUND(C19*$C$18+D19*$D$18,0)</f>
        <v>1400</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SUMIF(INDIRECT("'"&amp;C4&amp;"'"&amp;"!A:A"),结果表!B20,INDIRECT("'"&amp;C4&amp;"'"&amp;"!B:B"))</f>
        <v>32050</v>
      </c>
      <c r="D20" s="138">
        <f ca="1">SUMIF(INDIRECT("'"&amp;D4&amp;"'"&amp;"!A:A"),结果表!B20,INDIRECT("'"&amp;D4&amp;"'"&amp;"!B:B"))</f>
        <v>22010</v>
      </c>
      <c r="E20" s="1764"/>
      <c r="F20" s="1026" t="s">
        <v>1293</v>
      </c>
      <c r="G20" s="139">
        <f ca="1">ROUND(C20*$C$18+D20*$D$18,0)</f>
        <v>28034</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row>
    <row r="22" spans="1:36" ht="15" thickBot="1">
      <c r="A22" s="1688" t="s">
        <v>1296</v>
      </c>
      <c r="B22" s="1767"/>
      <c r="C22" s="1768"/>
      <c r="D22" s="721">
        <f ca="1">IF(C19&lt;D19,D19/C19-1,C19/D19-1)</f>
        <v>0.45617028436816431</v>
      </c>
      <c r="E22" s="129"/>
      <c r="F22" s="129"/>
      <c r="G22" s="129"/>
      <c r="H22" s="129"/>
      <c r="I22" s="129"/>
    </row>
    <row r="23" spans="1:36" ht="13.5" thickBot="1">
      <c r="A23" s="1747"/>
      <c r="B23" s="1747"/>
      <c r="C23" s="1747"/>
      <c r="D23" s="1747"/>
      <c r="E23" s="129"/>
      <c r="F23" s="129"/>
      <c r="G23" s="129"/>
      <c r="H23" s="129"/>
      <c r="I23" s="129"/>
    </row>
    <row r="24" spans="1:36" ht="14.25">
      <c r="A24" s="3606" t="s">
        <v>1297</v>
      </c>
      <c r="B24" s="1762" t="s">
        <v>1289</v>
      </c>
      <c r="C24" s="136">
        <f>IF(B30=0,0,D30)</f>
        <v>0</v>
      </c>
      <c r="D24" s="1769"/>
      <c r="E24" s="129"/>
      <c r="F24" s="129"/>
      <c r="G24" s="129"/>
      <c r="H24" s="129"/>
      <c r="I24" s="129"/>
    </row>
    <row r="25" spans="1:36" ht="14.25">
      <c r="A25" s="3607"/>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28034</v>
      </c>
      <c r="D32" s="1775" t="s">
        <v>3549</v>
      </c>
      <c r="E32" s="129"/>
      <c r="F32" s="129"/>
      <c r="G32" s="129"/>
      <c r="H32" s="129"/>
      <c r="I32" s="129"/>
    </row>
    <row r="33" spans="1:15" ht="15">
      <c r="A33" s="786" t="s">
        <v>1304</v>
      </c>
      <c r="B33" s="1776"/>
      <c r="C33" s="1777"/>
      <c r="D33" s="1778"/>
      <c r="E33" s="1779" t="s">
        <v>1305</v>
      </c>
      <c r="F33" s="1780" t="str">
        <f>IF(D32="楼面单价","取值（单价）","取值（总价）")</f>
        <v>取值（单价）</v>
      </c>
      <c r="G33" s="129"/>
      <c r="H33" s="129"/>
      <c r="I33" s="129"/>
    </row>
    <row r="34" spans="1:15" ht="15">
      <c r="A34" s="1781"/>
      <c r="B34" s="1782"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1307</v>
      </c>
      <c r="F34" s="1330"/>
      <c r="G34" s="129"/>
      <c r="H34" s="129"/>
      <c r="I34" s="129"/>
    </row>
    <row r="35" spans="1:15" ht="15.75" thickBot="1">
      <c r="A35" s="1784"/>
      <c r="B35" s="1785"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1309</v>
      </c>
      <c r="F35" s="154"/>
      <c r="G35" s="129"/>
      <c r="H35" s="129"/>
      <c r="I35" s="129"/>
    </row>
    <row r="36" spans="1:15" ht="15.75" thickBot="1">
      <c r="A36" s="3626" t="s">
        <v>1310</v>
      </c>
      <c r="B36" s="1787" t="s">
        <v>1311</v>
      </c>
      <c r="C36" s="145"/>
      <c r="D36" s="1788"/>
      <c r="E36" s="1789"/>
      <c r="F36" s="1790"/>
      <c r="G36" s="129"/>
      <c r="H36" s="129"/>
      <c r="I36" s="129"/>
    </row>
    <row r="37" spans="1:15" ht="15.75" thickBot="1">
      <c r="A37" s="3627"/>
      <c r="B37" s="1674" t="s">
        <v>1312</v>
      </c>
      <c r="C37" s="147"/>
      <c r="D37" s="1139"/>
      <c r="E37" s="1139"/>
      <c r="F37" s="1790"/>
      <c r="G37" s="129"/>
      <c r="H37" s="129"/>
      <c r="I37" s="129"/>
    </row>
    <row r="38" spans="1:15" ht="15.75" thickBot="1">
      <c r="A38" s="3628"/>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603" t="s">
        <v>1324</v>
      </c>
      <c r="B45" s="3604"/>
      <c r="C45" s="3605"/>
      <c r="D45" s="155">
        <f ca="1">ROUND(H101*F45,0)</f>
        <v>1400</v>
      </c>
      <c r="E45" s="156" t="s">
        <v>1325</v>
      </c>
      <c r="F45" s="157">
        <v>1</v>
      </c>
      <c r="G45" s="158" t="s">
        <v>1326</v>
      </c>
      <c r="H45" s="129"/>
      <c r="I45" s="129"/>
      <c r="J45" s="3681" t="s">
        <v>1327</v>
      </c>
      <c r="K45" s="3681"/>
      <c r="L45" s="3681"/>
      <c r="M45" s="3681"/>
      <c r="N45" s="3681"/>
      <c r="O45" s="3681"/>
    </row>
    <row r="46" spans="1:15" ht="14.25" customHeight="1">
      <c r="A46" s="3600" t="s">
        <v>1328</v>
      </c>
      <c r="B46" s="3601"/>
      <c r="C46" s="3601"/>
      <c r="D46" s="3601"/>
      <c r="E46" s="3601"/>
      <c r="F46" s="3601"/>
      <c r="G46" s="3602"/>
      <c r="H46" s="1806"/>
      <c r="I46" s="159"/>
      <c r="J46" s="2521">
        <v>1</v>
      </c>
      <c r="K46" s="3662" t="s">
        <v>1329</v>
      </c>
      <c r="L46" s="3662"/>
      <c r="M46" s="3682"/>
      <c r="N46" s="3682"/>
      <c r="O46" s="3682"/>
    </row>
    <row r="47" spans="1:15" ht="12" customHeight="1">
      <c r="A47" s="160" t="s">
        <v>1330</v>
      </c>
      <c r="B47" s="161"/>
      <c r="C47" s="162"/>
      <c r="D47" s="1087" t="s">
        <v>1331</v>
      </c>
      <c r="E47" s="302" t="s">
        <v>1332</v>
      </c>
      <c r="F47" s="163" t="s">
        <v>1333</v>
      </c>
      <c r="G47" s="2544" t="s">
        <v>1334</v>
      </c>
      <c r="H47" s="2545"/>
      <c r="I47" s="159"/>
      <c r="J47" s="2521">
        <v>2</v>
      </c>
      <c r="K47" s="3662" t="s">
        <v>1335</v>
      </c>
      <c r="L47" s="3662"/>
      <c r="M47" s="3683">
        <f>'数据-取费表'!B2</f>
        <v>45495</v>
      </c>
      <c r="N47" s="3683"/>
      <c r="O47" s="3683"/>
    </row>
    <row r="48" spans="1:15" ht="25.5">
      <c r="A48" s="3631" t="s">
        <v>1336</v>
      </c>
      <c r="B48" s="3614"/>
      <c r="C48" s="3614"/>
      <c r="D48" s="2324">
        <f ca="1">IF(H48="情况1",0,IF(H48="情况2",D52,IF(H48="情况3",D53,IF(H48="情况4",D54))))</f>
        <v>17</v>
      </c>
      <c r="E48" s="2334" t="str">
        <f>IF(H48="情况4","(销售额-原购置价)×税（费）率","销售额×税（费）率")</f>
        <v>(销售额-原购置价)×税（费）率</v>
      </c>
      <c r="F48" s="2546">
        <f>IF(H48="情况1","免征",'数据-取费表'!B41)</f>
        <v>5.6000000000000001E-2</v>
      </c>
      <c r="G48" s="2547" t="s">
        <v>1337</v>
      </c>
      <c r="H48" s="2548" t="s">
        <v>3550</v>
      </c>
      <c r="I48" s="1806"/>
      <c r="J48" s="2521">
        <v>3</v>
      </c>
      <c r="K48" s="3662" t="s">
        <v>1338</v>
      </c>
      <c r="L48" s="3662"/>
      <c r="M48" s="3684">
        <f ca="1">H101</f>
        <v>1400</v>
      </c>
      <c r="N48" s="3684"/>
      <c r="O48" s="3684"/>
    </row>
    <row r="49" spans="1:35" ht="25.5" customHeight="1">
      <c r="A49" s="2333" t="s">
        <v>1339</v>
      </c>
      <c r="B49" s="3598" t="s">
        <v>1340</v>
      </c>
      <c r="C49" s="3598"/>
      <c r="D49" s="1590">
        <v>0</v>
      </c>
      <c r="E49" s="324" t="s">
        <v>1341</v>
      </c>
      <c r="F49" s="2424" t="s">
        <v>28</v>
      </c>
      <c r="G49" s="3668"/>
      <c r="H49" s="2310" t="s">
        <v>2132</v>
      </c>
      <c r="I49" s="2311"/>
      <c r="J49" s="2521">
        <v>4</v>
      </c>
      <c r="K49" s="3662" t="str">
        <f>IF(项目基本情况!E8="房地产抵押价值","房地产抵押价值","抵押担保权已注销时的房地产抵押价值")</f>
        <v>房地产抵押价值</v>
      </c>
      <c r="L49" s="3662"/>
      <c r="M49" s="3684">
        <f ca="1">IF(项目基本情况!E8="房地产抵押价值",H107,H109)</f>
        <v>1400</v>
      </c>
      <c r="N49" s="3684"/>
      <c r="O49" s="3684"/>
    </row>
    <row r="50" spans="1:35" ht="25.5" customHeight="1">
      <c r="A50" s="2549"/>
      <c r="B50" s="3598" t="s">
        <v>1342</v>
      </c>
      <c r="C50" s="3598"/>
      <c r="D50" s="2550"/>
      <c r="E50" s="332"/>
      <c r="F50" s="2424"/>
      <c r="G50" s="3669"/>
      <c r="H50" s="2312" t="s">
        <v>2133</v>
      </c>
      <c r="I50" s="2311"/>
      <c r="J50" s="3681" t="s">
        <v>1343</v>
      </c>
      <c r="K50" s="3681"/>
      <c r="L50" s="3681"/>
      <c r="M50" s="3681"/>
      <c r="N50" s="3681"/>
      <c r="O50" s="3681"/>
    </row>
    <row r="51" spans="1:35" ht="20.45" customHeight="1">
      <c r="A51" s="2551"/>
      <c r="B51" s="3598" t="s">
        <v>1344</v>
      </c>
      <c r="C51" s="3598"/>
      <c r="D51" s="1087"/>
      <c r="E51" s="327"/>
      <c r="F51" s="2424"/>
      <c r="G51" s="3670"/>
      <c r="H51" s="2312" t="s">
        <v>2134</v>
      </c>
      <c r="I51" s="2311"/>
      <c r="J51" s="2522" t="s">
        <v>1345</v>
      </c>
      <c r="K51" s="3662" t="s">
        <v>1346</v>
      </c>
      <c r="L51" s="3662"/>
      <c r="M51" s="2522" t="s">
        <v>1347</v>
      </c>
      <c r="N51" s="2522" t="s">
        <v>1348</v>
      </c>
      <c r="O51" s="2522" t="s">
        <v>1349</v>
      </c>
    </row>
    <row r="52" spans="1:35" ht="24" customHeight="1">
      <c r="A52" s="2335" t="s">
        <v>1350</v>
      </c>
      <c r="B52" s="3598" t="s">
        <v>1351</v>
      </c>
      <c r="C52" s="3598"/>
      <c r="D52" s="1087">
        <f ca="1">ROUND(D45*'数据-取费表'!B41/(1+'数据-取费表'!C42),0)</f>
        <v>75</v>
      </c>
      <c r="E52" s="2334" t="s">
        <v>1352</v>
      </c>
      <c r="F52" s="2552">
        <f>'数据-取费表'!B41</f>
        <v>5.6000000000000001E-2</v>
      </c>
      <c r="G52" s="2553"/>
      <c r="H52" s="2542"/>
      <c r="I52" s="1807"/>
      <c r="J52" s="2521">
        <v>1</v>
      </c>
      <c r="K52" s="3663" t="s">
        <v>1353</v>
      </c>
      <c r="L52" s="3663"/>
      <c r="M52" s="2523">
        <f ca="1">D48</f>
        <v>17</v>
      </c>
      <c r="N52" s="2521" t="str">
        <f>E48</f>
        <v>(销售额-原购置价)×税（费）率</v>
      </c>
      <c r="O52" s="2524">
        <f>F48</f>
        <v>5.6000000000000001E-2</v>
      </c>
    </row>
    <row r="53" spans="1:35" ht="12" customHeight="1">
      <c r="A53" s="2335" t="s">
        <v>1354</v>
      </c>
      <c r="B53" s="3624" t="s">
        <v>2282</v>
      </c>
      <c r="C53" s="3625"/>
      <c r="D53" s="1087">
        <f ca="1">ROUND(D45*'数据-取费表'!B41/(1+'数据-取费表'!C42),0)</f>
        <v>75</v>
      </c>
      <c r="E53" s="2334" t="s">
        <v>1352</v>
      </c>
      <c r="F53" s="2552">
        <f>'数据-取费表'!B41</f>
        <v>5.6000000000000001E-2</v>
      </c>
      <c r="G53" s="2553"/>
      <c r="H53" s="2542"/>
      <c r="I53" s="1807"/>
      <c r="J53" s="2521">
        <v>2</v>
      </c>
      <c r="K53" s="3663" t="s">
        <v>1355</v>
      </c>
      <c r="L53" s="3663"/>
      <c r="M53" s="2523">
        <f t="shared" ref="M53:O54" ca="1" si="0">D55</f>
        <v>1</v>
      </c>
      <c r="N53" s="2521" t="str">
        <f t="shared" si="0"/>
        <v>销售额×税（费）率</v>
      </c>
      <c r="O53" s="2524">
        <f t="shared" si="0"/>
        <v>5.0000000000000001E-4</v>
      </c>
    </row>
    <row r="54" spans="1:35" ht="12" customHeight="1">
      <c r="A54" s="2335" t="s">
        <v>1356</v>
      </c>
      <c r="B54" s="3624" t="s">
        <v>2283</v>
      </c>
      <c r="C54" s="3625"/>
      <c r="D54" s="1087">
        <f ca="1">C68</f>
        <v>17</v>
      </c>
      <c r="E54" s="327" t="s">
        <v>1357</v>
      </c>
      <c r="F54" s="2552">
        <f>'数据-取费表'!B41</f>
        <v>5.6000000000000001E-2</v>
      </c>
      <c r="G54" s="2553"/>
      <c r="H54" s="2554"/>
      <c r="I54" s="1807"/>
      <c r="J54" s="2521">
        <v>3</v>
      </c>
      <c r="K54" s="3663" t="s">
        <v>1358</v>
      </c>
      <c r="L54" s="3663"/>
      <c r="M54" s="2523">
        <f t="shared" ca="1" si="0"/>
        <v>80</v>
      </c>
      <c r="N54" s="2521" t="str">
        <f t="shared" si="0"/>
        <v>增值额×税（费）率</v>
      </c>
      <c r="O54" s="2525" t="str">
        <f t="shared" si="0"/>
        <v>——</v>
      </c>
    </row>
    <row r="55" spans="1:35" ht="24" customHeight="1">
      <c r="A55" s="3613" t="s">
        <v>1359</v>
      </c>
      <c r="B55" s="3614"/>
      <c r="C55" s="3614"/>
      <c r="D55" s="2324">
        <f ca="1">IF(H55="个人住宅",0,ROUND(D45*I55,0))</f>
        <v>1</v>
      </c>
      <c r="E55" s="2334" t="s">
        <v>1360</v>
      </c>
      <c r="F55" s="2552">
        <f>IF(H55="正常",I55,"免征")</f>
        <v>5.0000000000000001E-4</v>
      </c>
      <c r="G55" s="2553"/>
      <c r="H55" s="2548" t="s">
        <v>3547</v>
      </c>
      <c r="I55" s="165">
        <f>'数据-取费表'!B49</f>
        <v>5.0000000000000001E-4</v>
      </c>
      <c r="J55" s="2521" t="str">
        <f>IF(H59="非个人房产","",4)</f>
        <v/>
      </c>
      <c r="K55" s="3663" t="str">
        <f>IF(H59="非个人房产","——","个人所得税")</f>
        <v>——</v>
      </c>
      <c r="L55" s="3663"/>
      <c r="M55" s="2526" t="str">
        <f>D59</f>
        <v>——</v>
      </c>
      <c r="N55" s="2040" t="str">
        <f>E59</f>
        <v>——</v>
      </c>
      <c r="O55" s="2527" t="str">
        <f>F59</f>
        <v>——</v>
      </c>
    </row>
    <row r="56" spans="1:35" ht="24.75">
      <c r="A56" s="3613" t="s">
        <v>1361</v>
      </c>
      <c r="B56" s="3614"/>
      <c r="C56" s="3614"/>
      <c r="D56" s="2324">
        <f ca="1">IF(H56="个人住宅",D57,D58)</f>
        <v>80</v>
      </c>
      <c r="E56" s="2334" t="s">
        <v>1362</v>
      </c>
      <c r="F56" s="2552" t="str">
        <f>IF(H56="正常",F58,"免征")</f>
        <v>——</v>
      </c>
      <c r="G56" s="2555" t="s">
        <v>1363</v>
      </c>
      <c r="H56" s="2556" t="s">
        <v>3547</v>
      </c>
      <c r="I56" s="1808"/>
      <c r="J56" s="2521" t="str">
        <f>IF(项目基本情况!K6="上海银行",IF(J55="",4,J55+1),"")</f>
        <v/>
      </c>
      <c r="K56" s="3686" t="str">
        <f>IF(项目基本情况!K6="上海银行","其他处置费用","")</f>
        <v/>
      </c>
      <c r="L56" s="3687"/>
      <c r="M56" s="2523" t="str">
        <f>IF(项目基本情况!K6="上海银行",M69,"")</f>
        <v/>
      </c>
      <c r="N56" s="3686" t="str">
        <f>IF(项目基本情况!K6="上海银行","包含处置中涉及的律师、诉讼、拍卖、评估等费用","")</f>
        <v/>
      </c>
      <c r="O56" s="3689"/>
    </row>
    <row r="57" spans="1:35" ht="12.75">
      <c r="A57" s="2335" t="s">
        <v>1339</v>
      </c>
      <c r="B57" s="3624" t="s">
        <v>1364</v>
      </c>
      <c r="C57" s="3625"/>
      <c r="D57" s="1590">
        <v>0</v>
      </c>
      <c r="E57" s="324" t="s">
        <v>1341</v>
      </c>
      <c r="F57" s="302"/>
      <c r="G57" s="2553"/>
      <c r="H57" s="2557"/>
      <c r="I57" s="1808"/>
      <c r="J57" s="3663">
        <f>IF(AND(J55="",J56=""),4,IF(项目基本情况!K6="上海银行",结果表!J56+1,结果表!J55+1))</f>
        <v>4</v>
      </c>
      <c r="K57" s="3663" t="s">
        <v>1365</v>
      </c>
      <c r="L57" s="2528" t="s">
        <v>1366</v>
      </c>
      <c r="M57" s="2529"/>
      <c r="N57" s="2530">
        <f ca="1">SUMIF(M52:M56,"&lt;9e307")</f>
        <v>98</v>
      </c>
      <c r="O57" s="2531"/>
      <c r="P57" s="2688">
        <f ca="1">N57/M49</f>
        <v>7.0000000000000007E-2</v>
      </c>
    </row>
    <row r="58" spans="1:35" ht="24.75">
      <c r="A58" s="2335" t="s">
        <v>1350</v>
      </c>
      <c r="B58" s="3624" t="s">
        <v>1367</v>
      </c>
      <c r="C58" s="3598"/>
      <c r="D58" s="2324">
        <f ca="1">IF(H58="转让取得",C81,C97)</f>
        <v>80</v>
      </c>
      <c r="E58" s="2334" t="s">
        <v>1362</v>
      </c>
      <c r="F58" s="302" t="s">
        <v>28</v>
      </c>
      <c r="G58" s="2553"/>
      <c r="H58" s="2556" t="s">
        <v>3551</v>
      </c>
      <c r="I58" s="1808"/>
      <c r="J58" s="3663"/>
      <c r="K58" s="3663"/>
      <c r="L58" s="2528" t="s">
        <v>1368</v>
      </c>
      <c r="M58" s="2532"/>
      <c r="N58" s="2533" t="str">
        <f ca="1">NUMBERSTRING(INT(N57*10000),2)&amp;"元整"</f>
        <v>玖拾捌万元整</v>
      </c>
      <c r="O58" s="2534"/>
    </row>
    <row r="59" spans="1:35" ht="24.75" thickBot="1">
      <c r="A59" s="3666" t="s">
        <v>1369</v>
      </c>
      <c r="B59" s="3667"/>
      <c r="C59" s="3667"/>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1363</v>
      </c>
      <c r="H59" s="2314" t="s">
        <v>3552</v>
      </c>
      <c r="I59" s="2313" t="s">
        <v>2135</v>
      </c>
      <c r="J59" s="3664">
        <f>J57+1</f>
        <v>5</v>
      </c>
      <c r="K59" s="3663" t="s">
        <v>1370</v>
      </c>
      <c r="L59" s="2521" t="s">
        <v>1366</v>
      </c>
      <c r="M59" s="2535"/>
      <c r="N59" s="2536">
        <f ca="1">M49-N57</f>
        <v>1302</v>
      </c>
      <c r="O59" s="2537"/>
    </row>
    <row r="60" spans="1:35" ht="12" customHeight="1">
      <c r="A60" s="1809"/>
      <c r="B60" s="1747"/>
      <c r="C60" s="1747"/>
      <c r="D60" s="1747"/>
      <c r="E60" s="1578"/>
      <c r="F60" s="1808"/>
      <c r="G60" s="1808"/>
      <c r="H60" s="1810"/>
      <c r="I60" s="129"/>
      <c r="J60" s="3665"/>
      <c r="K60" s="3663"/>
      <c r="L60" s="2528" t="s">
        <v>1368</v>
      </c>
      <c r="M60" s="2532"/>
      <c r="N60" s="2533" t="str">
        <f ca="1">NUMBERSTRING(INT(N59*10000),2)&amp;"元整"</f>
        <v>壹仟叁佰零贰万元整</v>
      </c>
      <c r="O60" s="2534"/>
    </row>
    <row r="61" spans="1:35" ht="13.5" thickBot="1">
      <c r="A61" s="3611" t="s">
        <v>1371</v>
      </c>
      <c r="B61" s="3611"/>
      <c r="C61" s="3611"/>
      <c r="D61" s="3611"/>
      <c r="E61" s="3611"/>
      <c r="F61" s="1808"/>
      <c r="G61" s="1808"/>
      <c r="H61" s="1810"/>
      <c r="I61" s="129"/>
      <c r="J61" s="2521">
        <f>J59+1</f>
        <v>6</v>
      </c>
      <c r="K61" s="3663" t="s">
        <v>1372</v>
      </c>
      <c r="L61" s="3663"/>
      <c r="M61" s="2538"/>
      <c r="N61" s="2539">
        <f ca="1">ROUND(N59*10000/'数据-汇总表'!E3,0)</f>
        <v>26065</v>
      </c>
      <c r="O61" s="2540"/>
    </row>
    <row r="62" spans="1:35" ht="12.75">
      <c r="A62" s="3629" t="s">
        <v>1373</v>
      </c>
      <c r="B62" s="3630"/>
      <c r="C62" s="2021"/>
      <c r="D62" s="2021" t="s">
        <v>1374</v>
      </c>
      <c r="E62" s="166" t="s">
        <v>1375</v>
      </c>
      <c r="F62" s="1808"/>
      <c r="G62" s="1808"/>
      <c r="H62" s="1810"/>
      <c r="I62" s="129"/>
    </row>
    <row r="63" spans="1:35" ht="12.75">
      <c r="A63" s="173" t="s">
        <v>330</v>
      </c>
      <c r="B63" s="167" t="s">
        <v>1376</v>
      </c>
      <c r="C63" s="2562">
        <f ca="1">ROUND((C64+C65)/(1+'数据-取费表'!C42),0)</f>
        <v>1333</v>
      </c>
      <c r="D63" s="167"/>
      <c r="E63" s="168"/>
      <c r="F63" s="1808"/>
      <c r="G63" s="1808"/>
      <c r="H63" s="1810"/>
      <c r="I63" s="129"/>
      <c r="J63" s="3688" t="s">
        <v>1377</v>
      </c>
      <c r="K63" s="1332" t="s">
        <v>1378</v>
      </c>
      <c r="L63" s="1332">
        <f ca="1">IF(M49&gt;10000,M49*0.5%,IF(AND(M49&gt;1000,M49&lt;=10000),M49*1%,IF(AND(M49&gt;100,M49&lt;=1000),M49*3%,IF(AND(M49&gt;10,M49&lt;=100),M49*5%,M49*8%))))</f>
        <v>14</v>
      </c>
      <c r="M63" s="302">
        <f ca="1">ROUND(L63,1)</f>
        <v>14</v>
      </c>
      <c r="N63" s="2541"/>
      <c r="Z63" s="1752"/>
      <c r="AI63" s="1753"/>
    </row>
    <row r="64" spans="1:35" ht="14.25" customHeight="1">
      <c r="A64" s="169" t="s">
        <v>325</v>
      </c>
      <c r="B64" s="170" t="s">
        <v>1379</v>
      </c>
      <c r="C64" s="2563">
        <f ca="1">D45</f>
        <v>1400</v>
      </c>
      <c r="D64" s="170" t="s">
        <v>26</v>
      </c>
      <c r="E64" s="172"/>
      <c r="F64" s="1808"/>
      <c r="G64" s="1808"/>
      <c r="H64" s="1810"/>
      <c r="I64" s="129"/>
      <c r="J64" s="3688"/>
      <c r="K64" s="1332" t="s">
        <v>1380</v>
      </c>
      <c r="L64" s="1332">
        <f ca="1">IF(M49&gt;2000,M49*0.5%,IF(AND(M49&gt;1000,M49&lt;=2000),M49*0.6%,IF(AND(M49&gt;500,M49&lt;=1000),M49*0.7%,IF(AND(M49&gt;200,M49&lt;=500),M49*0.8%,IF(AND(M49&gt;100,M49&lt;=200),M49*0.9%,IF(AND(M49&gt;50,M49&lt;=100),M49*1%,IF(AND(M49&gt;20,M49&lt;=50),M49*1.5%,IF(AND(M49&gt;10,M49&lt;=20),M49*2%,IF(AND(M49&gt;1,M49&lt;=10),M49*2.5%)))))))))</f>
        <v>8.4</v>
      </c>
      <c r="M64" s="302">
        <f t="shared" ref="M64:M65" ca="1" si="1">ROUND(L64,1)</f>
        <v>8.4</v>
      </c>
      <c r="N64" s="2542" t="s">
        <v>1381</v>
      </c>
      <c r="Z64" s="1752"/>
      <c r="AI64" s="1753"/>
    </row>
    <row r="65" spans="1:35" ht="14.25" customHeight="1">
      <c r="A65" s="169" t="s">
        <v>326</v>
      </c>
      <c r="B65" s="170" t="s">
        <v>1382</v>
      </c>
      <c r="C65" s="2564"/>
      <c r="D65" s="170"/>
      <c r="E65" s="172"/>
      <c r="F65" s="1808"/>
      <c r="G65" s="1808"/>
      <c r="H65" s="1810"/>
      <c r="I65" s="129"/>
      <c r="J65" s="3688"/>
      <c r="K65" s="1332" t="s">
        <v>1383</v>
      </c>
      <c r="L65" s="1332">
        <f ca="1">IF(M49&gt;1000,M49*0.1%,IF(AND(M49&gt;500,M49&lt;=1000),M49*0.5%,IF(AND(M49&gt;50,M49&lt;=500),M49*1%,IF(AND(M49&gt;1,M49&lt;=50),M49*1.5%))))</f>
        <v>1.4000000000000001</v>
      </c>
      <c r="M65" s="302">
        <f t="shared" ca="1" si="1"/>
        <v>1.4</v>
      </c>
      <c r="N65" s="2542" t="s">
        <v>1381</v>
      </c>
      <c r="Z65" s="1752"/>
      <c r="AI65" s="1753"/>
    </row>
    <row r="66" spans="1:35" ht="14.25" customHeight="1">
      <c r="A66" s="173" t="s">
        <v>327</v>
      </c>
      <c r="B66" s="174" t="s">
        <v>1384</v>
      </c>
      <c r="C66" s="2565">
        <f>C75/1.05</f>
        <v>1027.6045714285713</v>
      </c>
      <c r="D66" s="174" t="s">
        <v>26</v>
      </c>
      <c r="E66" s="1338" t="s">
        <v>671</v>
      </c>
      <c r="F66" s="1808"/>
      <c r="G66" s="1808"/>
      <c r="H66" s="1810"/>
      <c r="I66" s="129"/>
      <c r="J66" s="3688"/>
      <c r="K66" s="1332" t="s">
        <v>1385</v>
      </c>
      <c r="L66" s="1332">
        <f ca="1">M49*0.5%</f>
        <v>7</v>
      </c>
      <c r="M66" s="302">
        <f ca="1">IF(L66&gt;0.5,0.5,ROUND(L66,0))</f>
        <v>0.5</v>
      </c>
      <c r="N66" s="2542" t="s">
        <v>1386</v>
      </c>
      <c r="Z66" s="1752"/>
      <c r="AI66" s="1753"/>
    </row>
    <row r="67" spans="1:35" ht="14.25" customHeight="1">
      <c r="A67" s="173" t="s">
        <v>328</v>
      </c>
      <c r="B67" s="174" t="s">
        <v>1387</v>
      </c>
      <c r="C67" s="2566">
        <f ca="1">C63-C66</f>
        <v>305.39542857142874</v>
      </c>
      <c r="D67" s="170" t="s">
        <v>26</v>
      </c>
      <c r="E67" s="172"/>
      <c r="F67" s="1808"/>
      <c r="G67" s="1808"/>
      <c r="H67" s="1810"/>
      <c r="I67" s="129"/>
      <c r="J67" s="3688"/>
      <c r="K67" s="1332" t="s">
        <v>1388</v>
      </c>
      <c r="L67" s="1332">
        <f ca="1">IF(M49&gt;=10000,(8.25+(M49-10000)*0.01%),IF(AND(M49&gt;=8000,M49&lt;10000),(7.85+(M49-8000)*0.02%),IF(AND(M49&gt;=5000,M49&lt;8000),(6.65+(M49-5000)*0.04%),IF(AND(M49&gt;=2000,M49&lt;5000),(4.25+(PM49-2000)*0.08%),IF(AND(M49&gt;=1000,M49&lt;2000),(2.75+(M49-1000)*0.15%),IF(AND(M49&gt;=100,M49&lt;1000),(0.5+(M49-100)*0.25%),IF(AND(M49&gt;0,M49&lt;100),M49*0.5%)))))))</f>
        <v>3.35</v>
      </c>
      <c r="M67" s="302">
        <f ca="1">ROUND(L67*0.9,1)</f>
        <v>3</v>
      </c>
      <c r="N67" s="2541"/>
      <c r="Z67" s="1752"/>
      <c r="AI67" s="1753"/>
    </row>
    <row r="68" spans="1:35" ht="14.25" customHeight="1" thickBot="1">
      <c r="A68" s="176" t="s">
        <v>329</v>
      </c>
      <c r="B68" s="177" t="s">
        <v>1389</v>
      </c>
      <c r="C68" s="2567">
        <f ca="1">IF(C67&lt;=0,0,ROUND(C67*D68,0))</f>
        <v>17</v>
      </c>
      <c r="D68" s="2568">
        <f>'数据-取费表'!B41</f>
        <v>5.6000000000000001E-2</v>
      </c>
      <c r="E68" s="178"/>
      <c r="F68" s="1808"/>
      <c r="G68" s="1808"/>
      <c r="H68" s="1810"/>
      <c r="I68" s="129"/>
      <c r="J68" s="3688"/>
      <c r="K68" s="1332" t="s">
        <v>1390</v>
      </c>
      <c r="L68" s="1332">
        <f ca="1">IF(M49&gt;10000,M49*0.5%,IF(AND(M49&gt;5000,M49&lt;=10000),M49*1%,IF(AND(M49&gt;1000,M49&lt;=5000),M49*2%,IF(AND(M49&gt;200,M49&lt;=1000),M49*3%,M49*5%))))</f>
        <v>28</v>
      </c>
      <c r="M68" s="302">
        <f ca="1">ROUND(L68,1)</f>
        <v>28</v>
      </c>
      <c r="N68" s="2541"/>
      <c r="Z68" s="1752"/>
      <c r="AI68" s="1753"/>
    </row>
    <row r="69" spans="1:35" s="1772" customFormat="1" ht="16.5" customHeight="1">
      <c r="A69" s="1811"/>
      <c r="B69" s="1812"/>
      <c r="C69" s="1813"/>
      <c r="D69" s="1814"/>
      <c r="E69" s="1815"/>
      <c r="F69" s="1578"/>
      <c r="G69" s="1578"/>
      <c r="H69" s="1577"/>
      <c r="I69" s="1747"/>
      <c r="J69" s="3688"/>
      <c r="K69" s="1332" t="s">
        <v>1391</v>
      </c>
      <c r="L69" s="1332"/>
      <c r="M69" s="302">
        <f ca="1">ROUND(SUM(M63:M68),0)</f>
        <v>55</v>
      </c>
      <c r="N69" s="2543">
        <f ca="1">M69/M49</f>
        <v>3.9285714285714285E-2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50" t="s">
        <v>1392</v>
      </c>
      <c r="B70" s="3651"/>
      <c r="C70" s="3651"/>
      <c r="D70" s="3651"/>
      <c r="E70" s="3651"/>
      <c r="F70" s="3651"/>
      <c r="G70" s="3651"/>
      <c r="H70" s="3651"/>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9" t="s">
        <v>1373</v>
      </c>
      <c r="B71" s="3630"/>
      <c r="C71" s="2021"/>
      <c r="D71" s="2021" t="s">
        <v>1374</v>
      </c>
      <c r="E71" s="179" t="s">
        <v>1375</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1393</v>
      </c>
      <c r="C72" s="2566">
        <f ca="1">ROUND(D45/(1+'数据-取费表'!C42),0)</f>
        <v>1333</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1394</v>
      </c>
      <c r="C73" s="2566">
        <f ca="1">C74+C78</f>
        <v>1067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1395</v>
      </c>
      <c r="C74" s="170">
        <f>ROUND(IF(G77="2016年5月1日后购买",C75/(1+'数据-取费表'!C42)+C76+C77,C75+C76+C77),0)</f>
        <v>1059</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1396</v>
      </c>
      <c r="C75" s="2569">
        <v>1078.9848</v>
      </c>
      <c r="D75" s="170" t="s">
        <v>26</v>
      </c>
      <c r="E75" s="184" t="s">
        <v>1397</v>
      </c>
      <c r="F75" s="2570" t="s">
        <v>3553</v>
      </c>
      <c r="G75" s="184" t="s">
        <v>1398</v>
      </c>
      <c r="H75" s="2571">
        <v>2</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1399</v>
      </c>
      <c r="C76" s="170">
        <f>IF(F75="购房发票",ROUND(C75*H75*D76,0),0)</f>
        <v>0</v>
      </c>
      <c r="D76" s="2572">
        <v>0.05</v>
      </c>
      <c r="E76" s="3624" t="s">
        <v>1400</v>
      </c>
      <c r="F76" s="3598"/>
      <c r="G76" s="3598"/>
      <c r="H76" s="364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1401</v>
      </c>
      <c r="C77" s="170">
        <f>ROUND(IF(G77="个人住宅",0,IF(G77="2016年5月1日前购买",C75*D77,C75*D77/(1+'数据-取费表'!C42))),0)</f>
        <v>31</v>
      </c>
      <c r="D77" s="2573">
        <f>'数据-取费表'!B48+'数据-取费表'!B49</f>
        <v>3.0499999999999999E-2</v>
      </c>
      <c r="E77" s="2324" t="s">
        <v>1402</v>
      </c>
      <c r="F77" s="186"/>
      <c r="G77" s="1822" t="s">
        <v>3554</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1403</v>
      </c>
      <c r="C78" s="2574">
        <f ca="1">ROUND(D45*D78/(1+'数据-取费表'!C42),0)</f>
        <v>8</v>
      </c>
      <c r="D78" s="2575">
        <f>'数据-取费表'!B43</f>
        <v>6.000000000000001E-3</v>
      </c>
      <c r="E78" s="3608" t="s">
        <v>1404</v>
      </c>
      <c r="F78" s="3609"/>
      <c r="G78" s="3609"/>
      <c r="H78" s="361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1405</v>
      </c>
      <c r="C79" s="2566">
        <f ca="1">C72-C73</f>
        <v>266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1406</v>
      </c>
      <c r="C80" s="2576">
        <f ca="1">IF(C79&lt;=0,0,C79/C73)</f>
        <v>0.24929709465791941</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1407</v>
      </c>
      <c r="C81" s="2577">
        <f ca="1">ROUND(IF(C79&lt;=0,0,IF(C80&gt;=200%,C79*60%-C73*35%,IF(C80&gt;=100%,C79*50%-C73*15%,IF(C80&gt;=50%,C79*40%-C73*5%,IF(C80&lt;50%,C79*30%,0))))),0)</f>
        <v>80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50" t="s">
        <v>1408</v>
      </c>
      <c r="B83" s="3651"/>
      <c r="C83" s="3651"/>
      <c r="D83" s="3651"/>
      <c r="E83" s="3651"/>
      <c r="F83" s="3651"/>
      <c r="G83" s="3651"/>
      <c r="H83" s="365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9" t="s">
        <v>1373</v>
      </c>
      <c r="B84" s="3630"/>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1393</v>
      </c>
      <c r="C85" s="2566">
        <f ca="1">ROUND(D45/(1+'数据-取费表'!C42),0)</f>
        <v>1333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1394</v>
      </c>
      <c r="C86" s="2566">
        <f ca="1">IF(H88="仅含出让金",C87+C90+C91+C92+C93+C94,C87+C91+C92+C93+C94)</f>
        <v>8</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1409</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1410</v>
      </c>
      <c r="C88" s="2580"/>
      <c r="D88" s="2575"/>
      <c r="E88" s="193" t="s">
        <v>1411</v>
      </c>
      <c r="F88" s="2327"/>
      <c r="G88" s="194" t="s">
        <v>1412</v>
      </c>
      <c r="H88" s="1824"/>
      <c r="I88" s="1821"/>
      <c r="J88" s="2519"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1401</v>
      </c>
      <c r="C89" s="2574">
        <f>ROUND(C88*D89,0)</f>
        <v>0</v>
      </c>
      <c r="D89" s="2575">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1414</v>
      </c>
      <c r="C90" s="2580"/>
      <c r="D90" s="2575"/>
      <c r="E90" s="193" t="str">
        <f>IF(H88="-","土地取得成本中已包含该笔费用"," ")</f>
        <v xml:space="preserve"> </v>
      </c>
      <c r="F90" s="2327"/>
      <c r="G90" s="3690" t="s">
        <v>2127</v>
      </c>
      <c r="H90" s="3691"/>
      <c r="I90" s="1821"/>
      <c r="J90" s="2519"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1415</v>
      </c>
      <c r="B91" s="170" t="s">
        <v>1416</v>
      </c>
      <c r="C91" s="2574">
        <f>IF(H91="——",成本法!C33,I91)</f>
        <v>0</v>
      </c>
      <c r="D91" s="2575"/>
      <c r="E91" s="3608" t="s">
        <v>1417</v>
      </c>
      <c r="F91" s="3609"/>
      <c r="G91" s="360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1418</v>
      </c>
      <c r="B92" s="170" t="s">
        <v>1419</v>
      </c>
      <c r="C92" s="2574">
        <f>ROUND((C87+C90+C91)*D92,0)</f>
        <v>0</v>
      </c>
      <c r="D92" s="2581"/>
      <c r="E92" s="3608" t="s">
        <v>1420</v>
      </c>
      <c r="F92" s="3609"/>
      <c r="G92" s="3609"/>
      <c r="H92" s="3618"/>
      <c r="I92" s="1821"/>
      <c r="J92" s="2520"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1421</v>
      </c>
      <c r="B93" s="170" t="s">
        <v>1403</v>
      </c>
      <c r="C93" s="2574">
        <f ca="1">ROUND(D45*D93/(1+'数据-取费表'!C42),0)</f>
        <v>8</v>
      </c>
      <c r="D93" s="2575">
        <f>'数据-取费表'!B43</f>
        <v>6.000000000000001E-3</v>
      </c>
      <c r="E93" s="3608" t="s">
        <v>1404</v>
      </c>
      <c r="F93" s="3609"/>
      <c r="G93" s="3609"/>
      <c r="H93" s="361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1422</v>
      </c>
      <c r="B94" s="170" t="s">
        <v>1423</v>
      </c>
      <c r="C94" s="2580">
        <f>ROUND((C87+C90+C91)*D94,0)</f>
        <v>0</v>
      </c>
      <c r="D94" s="2575">
        <v>0.2</v>
      </c>
      <c r="E94" s="3619" t="s">
        <v>1424</v>
      </c>
      <c r="F94" s="3620"/>
      <c r="G94" s="3620"/>
      <c r="H94" s="362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1405</v>
      </c>
      <c r="C95" s="2566">
        <f ca="1">ROUND(C85-C86,0)</f>
        <v>1325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1406</v>
      </c>
      <c r="C96" s="2576">
        <f ca="1">IF(C95&lt;=0,0,C95/C86)</f>
        <v>165.625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1407</v>
      </c>
      <c r="C97" s="2577">
        <f ca="1">ROUND(IF(C95&lt;=0,0,IF(C96&gt;=200%,C95*60%-C86*35%,IF(C96&gt;=100%,C95*50%-C86*15%,IF(C96&gt;=50%,C95*40%-C86*5%,IF(C96&lt;50%,C95*30%,0))))),0)</f>
        <v>792</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92" t="s">
        <v>1426</v>
      </c>
      <c r="B100" s="3593"/>
      <c r="C100" s="3593"/>
      <c r="D100" s="3610"/>
      <c r="E100" s="3593" t="s">
        <v>1427</v>
      </c>
      <c r="F100" s="3593"/>
      <c r="G100" s="3593"/>
      <c r="H100" s="3610"/>
      <c r="I100" s="129"/>
    </row>
    <row r="101" spans="1:35" ht="18.75" customHeight="1">
      <c r="A101" s="3671" t="s">
        <v>1428</v>
      </c>
      <c r="B101" s="3672"/>
      <c r="C101" s="2583" t="str">
        <f>C4</f>
        <v>比较法-商业</v>
      </c>
      <c r="D101" s="2584" t="str">
        <f>D4</f>
        <v>收益法 (元)</v>
      </c>
      <c r="E101" s="3685" t="s">
        <v>1429</v>
      </c>
      <c r="F101" s="3642"/>
      <c r="G101" s="1827" t="s">
        <v>1430</v>
      </c>
      <c r="H101" s="2593">
        <f ca="1">H118</f>
        <v>1400</v>
      </c>
      <c r="I101" s="129"/>
    </row>
    <row r="102" spans="1:35" ht="18.75" customHeight="1">
      <c r="A102" s="3644" t="s">
        <v>1431</v>
      </c>
      <c r="B102" s="2582" t="s">
        <v>1430</v>
      </c>
      <c r="C102" s="2583">
        <f ca="1">IF(D32="楼面单价",ROUND(C19,0),C19)</f>
        <v>1601</v>
      </c>
      <c r="D102" s="2584">
        <f ca="1">IF(D32="楼面单价",ROUND(D19,0),D19)</f>
        <v>1099</v>
      </c>
      <c r="E102" s="3685"/>
      <c r="F102" s="3642"/>
      <c r="G102" s="1827" t="s">
        <v>1432</v>
      </c>
      <c r="H102" s="2553">
        <f ca="1">I118</f>
        <v>28034</v>
      </c>
      <c r="I102" s="129"/>
    </row>
    <row r="103" spans="1:35" ht="42.75" customHeight="1">
      <c r="A103" s="3644"/>
      <c r="B103" s="2582" t="s">
        <v>1432</v>
      </c>
      <c r="C103" s="2585">
        <f ca="1">C20</f>
        <v>32050</v>
      </c>
      <c r="D103" s="2586">
        <f ca="1">D20</f>
        <v>22010</v>
      </c>
      <c r="E103" s="3679" t="s">
        <v>1433</v>
      </c>
      <c r="F103" s="3680"/>
      <c r="G103" s="1828" t="s">
        <v>1434</v>
      </c>
      <c r="H103" s="2593">
        <f>IF(D36="正常操作",H104+H105+H106,H105+H106)</f>
        <v>0</v>
      </c>
      <c r="I103" s="129"/>
    </row>
    <row r="104" spans="1:35" ht="18.75" customHeight="1">
      <c r="A104" s="3644" t="s">
        <v>1435</v>
      </c>
      <c r="B104" s="2587" t="s">
        <v>1430</v>
      </c>
      <c r="C104" s="2588">
        <f ca="1">H118</f>
        <v>1400</v>
      </c>
      <c r="D104" s="2589"/>
      <c r="E104" s="1674" t="s">
        <v>1436</v>
      </c>
      <c r="F104" s="1666"/>
      <c r="G104" s="1828" t="s">
        <v>1434</v>
      </c>
      <c r="H104" s="2594">
        <f>IF(D36="同一抵押权人同一抵押物续贷",C36&amp;"（续贷，未扣减，详见特别提示）",C36)</f>
        <v>0</v>
      </c>
      <c r="I104" s="129"/>
    </row>
    <row r="105" spans="1:35" ht="18.75" customHeight="1" thickBot="1">
      <c r="A105" s="3645"/>
      <c r="B105" s="2590" t="s">
        <v>1432</v>
      </c>
      <c r="C105" s="2591">
        <f ca="1">I118</f>
        <v>28034</v>
      </c>
      <c r="D105" s="2592"/>
      <c r="E105" s="1674" t="s">
        <v>1437</v>
      </c>
      <c r="F105" s="1666"/>
      <c r="G105" s="1828" t="s">
        <v>1434</v>
      </c>
      <c r="H105" s="2595">
        <f>C37</f>
        <v>0</v>
      </c>
      <c r="I105" s="129"/>
    </row>
    <row r="106" spans="1:35" ht="18.75" customHeight="1">
      <c r="A106" s="1747" t="s">
        <v>1438</v>
      </c>
      <c r="B106" s="1747"/>
      <c r="C106" s="1747"/>
      <c r="D106" s="1747"/>
      <c r="E106" s="1829" t="s">
        <v>1439</v>
      </c>
      <c r="F106" s="1666"/>
      <c r="G106" s="1828" t="s">
        <v>1434</v>
      </c>
      <c r="H106" s="2595">
        <f>C38</f>
        <v>0</v>
      </c>
      <c r="I106" s="129"/>
    </row>
    <row r="107" spans="1:35" ht="18.75" customHeight="1">
      <c r="A107" s="129"/>
      <c r="B107" s="129"/>
      <c r="C107" s="129"/>
      <c r="D107" s="129"/>
      <c r="E107" s="3641" t="str">
        <f>IF(项目基本情况!E8="已注销","——","3.房地产抵押价值")</f>
        <v>3.房地产抵押价值</v>
      </c>
      <c r="F107" s="3642"/>
      <c r="G107" s="1827" t="s">
        <v>1430</v>
      </c>
      <c r="H107" s="2593">
        <f ca="1">IF(E107="——","——",H101-H103)</f>
        <v>1400</v>
      </c>
      <c r="I107" s="129"/>
    </row>
    <row r="108" spans="1:35" ht="18.75" customHeight="1">
      <c r="A108" s="129"/>
      <c r="B108" s="129"/>
      <c r="C108" s="129"/>
      <c r="D108" s="129"/>
      <c r="E108" s="3641"/>
      <c r="F108" s="3642"/>
      <c r="G108" s="1827" t="s">
        <v>1432</v>
      </c>
      <c r="H108" s="2553">
        <f ca="1">IF(H107=H101,H102,ROUND(H107*10000/'数据-汇总表'!E3,0))</f>
        <v>28034</v>
      </c>
      <c r="I108" s="129"/>
    </row>
    <row r="109" spans="1:35" ht="18.75" customHeight="1">
      <c r="A109" s="129"/>
      <c r="B109" s="129"/>
      <c r="C109" s="129"/>
      <c r="D109" s="129"/>
      <c r="E109" s="3641" t="str">
        <f>IF(项目基本情况!E8="已注销及未注销","4.抵押担保权已注销时的房地产抵押价值",IF(项目基本情况!E8="已注销","3.抵押担保权已注销时的房地产抵押价值","——"))</f>
        <v>——</v>
      </c>
      <c r="F109" s="3642"/>
      <c r="G109" s="1827" t="s">
        <v>1430</v>
      </c>
      <c r="H109" s="2596" t="str">
        <f>IF(E109="——","——",H101-H105-H106)</f>
        <v>——</v>
      </c>
      <c r="I109" s="129"/>
    </row>
    <row r="110" spans="1:35" ht="18.75" customHeight="1">
      <c r="A110" s="129"/>
      <c r="B110" s="129"/>
      <c r="C110" s="129"/>
      <c r="D110" s="129"/>
      <c r="E110" s="3641"/>
      <c r="F110" s="3642"/>
      <c r="G110" s="1827" t="s">
        <v>1432</v>
      </c>
      <c r="H110" s="2553" t="str">
        <f>IF(H109="——","——",ROUND(H109*10000/'数据-汇总表'!E3,0))</f>
        <v>——</v>
      </c>
      <c r="I110" s="129"/>
    </row>
    <row r="111" spans="1:35" ht="18.75" customHeight="1">
      <c r="A111" s="129"/>
      <c r="B111" s="129"/>
      <c r="C111" s="129"/>
      <c r="D111" s="129"/>
      <c r="E111" s="3673" t="str">
        <f>IF(项目基本情况!E9="抵押净值",IF(OR(项目基本情况!E8="已注销",项目基本情况!E8="房地产抵押价值"),"4.抵押净值","5.抵押净值"),"——")</f>
        <v>——</v>
      </c>
      <c r="F111" s="3643"/>
      <c r="G111" s="1827" t="s">
        <v>1430</v>
      </c>
      <c r="H111" s="2593" t="str">
        <f>IF(E111="——","——",N59)</f>
        <v>——</v>
      </c>
      <c r="I111" s="129"/>
    </row>
    <row r="112" spans="1:35" ht="18.75" customHeight="1" thickBot="1">
      <c r="A112" s="129"/>
      <c r="B112" s="129"/>
      <c r="C112" s="129"/>
      <c r="D112" s="129"/>
      <c r="E112" s="3674"/>
      <c r="F112" s="3675"/>
      <c r="G112" s="1830" t="s">
        <v>1432</v>
      </c>
      <c r="H112" s="2597" t="str">
        <f>IF(E111="——","——",N61)</f>
        <v>——</v>
      </c>
      <c r="I112" s="129"/>
    </row>
    <row r="113" spans="1:27" ht="18.75" customHeight="1">
      <c r="A113" s="129"/>
      <c r="B113" s="129"/>
      <c r="C113" s="129"/>
      <c r="D113" s="129"/>
      <c r="E113" s="3646" t="s">
        <v>1438</v>
      </c>
      <c r="F113" s="3646"/>
      <c r="G113" s="3646"/>
      <c r="H113" s="3646"/>
      <c r="I113" s="129"/>
    </row>
    <row r="114" spans="1:27" ht="3.75" customHeight="1">
      <c r="A114" s="1747"/>
      <c r="B114" s="1747"/>
      <c r="C114" s="1747"/>
      <c r="D114" s="1747"/>
      <c r="E114" s="1809"/>
      <c r="F114" s="1809"/>
      <c r="G114" s="1809"/>
      <c r="H114" s="1809"/>
      <c r="I114" s="1747"/>
    </row>
    <row r="115" spans="1:27" ht="18.75" customHeight="1">
      <c r="A115" s="3656" t="s">
        <v>1440</v>
      </c>
      <c r="B115" s="3657"/>
      <c r="C115" s="3657"/>
      <c r="D115" s="3657"/>
      <c r="E115" s="3657"/>
      <c r="F115" s="3657"/>
      <c r="G115" s="3657"/>
      <c r="H115" s="3657"/>
      <c r="I115" s="3658"/>
    </row>
    <row r="116" spans="1:27" ht="27" customHeight="1">
      <c r="A116" s="3612" t="s">
        <v>1441</v>
      </c>
      <c r="B116" s="3647" t="s">
        <v>1442</v>
      </c>
      <c r="C116" s="3647" t="s">
        <v>1443</v>
      </c>
      <c r="D116" s="3660" t="s">
        <v>1444</v>
      </c>
      <c r="E116" s="3661"/>
      <c r="F116" s="3655" t="s">
        <v>1445</v>
      </c>
      <c r="G116" s="3655"/>
      <c r="H116" s="3612" t="s">
        <v>1446</v>
      </c>
      <c r="I116" s="3612"/>
    </row>
    <row r="117" spans="1:27" ht="18.75" customHeight="1">
      <c r="A117" s="3612"/>
      <c r="B117" s="3648"/>
      <c r="C117" s="3648"/>
      <c r="D117" s="2329" t="s">
        <v>1447</v>
      </c>
      <c r="E117" s="2329" t="s">
        <v>1448</v>
      </c>
      <c r="F117" s="2329" t="s">
        <v>1447</v>
      </c>
      <c r="G117" s="2329" t="s">
        <v>1449</v>
      </c>
      <c r="H117" s="2329" t="s">
        <v>1447</v>
      </c>
      <c r="I117" s="2329" t="s">
        <v>1449</v>
      </c>
    </row>
    <row r="118" spans="1:27" ht="24.75" customHeight="1">
      <c r="A118" s="2598" t="str">
        <f>项目基本情况!S2</f>
        <v>北京市门头沟区城子大街90号院17号楼1层17-2房地产</v>
      </c>
      <c r="B118" s="2329">
        <f>M18</f>
        <v>499.53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1400</v>
      </c>
      <c r="I118" s="2329">
        <f ca="1">ROUND(IF(D32="楼面单价",C32,H118*10000/B118),0)</f>
        <v>28034</v>
      </c>
    </row>
    <row r="119" spans="1:27" ht="18.75" customHeight="1">
      <c r="A119" s="3612" t="s">
        <v>1450</v>
      </c>
      <c r="B119" s="3612"/>
      <c r="C119" s="3612"/>
      <c r="D119" s="3652" t="e">
        <f ca="1">NUMBERSTRING(INT(D118*10000),2)&amp;"元整"</f>
        <v>#REF!</v>
      </c>
      <c r="E119" s="3654"/>
      <c r="F119" s="3652" t="e">
        <f ca="1">NUMBERSTRING(INT(F118*10000),2)&amp;"元整"</f>
        <v>#REF!</v>
      </c>
      <c r="G119" s="3654"/>
      <c r="H119" s="3652" t="str">
        <f ca="1">NUMBERSTRING(INT(H118*10000),2)&amp;"元整"</f>
        <v>壹仟肆佰万元整</v>
      </c>
      <c r="I119" s="3654"/>
    </row>
    <row r="120" spans="1:27" ht="18.75" customHeight="1">
      <c r="A120" s="3676" t="str">
        <f>IF(项目基本情况!B9="房地产市场价值","",MID(E103,3,LEN(E103)-2))</f>
        <v>估价师知悉的法定优先受偿款</v>
      </c>
      <c r="B120" s="3677"/>
      <c r="C120" s="3678"/>
      <c r="D120" s="3676">
        <f>H103</f>
        <v>0</v>
      </c>
      <c r="E120" s="3677"/>
      <c r="F120" s="3677"/>
      <c r="G120" s="3677"/>
      <c r="H120" s="3677"/>
      <c r="I120" s="367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52" t="s">
        <v>1450</v>
      </c>
      <c r="B121" s="3653"/>
      <c r="C121" s="3654"/>
      <c r="D121" s="3652" t="str">
        <f>IF(D120=0,"零元整",NUMBERSTRING(INT(D120*10000),2)&amp;"元整")</f>
        <v>零元整</v>
      </c>
      <c r="E121" s="3653"/>
      <c r="F121" s="3653"/>
      <c r="G121" s="3653"/>
      <c r="H121" s="3653"/>
      <c r="I121" s="3654"/>
      <c r="AA121" s="725"/>
    </row>
    <row r="122" spans="1:27" ht="18.75" customHeight="1">
      <c r="A122" s="3643" t="str">
        <f>IF(项目基本情况!B9="房地产市场价值","",MID(E107,3,LEN(E107)-2))</f>
        <v>房地产抵押价值</v>
      </c>
      <c r="B122" s="3643"/>
      <c r="C122" s="3643"/>
      <c r="D122" s="3676">
        <f ca="1">H107</f>
        <v>1400</v>
      </c>
      <c r="E122" s="3677"/>
      <c r="F122" s="3677"/>
      <c r="G122" s="3677"/>
      <c r="H122" s="3677"/>
      <c r="I122" s="3678"/>
      <c r="AA122" s="725"/>
    </row>
    <row r="123" spans="1:27" ht="18.75" customHeight="1">
      <c r="A123" s="3612" t="s">
        <v>1450</v>
      </c>
      <c r="B123" s="3612"/>
      <c r="C123" s="3612"/>
      <c r="D123" s="3652" t="str">
        <f ca="1">NUMBERSTRING(INT(D122*10000),2)&amp;"元整"</f>
        <v>壹仟肆佰万元整</v>
      </c>
      <c r="E123" s="3653"/>
      <c r="F123" s="3653"/>
      <c r="G123" s="3653"/>
      <c r="H123" s="3653"/>
      <c r="I123" s="3654"/>
      <c r="AA123" s="725"/>
    </row>
    <row r="124" spans="1:27" ht="18.75" customHeight="1">
      <c r="A124" s="3643" t="str">
        <f>IF(项目基本情况!B9="房地产市场价值","",MID(E109,3,LEN(E109)-2))</f>
        <v/>
      </c>
      <c r="B124" s="3643"/>
      <c r="C124" s="3643"/>
      <c r="D124" s="3676" t="str">
        <f>H109</f>
        <v>——</v>
      </c>
      <c r="E124" s="3677"/>
      <c r="F124" s="3677"/>
      <c r="G124" s="3677"/>
      <c r="H124" s="3677"/>
      <c r="I124" s="3678"/>
      <c r="AA124" s="725"/>
    </row>
    <row r="125" spans="1:27" ht="18.75" customHeight="1">
      <c r="A125" s="3612" t="s">
        <v>1450</v>
      </c>
      <c r="B125" s="3612"/>
      <c r="C125" s="3612"/>
      <c r="D125" s="3652" t="e">
        <f>NUMBERSTRING(INT(D124*10000),2)&amp;"元整"</f>
        <v>#VALUE!</v>
      </c>
      <c r="E125" s="3653"/>
      <c r="F125" s="3653"/>
      <c r="G125" s="3653"/>
      <c r="H125" s="3653"/>
      <c r="I125" s="3654"/>
      <c r="AA125" s="725"/>
    </row>
    <row r="126" spans="1:27" ht="18.75" customHeight="1">
      <c r="A126" s="3643" t="str">
        <f>IF(项目基本情况!B9="房地产市场价值","",MID(E111,3,LEN(E111)-2))</f>
        <v/>
      </c>
      <c r="B126" s="3643"/>
      <c r="C126" s="3643"/>
      <c r="D126" s="3676" t="str">
        <f>H111</f>
        <v>——</v>
      </c>
      <c r="E126" s="3677"/>
      <c r="F126" s="3677"/>
      <c r="G126" s="3677"/>
      <c r="H126" s="3677"/>
      <c r="I126" s="3678"/>
      <c r="AA126" s="725"/>
    </row>
    <row r="127" spans="1:27" ht="18.75" customHeight="1">
      <c r="A127" s="3612" t="s">
        <v>1450</v>
      </c>
      <c r="B127" s="3612"/>
      <c r="C127" s="3612"/>
      <c r="D127" s="3652" t="e">
        <f>NUMBERSTRING(INT(D126*10000),2)&amp;"元整"</f>
        <v>#VALUE!</v>
      </c>
      <c r="E127" s="3653"/>
      <c r="F127" s="3653"/>
      <c r="G127" s="3653"/>
      <c r="H127" s="3653"/>
      <c r="I127" s="3654"/>
      <c r="AA127" s="725"/>
    </row>
    <row r="128" spans="1:27" ht="21.75" customHeight="1">
      <c r="A128" s="3659" t="s">
        <v>1451</v>
      </c>
      <c r="B128" s="3659"/>
      <c r="C128" s="3659"/>
      <c r="D128" s="3659"/>
      <c r="E128" s="3659"/>
      <c r="F128" s="3659"/>
      <c r="G128" s="3659"/>
      <c r="H128" s="3659"/>
      <c r="I128" s="3659"/>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9" sqref="I3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339</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6786</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9.9906000000000006</v>
      </c>
      <c r="D5" s="211" t="s">
        <v>1467</v>
      </c>
      <c r="E5" s="212" t="s">
        <v>1468</v>
      </c>
      <c r="F5" s="212" t="s">
        <v>1469</v>
      </c>
      <c r="G5" s="213"/>
    </row>
    <row r="6" spans="1:9" s="214" customFormat="1" ht="13.5" customHeight="1">
      <c r="A6" s="778" t="s">
        <v>1470</v>
      </c>
      <c r="B6" s="215" t="s">
        <v>1471</v>
      </c>
      <c r="C6" s="216"/>
      <c r="D6" s="217"/>
      <c r="E6" s="218"/>
      <c r="F6" s="218"/>
      <c r="G6" s="219"/>
    </row>
    <row r="7" spans="1:9" s="214" customFormat="1" ht="13.5" customHeight="1">
      <c r="A7" s="778" t="s">
        <v>1472</v>
      </c>
      <c r="B7" s="215" t="s">
        <v>1473</v>
      </c>
      <c r="C7" s="220">
        <f>ROUND(C6*F7,0)</f>
        <v>0</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9.9906000000000006</v>
      </c>
      <c r="D8" s="222"/>
      <c r="E8" s="220"/>
      <c r="F8" s="221"/>
      <c r="G8" s="1856"/>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c r="H9" s="1137"/>
      <c r="I9" s="1858" t="s">
        <v>1477</v>
      </c>
    </row>
    <row r="10" spans="1:9" s="214" customFormat="1" ht="13.5" customHeight="1">
      <c r="A10" s="779" t="s">
        <v>356</v>
      </c>
      <c r="B10" s="224" t="s">
        <v>1478</v>
      </c>
      <c r="C10" s="225">
        <f ca="1">ROUND(D10*E10/10000,0)</f>
        <v>10</v>
      </c>
      <c r="D10" s="845">
        <f ca="1">IF(B1="",'数据-汇总表'!E6,IF(INDIRECT("'数据-取费表'!c"&amp;$G$1)="住宅",INDIRECT("'数据-取费表'!s"&amp;$G$1),INDIRECT("'数据-取费表'!k"&amp;$G$1)+INDIRECT("'数据-取费表'!s"&amp;$G$1)))</f>
        <v>499.53</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f ca="1">IF(G19="已包含在土地取得成本中","0",ROUND(D19*E19/10000,0))</f>
        <v>9</v>
      </c>
      <c r="D19" s="849">
        <f ca="1">D9+D10</f>
        <v>499.53</v>
      </c>
      <c r="E19" s="211">
        <f>'数据-取费表'!B31</f>
        <v>180</v>
      </c>
      <c r="F19" s="231"/>
      <c r="G19" s="1856"/>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2</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1</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1</v>
      </c>
      <c r="D24" s="238"/>
      <c r="E24" s="238"/>
      <c r="F24" s="239"/>
      <c r="G24" s="240" t="s">
        <v>1505</v>
      </c>
    </row>
    <row r="25" spans="1:7" s="214" customFormat="1" ht="24">
      <c r="A25" s="780" t="s">
        <v>1506</v>
      </c>
      <c r="B25" s="215" t="s">
        <v>1507</v>
      </c>
      <c r="C25" s="1105">
        <f ca="1">ROUND(IF('数据-取费表'!B22&lt;=1,C20*F22*'数据-取费表'!B23/2,C20*(POWER((1+F22),'数据-取费表'!B23/2)-1)),0)</f>
        <v>0</v>
      </c>
      <c r="D25" s="238"/>
      <c r="E25" s="241"/>
      <c r="F25" s="239"/>
      <c r="G25" s="242" t="s">
        <v>1508</v>
      </c>
    </row>
    <row r="26" spans="1:7" s="214" customFormat="1">
      <c r="A26" s="780"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4</v>
      </c>
      <c r="D27" s="235">
        <f ca="1">C29</f>
        <v>4.0000000000000001E-3</v>
      </c>
      <c r="E27" s="236" t="s">
        <v>1512</v>
      </c>
      <c r="F27" s="246">
        <f ca="1">IF(B1="",'数据-取费表'!Q16,INDIRECT("'数据-取费表'!q"&amp;$G$1))</f>
        <v>0.2</v>
      </c>
      <c r="G27" s="247" t="s">
        <v>1513</v>
      </c>
    </row>
    <row r="28" spans="1:7" s="214" customFormat="1" ht="13.5" customHeight="1">
      <c r="A28" s="780" t="s">
        <v>346</v>
      </c>
      <c r="B28" s="248" t="s">
        <v>1514</v>
      </c>
      <c r="C28" s="249">
        <f ca="1">ROUND((C5+C19+C20)*F27*'数据-取费表'!B21/'数据-取费表'!B20,0)</f>
        <v>4</v>
      </c>
      <c r="D28" s="235"/>
      <c r="E28" s="236"/>
      <c r="F28" s="246"/>
      <c r="G28" s="247"/>
    </row>
    <row r="29" spans="1:7" s="214" customFormat="1" ht="13.5" customHeight="1">
      <c r="A29" s="780" t="s">
        <v>347</v>
      </c>
      <c r="B29" s="248" t="s">
        <v>1515</v>
      </c>
      <c r="C29" s="238">
        <f ca="1">ROUND(C21*F27*'数据-取费表'!B21/'数据-取费表'!B20,4)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27</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246</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225</v>
      </c>
      <c r="D34" s="217"/>
      <c r="E34" s="220"/>
      <c r="F34" s="257">
        <f ca="1">IF('数据-取费表'!B24=0,1,IF(B1="",'数据-取费表'!N16,INDIRECT("'数据-取费表'!n"&amp;$G$1)))</f>
        <v>1</v>
      </c>
      <c r="G34" s="219" t="s">
        <v>1524</v>
      </c>
    </row>
    <row r="35" spans="1:7" ht="13.5" customHeight="1">
      <c r="A35" s="780" t="s">
        <v>351</v>
      </c>
      <c r="B35" s="215" t="s">
        <v>1525</v>
      </c>
      <c r="C35" s="220">
        <f ca="1">ROUND(C34*F35,0)</f>
        <v>7</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9</v>
      </c>
      <c r="D37" s="217">
        <f ca="1">D19</f>
        <v>499.53</v>
      </c>
      <c r="E37" s="249">
        <f>'数据-取费表'!B35</f>
        <v>180</v>
      </c>
      <c r="F37" s="259"/>
      <c r="G37" s="261" t="s">
        <v>1530</v>
      </c>
    </row>
    <row r="38" spans="1:7" ht="13.5" customHeight="1">
      <c r="A38" s="780" t="s">
        <v>354</v>
      </c>
      <c r="B38" s="215" t="s">
        <v>1531</v>
      </c>
      <c r="C38" s="220">
        <f ca="1">ROUND(C34*F38,0)</f>
        <v>5</v>
      </c>
      <c r="D38" s="220"/>
      <c r="E38" s="220"/>
      <c r="F38" s="259">
        <f>'数据-取费表'!B36</f>
        <v>0.02</v>
      </c>
      <c r="G38" s="219" t="s">
        <v>1526</v>
      </c>
    </row>
    <row r="39" spans="1:7" s="214" customFormat="1" ht="13.5" customHeight="1">
      <c r="A39" s="255" t="s">
        <v>1532</v>
      </c>
      <c r="B39" s="210" t="s">
        <v>1533</v>
      </c>
      <c r="C39" s="232">
        <f ca="1">ROUND(C33*F20,0)</f>
        <v>5</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8</v>
      </c>
      <c r="D41" s="235">
        <f ca="1">C44</f>
        <v>6.9999999999999999E-4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8</v>
      </c>
      <c r="D42" s="238"/>
      <c r="E42" s="238"/>
      <c r="F42" s="239"/>
      <c r="G42" s="3692" t="s">
        <v>1542</v>
      </c>
    </row>
    <row r="43" spans="1:7" ht="13.5" customHeight="1">
      <c r="A43" s="780" t="s">
        <v>347</v>
      </c>
      <c r="B43" s="215" t="s">
        <v>1543</v>
      </c>
      <c r="C43" s="238">
        <f ca="1">ROUND(IF('数据-取费表'!B22&lt;=1,C39*F22*'数据-取费表'!B21/2,C39*(POWER((1+F22),'数据-取费表'!B21/2)-1)),0)</f>
        <v>0</v>
      </c>
      <c r="D43" s="238"/>
      <c r="E43" s="238"/>
      <c r="F43" s="239"/>
      <c r="G43" s="3693"/>
    </row>
    <row r="44" spans="1:7" ht="13.5" customHeight="1">
      <c r="A44" s="780" t="s">
        <v>348</v>
      </c>
      <c r="B44" s="215" t="s">
        <v>1544</v>
      </c>
      <c r="C44" s="238">
        <f ca="1">ROUND(IF('数据-取费表'!B22&lt;=1,C40*F22*'数据-取费表'!B21/2,C40*(POWER((1+F22),'数据-取费表'!B21/2)-1)),4)</f>
        <v>6.9999999999999999E-4</v>
      </c>
      <c r="D44" s="238"/>
      <c r="E44" s="238"/>
      <c r="F44" s="239"/>
      <c r="G44" s="3694"/>
    </row>
    <row r="45" spans="1:7" s="214" customFormat="1" ht="13.5" customHeight="1">
      <c r="A45" s="255" t="s">
        <v>1545</v>
      </c>
      <c r="B45" s="244" t="s">
        <v>1511</v>
      </c>
      <c r="C45" s="245">
        <f ca="1">C46</f>
        <v>50</v>
      </c>
      <c r="D45" s="235">
        <f ca="1">C47</f>
        <v>4.0000000000000001E-3</v>
      </c>
      <c r="E45" s="236" t="s">
        <v>1537</v>
      </c>
      <c r="F45" s="246">
        <f ca="1">F27</f>
        <v>0.2</v>
      </c>
      <c r="G45" s="247" t="s">
        <v>1546</v>
      </c>
    </row>
    <row r="46" spans="1:7" s="214" customFormat="1" ht="13.5" customHeight="1">
      <c r="A46" s="780" t="s">
        <v>346</v>
      </c>
      <c r="B46" s="248" t="s">
        <v>1547</v>
      </c>
      <c r="C46" s="249">
        <f ca="1">ROUND((C33+C39)*F27,0)</f>
        <v>50</v>
      </c>
      <c r="D46" s="263"/>
      <c r="E46" s="236"/>
      <c r="F46" s="246"/>
      <c r="G46" s="247"/>
    </row>
    <row r="47" spans="1:7" s="214" customFormat="1" ht="13.5" customHeight="1">
      <c r="A47" s="780" t="s">
        <v>347</v>
      </c>
      <c r="B47" s="248" t="s">
        <v>1548</v>
      </c>
      <c r="C47" s="238">
        <f ca="1">ROUND(C40*F27,4)</f>
        <v>4.0000000000000001E-3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335</v>
      </c>
      <c r="D49" s="232"/>
      <c r="E49" s="232"/>
      <c r="F49" s="264"/>
      <c r="G49" s="234" t="s">
        <v>1552</v>
      </c>
    </row>
    <row r="50" spans="1:7" s="258" customFormat="1" ht="24">
      <c r="A50" s="255" t="s">
        <v>1553</v>
      </c>
      <c r="B50" s="210" t="s">
        <v>1554</v>
      </c>
      <c r="C50" s="232"/>
      <c r="D50" s="232"/>
      <c r="E50" s="232"/>
      <c r="F50" s="264">
        <f>IF('数据-取费表'!B24=0,'数据-取费表'!N16,1)</f>
        <v>0.93</v>
      </c>
      <c r="G50" s="247" t="s">
        <v>1555</v>
      </c>
    </row>
    <row r="51" spans="1:7" ht="16.5" customHeight="1">
      <c r="A51" s="255" t="s">
        <v>1556</v>
      </c>
      <c r="B51" s="210" t="s">
        <v>1557</v>
      </c>
      <c r="C51" s="232">
        <f ca="1">ROUND(C49*F50,0)</f>
        <v>312</v>
      </c>
      <c r="D51" s="232"/>
      <c r="E51" s="232"/>
      <c r="F51" s="264"/>
      <c r="G51" s="234" t="s">
        <v>1558</v>
      </c>
    </row>
    <row r="52" spans="1:7" s="208" customFormat="1" ht="16.5" thickBot="1">
      <c r="A52" s="265" t="s">
        <v>1559</v>
      </c>
      <c r="B52" s="266"/>
      <c r="C52" s="267">
        <f ca="1">C31+C51</f>
        <v>339</v>
      </c>
      <c r="D52" s="266"/>
      <c r="E52" s="266"/>
      <c r="F52" s="266"/>
      <c r="G52" s="268"/>
    </row>
    <row r="55" spans="1:7" ht="15">
      <c r="B55" s="270" t="s">
        <v>1560</v>
      </c>
      <c r="C55" s="271"/>
    </row>
    <row r="56" spans="1:7">
      <c r="B56" s="273" t="s">
        <v>802</v>
      </c>
      <c r="C56" s="275">
        <f ca="1">1-C57</f>
        <v>7.999999999999996E-2</v>
      </c>
    </row>
    <row r="57" spans="1:7">
      <c r="B57" s="273" t="s">
        <v>803</v>
      </c>
      <c r="C57" s="274">
        <f ca="1">ROUND(C51/C52,3)</f>
        <v>0.92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9" t="str">
        <f>项目基本情况!B1</f>
        <v>北京市门头沟区城子大街90号院17号楼1层17-2房地产抵押价值预评估</v>
      </c>
      <c r="C37" s="3509"/>
      <c r="D37" s="3509"/>
      <c r="E37" s="3509"/>
      <c r="F37" s="3509"/>
      <c r="G37" s="3509"/>
      <c r="H37" s="3509"/>
      <c r="I37" s="350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4"/>
      <c r="F1" s="2804"/>
      <c r="G1" s="2669"/>
      <c r="H1" s="2804"/>
      <c r="I1" s="2804"/>
      <c r="J1" s="2804"/>
      <c r="K1" s="2805">
        <f>MATCH(C1,'数据-取费表'!A6:A16,0)+5</f>
        <v>7</v>
      </c>
    </row>
    <row r="2" spans="1:33" ht="18" customHeight="1">
      <c r="A2" s="201" t="s">
        <v>1460</v>
      </c>
      <c r="B2" s="204">
        <f ca="1">C32</f>
        <v>0</v>
      </c>
      <c r="C2" s="276" t="s">
        <v>1593</v>
      </c>
      <c r="D2" s="276"/>
      <c r="E2" s="2804"/>
      <c r="F2" s="2804"/>
      <c r="G2" s="2804"/>
      <c r="H2" s="2804"/>
      <c r="I2" s="2804"/>
      <c r="J2" s="2804"/>
      <c r="K2" s="2804"/>
    </row>
    <row r="3" spans="1:33" ht="18" customHeight="1" thickBot="1">
      <c r="A3" s="203" t="s">
        <v>1462</v>
      </c>
      <c r="B3" s="204">
        <f ca="1">ROUND(B2*10000/IF(C1="",'数据-汇总表'!E3,INDIRECT("'数据-取费表'!K"&amp;$K$1)),0)</f>
        <v>0</v>
      </c>
      <c r="C3" s="276" t="s">
        <v>1594</v>
      </c>
      <c r="D3" s="276"/>
      <c r="E3" s="2804"/>
      <c r="F3" s="2804"/>
      <c r="G3" s="2804"/>
      <c r="H3" s="2804"/>
      <c r="I3" s="2804"/>
      <c r="J3" s="2804"/>
      <c r="K3" s="2804"/>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499.53</v>
      </c>
      <c r="E14" s="21">
        <f>'数据-取费表'!B35</f>
        <v>180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0.02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499.53</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9.3999999999994088E-3</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10</v>
      </c>
      <c r="D20" s="846">
        <f ca="1">IF(C1="",'数据-汇总表'!E6,IF(INDIRECT("'数据-取费表'!c"&amp;$K$1)="住宅",INDIRECT("'数据-取费表'!s"&amp;$K$1),INDIRECT("'数据-取费表'!k"&amp;$K$1)+INDIRECT("'数据-取费表'!s"&amp;$K$1)))</f>
        <v>499.53</v>
      </c>
      <c r="E20" s="21">
        <f>'数据-取费表'!B28</f>
        <v>200</v>
      </c>
      <c r="F20" s="804"/>
      <c r="G20" s="12"/>
      <c r="H20" s="809"/>
      <c r="I20" s="809"/>
      <c r="J20" s="809"/>
      <c r="K20" s="810"/>
    </row>
    <row r="21" spans="1:33" s="803" customFormat="1" ht="13.5" customHeight="1">
      <c r="A21" s="790" t="s">
        <v>357</v>
      </c>
      <c r="B21" s="813" t="s">
        <v>1626</v>
      </c>
      <c r="C21" s="814">
        <f ca="1">C16+C17+C18</f>
        <v>9.3999999999994088E-3</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7" t="s">
        <v>694</v>
      </c>
      <c r="C6" s="1074">
        <f ca="1">ROUND(F6*F8*F7*(1-F9)/10000,0)</f>
        <v>0</v>
      </c>
      <c r="D6" s="155" t="s">
        <v>2107</v>
      </c>
      <c r="E6" s="302" t="s">
        <v>696</v>
      </c>
      <c r="F6" s="303">
        <f ca="1">INDIRECT("'数据-取费表'!u"&amp;$G$1)</f>
        <v>0</v>
      </c>
      <c r="G6" s="1384"/>
      <c r="H6" s="1069" t="s">
        <v>398</v>
      </c>
      <c r="I6" s="3697" t="s">
        <v>694</v>
      </c>
      <c r="J6" s="301">
        <f ca="1">ROUND(M6*M8*M7*(1-M9)/10000,0)</f>
        <v>0</v>
      </c>
      <c r="K6" s="155" t="s">
        <v>2106</v>
      </c>
      <c r="L6" s="302" t="s">
        <v>696</v>
      </c>
      <c r="M6" s="303">
        <f ca="1">INDIRECT("'数据-取费表'!z"&amp;$G$1)</f>
        <v>0</v>
      </c>
    </row>
    <row r="7" spans="1:37" ht="18" customHeight="1">
      <c r="A7" s="1073"/>
      <c r="B7" s="3698"/>
      <c r="C7" s="1075"/>
      <c r="D7" s="307"/>
      <c r="E7" s="1076" t="s">
        <v>697</v>
      </c>
      <c r="F7" s="303">
        <f ca="1">IF(INDIRECT("'数据-取费表'!ah"&amp;$G$1)="",INDIRECT("'数据-取费表'!k"&amp;$G$1),INDIRECT("'数据-取费表'!ah"&amp;$G$1))</f>
        <v>0</v>
      </c>
      <c r="G7" s="1384"/>
      <c r="H7" s="304"/>
      <c r="I7" s="3698"/>
      <c r="J7" s="306"/>
      <c r="K7" s="307"/>
      <c r="L7" s="302" t="s">
        <v>697</v>
      </c>
      <c r="M7" s="303">
        <f ca="1">F7</f>
        <v>0</v>
      </c>
    </row>
    <row r="8" spans="1:37" ht="18" customHeight="1">
      <c r="A8" s="304"/>
      <c r="B8" s="3698"/>
      <c r="C8" s="306"/>
      <c r="D8" s="307"/>
      <c r="E8" s="302" t="s">
        <v>698</v>
      </c>
      <c r="F8" s="303">
        <f ca="1">INDIRECT("'数据-取费表'!ai"&amp;$G$1)</f>
        <v>0</v>
      </c>
      <c r="G8" s="1384"/>
      <c r="H8" s="304"/>
      <c r="I8" s="3698"/>
      <c r="J8" s="306"/>
      <c r="K8" s="307"/>
      <c r="L8" s="302" t="s">
        <v>698</v>
      </c>
      <c r="M8" s="303">
        <f ca="1">INDIRECT("'数据-取费表'!ai"&amp;$G$1)</f>
        <v>0</v>
      </c>
    </row>
    <row r="9" spans="1:37" ht="18" customHeight="1">
      <c r="A9" s="304"/>
      <c r="B9" s="3699"/>
      <c r="C9" s="306"/>
      <c r="D9" s="307"/>
      <c r="E9" s="302" t="s">
        <v>699</v>
      </c>
      <c r="F9" s="312">
        <f ca="1">INDIRECT("'数据-取费表'!w"&amp;$G$1)</f>
        <v>0</v>
      </c>
      <c r="G9" s="1384"/>
      <c r="H9" s="304"/>
      <c r="I9" s="369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180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3329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6" t="s">
        <v>2301</v>
      </c>
      <c r="I31" s="1398"/>
      <c r="J31" s="1399"/>
      <c r="K31" s="2473"/>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3329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0</v>
      </c>
      <c r="K53" s="3695" t="s">
        <v>837</v>
      </c>
      <c r="L53" s="369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zoomScale="80" zoomScaleNormal="70" zoomScaleSheetLayoutView="80" workbookViewId="0">
      <selection activeCell="N23" sqref="N2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t="s">
        <v>3396</v>
      </c>
      <c r="E1" s="3424" t="s">
        <v>3544</v>
      </c>
      <c r="F1" s="1879" t="s">
        <v>3431</v>
      </c>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f>IF(E1="项目模式",IF(C2="——",ROUND(C49*D3/10000,0),ROUND(C49*D3/10000,0)-D2),IF(E1="单套模式",IF(C2="——",ROUND(C49*D3/10000,4),ROUND(C49*D3/10000,4)-D2)))</f>
        <v>1600.9937</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32050</v>
      </c>
      <c r="C3" s="354" t="s">
        <v>1766</v>
      </c>
      <c r="D3" s="353">
        <f>IF(D1="",'数据-汇总表'!E3,SUMIF('数据-汇总表'!$C19:$C33,D1,'数据-汇总表'!$E19:$E33))</f>
        <v>499.53</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1767</v>
      </c>
      <c r="B4" s="356"/>
      <c r="C4" s="3719" t="s">
        <v>1768</v>
      </c>
      <c r="D4" s="3720"/>
      <c r="E4" s="3721" t="s">
        <v>1769</v>
      </c>
      <c r="F4" s="3722"/>
      <c r="G4" s="3719" t="s">
        <v>1770</v>
      </c>
      <c r="H4" s="3720"/>
      <c r="I4" s="3719" t="s">
        <v>1771</v>
      </c>
      <c r="J4" s="3720"/>
      <c r="K4" s="559" t="s">
        <v>1772</v>
      </c>
      <c r="L4" s="2713"/>
      <c r="M4" s="2714"/>
      <c r="N4" s="2714"/>
      <c r="O4" s="2714"/>
      <c r="P4" s="3723" t="s">
        <v>1773</v>
      </c>
      <c r="Q4" s="3724"/>
      <c r="R4" s="3729" t="s">
        <v>1769</v>
      </c>
      <c r="S4" s="3730"/>
      <c r="T4" s="3729" t="s">
        <v>1770</v>
      </c>
      <c r="U4" s="3730"/>
      <c r="V4" s="3714" t="s">
        <v>1771</v>
      </c>
      <c r="W4" s="3714"/>
      <c r="X4" s="1355"/>
      <c r="Y4" s="3729" t="s">
        <v>1773</v>
      </c>
      <c r="Z4" s="3730"/>
      <c r="AA4" s="3716" t="s">
        <v>1769</v>
      </c>
      <c r="AB4" s="3714" t="s">
        <v>1770</v>
      </c>
      <c r="AC4" s="3716" t="s">
        <v>1771</v>
      </c>
    </row>
    <row r="5" spans="1:29" ht="15">
      <c r="A5" s="358"/>
      <c r="B5" s="359"/>
      <c r="C5" s="3742" t="s">
        <v>3556</v>
      </c>
      <c r="D5" s="3738"/>
      <c r="E5" s="3743" t="str">
        <f>案例!A4</f>
        <v>金泰丽湾悦栖山</v>
      </c>
      <c r="F5" s="3744"/>
      <c r="G5" s="3737" t="str">
        <f>案例!A5</f>
        <v>门头沟京汉铂寓</v>
      </c>
      <c r="H5" s="3738"/>
      <c r="I5" s="3737" t="str">
        <f>案例!A9</f>
        <v>远洋新天地二期</v>
      </c>
      <c r="J5" s="3738"/>
      <c r="K5" s="559"/>
      <c r="L5" s="2713"/>
      <c r="M5" s="2714"/>
      <c r="N5" s="2714"/>
      <c r="O5" s="2714"/>
      <c r="P5" s="3725"/>
      <c r="Q5" s="3726"/>
      <c r="R5" s="3731"/>
      <c r="S5" s="3732"/>
      <c r="T5" s="3731"/>
      <c r="U5" s="3732"/>
      <c r="V5" s="3714"/>
      <c r="W5" s="3714"/>
      <c r="X5" s="1355"/>
      <c r="Y5" s="3731"/>
      <c r="Z5" s="3732"/>
      <c r="AA5" s="3717"/>
      <c r="AB5" s="3714"/>
      <c r="AC5" s="3717"/>
    </row>
    <row r="6" spans="1:29" ht="15.75" thickBot="1">
      <c r="A6" s="360"/>
      <c r="B6" s="361"/>
      <c r="C6" s="3735" t="s">
        <v>3504</v>
      </c>
      <c r="D6" s="3736"/>
      <c r="E6" s="3735" t="s">
        <v>3504</v>
      </c>
      <c r="F6" s="3736"/>
      <c r="G6" s="3735" t="s">
        <v>3504</v>
      </c>
      <c r="H6" s="3736"/>
      <c r="I6" s="3735" t="s">
        <v>3504</v>
      </c>
      <c r="J6" s="3736"/>
      <c r="K6" s="559" t="s">
        <v>1676</v>
      </c>
      <c r="L6" s="2713"/>
      <c r="M6" s="2714"/>
      <c r="N6" s="2714"/>
      <c r="O6" s="2714"/>
      <c r="P6" s="3727"/>
      <c r="Q6" s="3728"/>
      <c r="R6" s="3731"/>
      <c r="S6" s="3732"/>
      <c r="T6" s="3733"/>
      <c r="U6" s="3734"/>
      <c r="V6" s="3714"/>
      <c r="W6" s="3714"/>
      <c r="X6" s="1355"/>
      <c r="Y6" s="3733"/>
      <c r="Z6" s="3734"/>
      <c r="AA6" s="3718"/>
      <c r="AB6" s="3714"/>
      <c r="AC6" s="3718"/>
    </row>
    <row r="7" spans="1:29" s="108" customFormat="1" ht="15.75" thickBot="1">
      <c r="A7" s="362" t="s">
        <v>1677</v>
      </c>
      <c r="B7" s="363"/>
      <c r="C7" s="364">
        <f>'数据-取费表'!B2</f>
        <v>45495</v>
      </c>
      <c r="D7" s="365">
        <v>100</v>
      </c>
      <c r="E7" s="366">
        <f>C7</f>
        <v>45495</v>
      </c>
      <c r="F7" s="367">
        <f>SUMIF(58:58,YEAR(E7)&amp;"-"&amp;MONTH(E7),59:59)</f>
        <v>100</v>
      </c>
      <c r="G7" s="366">
        <f>E7</f>
        <v>45495</v>
      </c>
      <c r="H7" s="365">
        <f>SUMIF(58:58,YEAR(G7)&amp;"-"&amp;MONTH(G7),59:59)</f>
        <v>100</v>
      </c>
      <c r="I7" s="366">
        <f>G7</f>
        <v>45495</v>
      </c>
      <c r="J7" s="365">
        <f>SUMIF(58:58,YEAR(I7)&amp;"-"&amp;MONTH(I7),59:59)</f>
        <v>100</v>
      </c>
      <c r="K7" s="560"/>
      <c r="L7" s="2715"/>
      <c r="M7" s="2716"/>
      <c r="N7" s="2716"/>
      <c r="O7" s="2716"/>
      <c r="P7" s="3739" t="s">
        <v>1678</v>
      </c>
      <c r="Q7" s="3741"/>
      <c r="R7" s="701" t="s">
        <v>14</v>
      </c>
      <c r="S7" s="702">
        <f t="shared" ref="S7:S15" si="0">F7</f>
        <v>100</v>
      </c>
      <c r="T7" s="701" t="s">
        <v>14</v>
      </c>
      <c r="U7" s="702">
        <f t="shared" ref="U7:U15" si="1">H7</f>
        <v>100</v>
      </c>
      <c r="V7" s="701" t="s">
        <v>14</v>
      </c>
      <c r="W7" s="702">
        <f t="shared" ref="W7:W15" si="2">J7</f>
        <v>100</v>
      </c>
      <c r="X7" s="703"/>
      <c r="Y7" s="3739" t="s">
        <v>1678</v>
      </c>
      <c r="Z7" s="3740"/>
      <c r="AA7" s="704">
        <f>D7/F7</f>
        <v>1</v>
      </c>
      <c r="AB7" s="704">
        <f>D7/H7</f>
        <v>1</v>
      </c>
      <c r="AC7" s="704">
        <f>D7/J7</f>
        <v>1</v>
      </c>
    </row>
    <row r="8" spans="1:29" s="108" customFormat="1" ht="15.75" thickBot="1">
      <c r="A8" s="362" t="s">
        <v>1679</v>
      </c>
      <c r="B8" s="363"/>
      <c r="C8" s="368" t="s">
        <v>3547</v>
      </c>
      <c r="D8" s="365">
        <v>100</v>
      </c>
      <c r="E8" s="368" t="s">
        <v>3505</v>
      </c>
      <c r="F8" s="367">
        <f>SUMIF(61:61,E8,62:62)-SUMIF(61:61,C8,62:62)+100</f>
        <v>110</v>
      </c>
      <c r="G8" s="368" t="s">
        <v>3505</v>
      </c>
      <c r="H8" s="365">
        <f>SUMIF(61:61,G8,62:62)-SUMIF(61:61,C8,62:62)+100</f>
        <v>110</v>
      </c>
      <c r="I8" s="368" t="s">
        <v>3505</v>
      </c>
      <c r="J8" s="365">
        <f>SUMIF(61:61,I8,62:62)-SUMIF(61:61,C8,62:62)+100</f>
        <v>110</v>
      </c>
      <c r="K8" s="560"/>
      <c r="L8" s="2715"/>
      <c r="M8" s="2716"/>
      <c r="N8" s="2716"/>
      <c r="O8" s="2716"/>
      <c r="P8" s="3739" t="s">
        <v>1681</v>
      </c>
      <c r="Q8" s="3740"/>
      <c r="R8" s="701" t="s">
        <v>14</v>
      </c>
      <c r="S8" s="702">
        <f t="shared" si="0"/>
        <v>110</v>
      </c>
      <c r="T8" s="701" t="s">
        <v>14</v>
      </c>
      <c r="U8" s="702">
        <f t="shared" si="1"/>
        <v>110</v>
      </c>
      <c r="V8" s="701" t="s">
        <v>14</v>
      </c>
      <c r="W8" s="702">
        <f t="shared" si="2"/>
        <v>110</v>
      </c>
      <c r="X8" s="703"/>
      <c r="Y8" s="3739" t="s">
        <v>1681</v>
      </c>
      <c r="Z8" s="3740"/>
      <c r="AA8" s="704">
        <f t="shared" ref="AA8:AA46" si="3">D8/F8</f>
        <v>0.90909090909090906</v>
      </c>
      <c r="AB8" s="704">
        <f t="shared" ref="AB8:AB46" si="4">D8/H8</f>
        <v>0.90909090909090906</v>
      </c>
      <c r="AC8" s="704">
        <f t="shared" ref="AC8:AC46" si="5">D8/J8</f>
        <v>0.90909090909090906</v>
      </c>
    </row>
    <row r="9" spans="1:29" s="108" customFormat="1">
      <c r="A9" s="369" t="s">
        <v>1682</v>
      </c>
      <c r="B9" s="63" t="s">
        <v>1683</v>
      </c>
      <c r="C9" s="3506" t="s">
        <v>3548</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715" t="s">
        <v>1684</v>
      </c>
      <c r="Q9" s="1343" t="str">
        <f t="shared" ref="Q9:Q15" si="6">B9</f>
        <v>用途</v>
      </c>
      <c r="R9" s="701" t="s">
        <v>14</v>
      </c>
      <c r="S9" s="702">
        <f t="shared" si="0"/>
        <v>100</v>
      </c>
      <c r="T9" s="701" t="s">
        <v>14</v>
      </c>
      <c r="U9" s="702">
        <f t="shared" si="1"/>
        <v>100</v>
      </c>
      <c r="V9" s="701" t="s">
        <v>14</v>
      </c>
      <c r="W9" s="702">
        <f t="shared" si="2"/>
        <v>100</v>
      </c>
      <c r="X9" s="703"/>
      <c r="Y9" s="3599"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15"/>
      <c r="Q10" s="1343" t="str">
        <f t="shared" si="6"/>
        <v>土地使用年限（年）</v>
      </c>
      <c r="R10" s="701" t="s">
        <v>14</v>
      </c>
      <c r="S10" s="702">
        <f t="shared" si="0"/>
        <v>100</v>
      </c>
      <c r="T10" s="701" t="s">
        <v>14</v>
      </c>
      <c r="U10" s="702">
        <f t="shared" si="1"/>
        <v>100</v>
      </c>
      <c r="V10" s="701" t="s">
        <v>14</v>
      </c>
      <c r="W10" s="702">
        <f t="shared" si="2"/>
        <v>100</v>
      </c>
      <c r="X10" s="703"/>
      <c r="Y10" s="3599"/>
      <c r="Z10" s="52" t="str">
        <f t="shared" si="7"/>
        <v>土地使用年限（年）</v>
      </c>
      <c r="AA10" s="704">
        <f t="shared" si="3"/>
        <v>1</v>
      </c>
      <c r="AB10" s="704">
        <f t="shared" si="4"/>
        <v>1</v>
      </c>
      <c r="AC10" s="704">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15"/>
      <c r="Q11" s="1343" t="str">
        <f t="shared" si="6"/>
        <v>容积率</v>
      </c>
      <c r="R11" s="701" t="s">
        <v>14</v>
      </c>
      <c r="S11" s="702">
        <f t="shared" si="0"/>
        <v>100</v>
      </c>
      <c r="T11" s="701" t="s">
        <v>14</v>
      </c>
      <c r="U11" s="702">
        <f t="shared" si="1"/>
        <v>100</v>
      </c>
      <c r="V11" s="701" t="s">
        <v>14</v>
      </c>
      <c r="W11" s="702">
        <f t="shared" si="2"/>
        <v>100</v>
      </c>
      <c r="X11" s="703"/>
      <c r="Y11" s="3599"/>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15"/>
      <c r="Q12" s="1343">
        <f t="shared" si="6"/>
        <v>111</v>
      </c>
      <c r="R12" s="701" t="s">
        <v>14</v>
      </c>
      <c r="S12" s="702">
        <f t="shared" si="0"/>
        <v>100</v>
      </c>
      <c r="T12" s="701" t="s">
        <v>14</v>
      </c>
      <c r="U12" s="702">
        <f t="shared" si="1"/>
        <v>100</v>
      </c>
      <c r="V12" s="701" t="s">
        <v>14</v>
      </c>
      <c r="W12" s="702">
        <f t="shared" si="2"/>
        <v>100</v>
      </c>
      <c r="X12" s="703"/>
      <c r="Y12" s="3599"/>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15"/>
      <c r="Q13" s="1343">
        <f t="shared" si="6"/>
        <v>111</v>
      </c>
      <c r="R13" s="701" t="s">
        <v>14</v>
      </c>
      <c r="S13" s="702">
        <f t="shared" si="0"/>
        <v>100</v>
      </c>
      <c r="T13" s="701" t="s">
        <v>14</v>
      </c>
      <c r="U13" s="702">
        <f t="shared" si="1"/>
        <v>100</v>
      </c>
      <c r="V13" s="701" t="s">
        <v>14</v>
      </c>
      <c r="W13" s="702">
        <f t="shared" si="2"/>
        <v>100</v>
      </c>
      <c r="X13" s="703"/>
      <c r="Y13" s="3599"/>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15"/>
      <c r="Q14" s="1343">
        <f t="shared" si="6"/>
        <v>111</v>
      </c>
      <c r="R14" s="701" t="s">
        <v>14</v>
      </c>
      <c r="S14" s="702">
        <f t="shared" si="0"/>
        <v>100</v>
      </c>
      <c r="T14" s="701" t="s">
        <v>14</v>
      </c>
      <c r="U14" s="702">
        <f t="shared" si="1"/>
        <v>100</v>
      </c>
      <c r="V14" s="701" t="s">
        <v>14</v>
      </c>
      <c r="W14" s="702">
        <f t="shared" si="2"/>
        <v>100</v>
      </c>
      <c r="X14" s="703"/>
      <c r="Y14" s="3599"/>
      <c r="Z14" s="52">
        <f t="shared" si="7"/>
        <v>111</v>
      </c>
      <c r="AA14" s="704">
        <f t="shared" si="3"/>
        <v>1</v>
      </c>
      <c r="AB14" s="704">
        <f t="shared" si="4"/>
        <v>1</v>
      </c>
      <c r="AC14" s="704">
        <f t="shared" si="5"/>
        <v>1</v>
      </c>
    </row>
    <row r="15" spans="1:29" ht="15">
      <c r="A15" s="391" t="s">
        <v>1688</v>
      </c>
      <c r="B15" s="61" t="s">
        <v>1775</v>
      </c>
      <c r="C15" s="1896" t="str">
        <f>估价对象房地状况!C4</f>
        <v>较好</v>
      </c>
      <c r="D15" s="392">
        <v>100</v>
      </c>
      <c r="E15" s="393" t="s">
        <v>3402</v>
      </c>
      <c r="F15" s="394">
        <f>SUMIF(76:76,E16,77:77)-SUMIF(76:76,C16,77:77)+100</f>
        <v>100</v>
      </c>
      <c r="G15" s="393" t="s">
        <v>3402</v>
      </c>
      <c r="H15" s="392">
        <f>SUMIF(76:76,G16,77:77)-SUMIF(76:76,C16,77:77)+100</f>
        <v>100</v>
      </c>
      <c r="I15" s="393" t="s">
        <v>3402</v>
      </c>
      <c r="J15" s="392">
        <f>SUMIF(76:76,I16,77:77)-SUMIF(76:76,C16,77:77)+100</f>
        <v>100</v>
      </c>
      <c r="K15" s="563">
        <v>2</v>
      </c>
      <c r="L15" s="2720"/>
      <c r="M15" s="2714"/>
      <c r="N15" s="2714"/>
      <c r="O15" s="2714"/>
      <c r="P15" s="3705" t="s">
        <v>1689</v>
      </c>
      <c r="Q15" s="1352" t="str">
        <f t="shared" si="6"/>
        <v>商业繁华度</v>
      </c>
      <c r="R15" s="705" t="s">
        <v>14</v>
      </c>
      <c r="S15" s="706">
        <f t="shared" si="0"/>
        <v>100</v>
      </c>
      <c r="T15" s="705" t="s">
        <v>14</v>
      </c>
      <c r="U15" s="706">
        <f t="shared" si="1"/>
        <v>100</v>
      </c>
      <c r="V15" s="705" t="s">
        <v>14</v>
      </c>
      <c r="W15" s="706">
        <f t="shared" si="2"/>
        <v>100</v>
      </c>
      <c r="X15" s="1355"/>
      <c r="Y15" s="3707" t="s">
        <v>1689</v>
      </c>
      <c r="Z15" s="1356" t="str">
        <f t="shared" si="7"/>
        <v>商业繁华度</v>
      </c>
      <c r="AA15" s="1353">
        <f t="shared" si="3"/>
        <v>1</v>
      </c>
      <c r="AB15" s="1353">
        <f t="shared" si="4"/>
        <v>1</v>
      </c>
      <c r="AC15" s="1353">
        <f t="shared" si="5"/>
        <v>1</v>
      </c>
    </row>
    <row r="16" spans="1:29" ht="15.75" thickBot="1">
      <c r="A16" s="379"/>
      <c r="B16" s="397"/>
      <c r="C16" s="398" t="s">
        <v>3402</v>
      </c>
      <c r="D16" s="399"/>
      <c r="E16" s="398" t="s">
        <v>3402</v>
      </c>
      <c r="F16" s="400"/>
      <c r="G16" s="398" t="s">
        <v>3402</v>
      </c>
      <c r="H16" s="401"/>
      <c r="I16" s="398" t="s">
        <v>3402</v>
      </c>
      <c r="J16" s="399"/>
      <c r="K16" s="564"/>
      <c r="L16" s="2720"/>
      <c r="M16" s="2714"/>
      <c r="N16" s="2714"/>
      <c r="O16" s="2714"/>
      <c r="P16" s="3706"/>
      <c r="Q16" s="1352"/>
      <c r="R16" s="705"/>
      <c r="S16" s="706"/>
      <c r="T16" s="705"/>
      <c r="U16" s="706"/>
      <c r="V16" s="705"/>
      <c r="W16" s="706"/>
      <c r="X16" s="1355"/>
      <c r="Y16" s="3708"/>
      <c r="Z16" s="1356"/>
      <c r="AA16" s="1353">
        <v>1</v>
      </c>
      <c r="AB16" s="1353">
        <v>1</v>
      </c>
      <c r="AC16" s="1353">
        <v>1</v>
      </c>
    </row>
    <row r="17" spans="1:29" ht="15">
      <c r="A17" s="379"/>
      <c r="B17" s="402" t="s">
        <v>1257</v>
      </c>
      <c r="C17" s="1900" t="str">
        <f>估价对象房地状况!C6</f>
        <v>一般</v>
      </c>
      <c r="D17" s="401">
        <v>100</v>
      </c>
      <c r="E17" s="403" t="s">
        <v>3405</v>
      </c>
      <c r="F17" s="404">
        <f>SUMIF(78:78,E18,79:79)-SUMIF(78:78,C18,79:79)+100</f>
        <v>100</v>
      </c>
      <c r="G17" s="403" t="s">
        <v>3405</v>
      </c>
      <c r="H17" s="406">
        <f>SUMIF(78:78,G18,79:79)-SUMIF(78:78,C18,79:79)+100</f>
        <v>100</v>
      </c>
      <c r="I17" s="393" t="s">
        <v>3402</v>
      </c>
      <c r="J17" s="406">
        <f>SUMIF(78:78,I18,79:79)-SUMIF(78:78,C18,79:79)+100</f>
        <v>102</v>
      </c>
      <c r="K17" s="563">
        <v>2</v>
      </c>
      <c r="L17" s="2720"/>
      <c r="M17" s="2714"/>
      <c r="N17" s="2714"/>
      <c r="O17" s="2714"/>
      <c r="P17" s="3706"/>
      <c r="Q17" s="1352" t="str">
        <f>B17</f>
        <v>交通便捷度</v>
      </c>
      <c r="R17" s="705" t="s">
        <v>14</v>
      </c>
      <c r="S17" s="706">
        <f>F17</f>
        <v>100</v>
      </c>
      <c r="T17" s="705" t="s">
        <v>14</v>
      </c>
      <c r="U17" s="706">
        <f>H17</f>
        <v>100</v>
      </c>
      <c r="V17" s="705" t="s">
        <v>14</v>
      </c>
      <c r="W17" s="706">
        <f>J17</f>
        <v>102</v>
      </c>
      <c r="X17" s="1355"/>
      <c r="Y17" s="3708"/>
      <c r="Z17" s="1356" t="str">
        <f>Q17</f>
        <v>交通便捷度</v>
      </c>
      <c r="AA17" s="1353">
        <f t="shared" si="3"/>
        <v>1</v>
      </c>
      <c r="AB17" s="1353">
        <f t="shared" si="4"/>
        <v>1</v>
      </c>
      <c r="AC17" s="1353">
        <f t="shared" si="5"/>
        <v>0.98039215686274506</v>
      </c>
    </row>
    <row r="18" spans="1:29" ht="15">
      <c r="A18" s="379"/>
      <c r="B18" s="407"/>
      <c r="C18" s="1901" t="s">
        <v>3405</v>
      </c>
      <c r="D18" s="401"/>
      <c r="E18" s="1903" t="s">
        <v>3405</v>
      </c>
      <c r="F18" s="404"/>
      <c r="G18" s="1903" t="s">
        <v>3405</v>
      </c>
      <c r="H18" s="399"/>
      <c r="I18" s="398" t="s">
        <v>3402</v>
      </c>
      <c r="J18" s="399"/>
      <c r="K18" s="564"/>
      <c r="L18" s="2720"/>
      <c r="M18" s="2714"/>
      <c r="N18" s="2714"/>
      <c r="O18" s="2714"/>
      <c r="P18" s="3706"/>
      <c r="Q18" s="1352"/>
      <c r="R18" s="705"/>
      <c r="S18" s="706"/>
      <c r="T18" s="705"/>
      <c r="U18" s="706"/>
      <c r="V18" s="705"/>
      <c r="W18" s="706"/>
      <c r="X18" s="1355"/>
      <c r="Y18" s="3708"/>
      <c r="Z18" s="1356"/>
      <c r="AA18" s="1353">
        <v>1</v>
      </c>
      <c r="AB18" s="1353">
        <v>1</v>
      </c>
      <c r="AC18" s="1353">
        <v>1</v>
      </c>
    </row>
    <row r="19" spans="1:29" ht="15">
      <c r="A19" s="379"/>
      <c r="B19" s="402" t="s">
        <v>1776</v>
      </c>
      <c r="C19" s="1900" t="str">
        <f>估价对象房地状况!C7</f>
        <v>较好</v>
      </c>
      <c r="D19" s="406">
        <v>100</v>
      </c>
      <c r="E19" s="408" t="s">
        <v>3402</v>
      </c>
      <c r="F19" s="409">
        <f>SUMIF(80:80,E20,81:81)-SUMIF(80:80,C20,81:81)+100</f>
        <v>100</v>
      </c>
      <c r="G19" s="408" t="s">
        <v>3402</v>
      </c>
      <c r="H19" s="401">
        <f>SUMIF(80:80,G20,81:81)-SUMIF(80:80,C20,81:81)+100</f>
        <v>100</v>
      </c>
      <c r="I19" s="408" t="s">
        <v>3402</v>
      </c>
      <c r="J19" s="401">
        <f>SUMIF(80:80,I20,81:81)-SUMIF(80:80,C20,81:81)+100</f>
        <v>100</v>
      </c>
      <c r="K19" s="563">
        <v>2</v>
      </c>
      <c r="L19" s="2720"/>
      <c r="M19" s="2714"/>
      <c r="N19" s="2714"/>
      <c r="O19" s="2714"/>
      <c r="P19" s="3706"/>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353">
        <f t="shared" si="5"/>
        <v>1</v>
      </c>
    </row>
    <row r="20" spans="1:29" ht="15">
      <c r="A20" s="379"/>
      <c r="B20" s="407"/>
      <c r="C20" s="398" t="s">
        <v>3402</v>
      </c>
      <c r="D20" s="399"/>
      <c r="E20" s="1898" t="s">
        <v>3402</v>
      </c>
      <c r="F20" s="400"/>
      <c r="G20" s="1898" t="s">
        <v>3402</v>
      </c>
      <c r="H20" s="399"/>
      <c r="I20" s="1898" t="s">
        <v>3402</v>
      </c>
      <c r="J20" s="399"/>
      <c r="K20" s="564"/>
      <c r="L20" s="2720"/>
      <c r="M20" s="2714"/>
      <c r="N20" s="2714"/>
      <c r="O20" s="2714"/>
      <c r="P20" s="3706"/>
      <c r="Q20" s="1352"/>
      <c r="R20" s="705"/>
      <c r="S20" s="706"/>
      <c r="T20" s="705"/>
      <c r="U20" s="706"/>
      <c r="V20" s="705"/>
      <c r="W20" s="706"/>
      <c r="X20" s="1355"/>
      <c r="Y20" s="3708"/>
      <c r="Z20" s="1356"/>
      <c r="AA20" s="1353">
        <v>1</v>
      </c>
      <c r="AB20" s="1353">
        <v>1</v>
      </c>
      <c r="AC20" s="1353">
        <v>1</v>
      </c>
    </row>
    <row r="21" spans="1:29" ht="15">
      <c r="A21" s="379"/>
      <c r="B21" s="1131" t="s">
        <v>1777</v>
      </c>
      <c r="C21" s="1900" t="str">
        <f>估价对象房地状况!C8</f>
        <v>七通</v>
      </c>
      <c r="D21" s="406">
        <v>100</v>
      </c>
      <c r="E21" s="408" t="s">
        <v>3409</v>
      </c>
      <c r="F21" s="409">
        <f>SUMIF(82:82,E22,83:83)-SUMIF(82:82,C22,83:83)+100</f>
        <v>100</v>
      </c>
      <c r="G21" s="408" t="s">
        <v>3409</v>
      </c>
      <c r="H21" s="401">
        <f>SUMIF(82:82,G22,83:83)-SUMIF(82:82,C22,83:83)+100</f>
        <v>100</v>
      </c>
      <c r="I21" s="408" t="s">
        <v>3409</v>
      </c>
      <c r="J21" s="401">
        <f>SUMIF(82:82,I22,83:83)-SUMIF(82:82,C22,83:83)+100</f>
        <v>100</v>
      </c>
      <c r="K21" s="563">
        <v>1</v>
      </c>
      <c r="L21" s="2720"/>
      <c r="M21" s="2714"/>
      <c r="N21" s="2714"/>
      <c r="O21" s="2714"/>
      <c r="P21" s="3706"/>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t="s">
        <v>3409</v>
      </c>
      <c r="D22" s="399"/>
      <c r="E22" s="398" t="s">
        <v>3409</v>
      </c>
      <c r="F22" s="400"/>
      <c r="G22" s="398" t="s">
        <v>3409</v>
      </c>
      <c r="H22" s="399"/>
      <c r="I22" s="398" t="s">
        <v>3409</v>
      </c>
      <c r="J22" s="399"/>
      <c r="K22" s="1130"/>
      <c r="L22" s="2720"/>
      <c r="M22" s="2714"/>
      <c r="N22" s="2714"/>
      <c r="O22" s="2714"/>
      <c r="P22" s="3706"/>
      <c r="Q22" s="1352"/>
      <c r="R22" s="705"/>
      <c r="S22" s="706"/>
      <c r="T22" s="705"/>
      <c r="U22" s="706"/>
      <c r="V22" s="705"/>
      <c r="W22" s="706"/>
      <c r="X22" s="1355"/>
      <c r="Y22" s="3708"/>
      <c r="Z22" s="1356"/>
      <c r="AA22" s="1353">
        <v>1</v>
      </c>
      <c r="AB22" s="1353">
        <v>1</v>
      </c>
      <c r="AC22" s="1353">
        <v>1</v>
      </c>
    </row>
    <row r="23" spans="1:29" ht="15">
      <c r="A23" s="379"/>
      <c r="B23" s="402" t="s">
        <v>1259</v>
      </c>
      <c r="C23" s="1955" t="str">
        <f>估价对象房地状况!C9</f>
        <v>一般</v>
      </c>
      <c r="D23" s="401">
        <v>100</v>
      </c>
      <c r="E23" s="403" t="s">
        <v>3405</v>
      </c>
      <c r="F23" s="404">
        <f>SUMIF(84:84,E24,85:85)-SUMIF(84:84,C24,85:85)+100</f>
        <v>100</v>
      </c>
      <c r="G23" s="403" t="s">
        <v>3405</v>
      </c>
      <c r="H23" s="401">
        <f>SUMIF(84:84,G24,85:85)-SUMIF(84:84,C24,85:85)+100</f>
        <v>100</v>
      </c>
      <c r="I23" s="403" t="s">
        <v>3405</v>
      </c>
      <c r="J23" s="401">
        <f>SUMIF(84:84,I24,85:85)-SUMIF(84:84,C24,85:85)+100</f>
        <v>100</v>
      </c>
      <c r="K23" s="563">
        <v>2</v>
      </c>
      <c r="L23" s="2720"/>
      <c r="M23" s="2714"/>
      <c r="N23" s="2714"/>
      <c r="O23" s="2714"/>
      <c r="P23" s="3706"/>
      <c r="Q23" s="1352" t="str">
        <f>B23</f>
        <v>自然及人文环境</v>
      </c>
      <c r="R23" s="705" t="s">
        <v>14</v>
      </c>
      <c r="S23" s="706">
        <f>F23</f>
        <v>100</v>
      </c>
      <c r="T23" s="705" t="s">
        <v>14</v>
      </c>
      <c r="U23" s="706">
        <f>H23</f>
        <v>100</v>
      </c>
      <c r="V23" s="705" t="s">
        <v>14</v>
      </c>
      <c r="W23" s="706">
        <f>J23</f>
        <v>100</v>
      </c>
      <c r="X23" s="1355"/>
      <c r="Y23" s="3708"/>
      <c r="Z23" s="1356" t="str">
        <f>Q23</f>
        <v>自然及人文环境</v>
      </c>
      <c r="AA23" s="1353">
        <f t="shared" si="3"/>
        <v>1</v>
      </c>
      <c r="AB23" s="1353">
        <f t="shared" si="4"/>
        <v>1</v>
      </c>
      <c r="AC23" s="1353">
        <f t="shared" si="5"/>
        <v>1</v>
      </c>
    </row>
    <row r="24" spans="1:29" ht="15">
      <c r="A24" s="379"/>
      <c r="B24" s="407"/>
      <c r="C24" s="398" t="s">
        <v>3405</v>
      </c>
      <c r="D24" s="399"/>
      <c r="E24" s="1898" t="s">
        <v>3405</v>
      </c>
      <c r="F24" s="400"/>
      <c r="G24" s="1898" t="s">
        <v>3405</v>
      </c>
      <c r="H24" s="399"/>
      <c r="I24" s="1898" t="s">
        <v>3405</v>
      </c>
      <c r="J24" s="399"/>
      <c r="K24" s="564"/>
      <c r="L24" s="2720"/>
      <c r="M24" s="2714"/>
      <c r="N24" s="2714"/>
      <c r="O24" s="2714"/>
      <c r="P24" s="3706"/>
      <c r="Q24" s="1352"/>
      <c r="R24" s="705"/>
      <c r="S24" s="706"/>
      <c r="T24" s="705"/>
      <c r="U24" s="706"/>
      <c r="V24" s="705"/>
      <c r="W24" s="706"/>
      <c r="X24" s="1355"/>
      <c r="Y24" s="3708"/>
      <c r="Z24" s="1356"/>
      <c r="AA24" s="1353">
        <v>1</v>
      </c>
      <c r="AB24" s="1353">
        <v>1</v>
      </c>
      <c r="AC24" s="1353">
        <v>1</v>
      </c>
    </row>
    <row r="25" spans="1:29" ht="15">
      <c r="A25" s="379"/>
      <c r="B25" s="375" t="s">
        <v>1778</v>
      </c>
      <c r="C25" s="565" t="s">
        <v>3509</v>
      </c>
      <c r="D25" s="386">
        <v>100</v>
      </c>
      <c r="E25" s="565" t="s">
        <v>3509</v>
      </c>
      <c r="F25" s="412">
        <f>SUMIF(86:86,E25,87:87)-SUMIF(86:86,C25,87:87)+100</f>
        <v>100</v>
      </c>
      <c r="G25" s="565" t="s">
        <v>3509</v>
      </c>
      <c r="H25" s="386">
        <f>SUMIF(86:86,G25,87:87)-SUMIF(86:86,C25,87:87)+100</f>
        <v>100</v>
      </c>
      <c r="I25" s="565" t="s">
        <v>3509</v>
      </c>
      <c r="J25" s="386">
        <f>SUMIF(86:86,I25,87:87)-SUMIF(86:86,C25,87:87)+100</f>
        <v>100</v>
      </c>
      <c r="K25" s="561">
        <v>5</v>
      </c>
      <c r="L25" s="2720"/>
      <c r="M25" s="2714"/>
      <c r="N25" s="2714"/>
      <c r="O25" s="2714"/>
      <c r="P25" s="3706"/>
      <c r="Q25" s="1352" t="str">
        <f t="shared" ref="Q25:Q46" si="11">B25</f>
        <v>临街状况</v>
      </c>
      <c r="R25" s="705" t="s">
        <v>14</v>
      </c>
      <c r="S25" s="706">
        <f>F25</f>
        <v>100</v>
      </c>
      <c r="T25" s="705" t="s">
        <v>14</v>
      </c>
      <c r="U25" s="706">
        <f>H25</f>
        <v>100</v>
      </c>
      <c r="V25" s="705" t="s">
        <v>14</v>
      </c>
      <c r="W25" s="706">
        <f>J25</f>
        <v>100</v>
      </c>
      <c r="X25" s="1355"/>
      <c r="Y25" s="3708"/>
      <c r="Z25" s="1356" t="str">
        <f>Q25</f>
        <v>临街状况</v>
      </c>
      <c r="AA25" s="1353">
        <f t="shared" si="3"/>
        <v>1</v>
      </c>
      <c r="AB25" s="1353">
        <f t="shared" si="4"/>
        <v>1</v>
      </c>
      <c r="AC25" s="1353">
        <f t="shared" si="5"/>
        <v>1</v>
      </c>
    </row>
    <row r="26" spans="1:29" ht="15">
      <c r="A26" s="379"/>
      <c r="B26" s="1133" t="s">
        <v>1779</v>
      </c>
      <c r="C26" s="3504" t="s">
        <v>3513</v>
      </c>
      <c r="D26" s="386">
        <v>100</v>
      </c>
      <c r="E26" s="385" t="s">
        <v>3402</v>
      </c>
      <c r="F26" s="412">
        <f>SUMIF(88:88,E26,89:89)-SUMIF(88:88,C26,89:89)+100</f>
        <v>100</v>
      </c>
      <c r="G26" s="385" t="s">
        <v>3402</v>
      </c>
      <c r="H26" s="386">
        <f>SUMIF(88:88,G26,89:89)-SUMIF(88:88,C26,89:89)+100</f>
        <v>100</v>
      </c>
      <c r="I26" s="385" t="s">
        <v>3402</v>
      </c>
      <c r="J26" s="386">
        <f>SUMIF(88:88,I26,89:89)-SUMIF(88:88,C26,89:89)+100</f>
        <v>100</v>
      </c>
      <c r="K26" s="562"/>
      <c r="L26" s="2720"/>
      <c r="M26" s="2714"/>
      <c r="N26" s="2714"/>
      <c r="O26" s="2714"/>
      <c r="P26" s="3706"/>
      <c r="Q26" s="1352" t="str">
        <f t="shared" si="11"/>
        <v>平面位置/可视性</v>
      </c>
      <c r="R26" s="705" t="s">
        <v>14</v>
      </c>
      <c r="S26" s="706">
        <f>F26</f>
        <v>100</v>
      </c>
      <c r="T26" s="705" t="s">
        <v>14</v>
      </c>
      <c r="U26" s="706">
        <f>H26</f>
        <v>100</v>
      </c>
      <c r="V26" s="705" t="s">
        <v>14</v>
      </c>
      <c r="W26" s="706">
        <f>J26</f>
        <v>100</v>
      </c>
      <c r="X26" s="1355"/>
      <c r="Y26" s="3708"/>
      <c r="Z26" s="1356" t="str">
        <f>Q26</f>
        <v>平面位置/可视性</v>
      </c>
      <c r="AA26" s="1353">
        <f t="shared" si="3"/>
        <v>1</v>
      </c>
      <c r="AB26" s="1353">
        <f t="shared" si="4"/>
        <v>1</v>
      </c>
      <c r="AC26" s="1353">
        <f t="shared" si="5"/>
        <v>1</v>
      </c>
    </row>
    <row r="27" spans="1:29" s="108" customFormat="1" ht="15">
      <c r="A27" s="382"/>
      <c r="B27" s="402" t="s">
        <v>1780</v>
      </c>
      <c r="C27" s="1956" t="s">
        <v>3405</v>
      </c>
      <c r="D27" s="413">
        <v>100</v>
      </c>
      <c r="E27" s="1956" t="s">
        <v>3405</v>
      </c>
      <c r="F27" s="415">
        <f>SUMIF(90:90,E27,91:91)-SUMIF(90:90,C27,91:91)+100</f>
        <v>100</v>
      </c>
      <c r="G27" s="1956" t="s">
        <v>3405</v>
      </c>
      <c r="H27" s="413">
        <f>SUMIF(90:90,G27,91:91)-SUMIF(90:90,C27,91:91)+100</f>
        <v>100</v>
      </c>
      <c r="I27" s="1956" t="s">
        <v>3518</v>
      </c>
      <c r="J27" s="413">
        <f>SUMIF(90:90,I27,91:91)-SUMIF(90:90,C27,91:91)+100</f>
        <v>102</v>
      </c>
      <c r="K27" s="561">
        <v>2</v>
      </c>
      <c r="L27" s="2715"/>
      <c r="M27" s="2716"/>
      <c r="N27" s="2716"/>
      <c r="O27" s="2716"/>
      <c r="P27" s="3706"/>
      <c r="Q27" s="1343" t="str">
        <f t="shared" si="11"/>
        <v>人流量</v>
      </c>
      <c r="R27" s="701" t="s">
        <v>14</v>
      </c>
      <c r="S27" s="702">
        <f>F27</f>
        <v>100</v>
      </c>
      <c r="T27" s="701" t="s">
        <v>14</v>
      </c>
      <c r="U27" s="702">
        <f>H27</f>
        <v>100</v>
      </c>
      <c r="V27" s="701" t="s">
        <v>14</v>
      </c>
      <c r="W27" s="702">
        <f>J27</f>
        <v>102</v>
      </c>
      <c r="X27" s="703"/>
      <c r="Y27" s="3708"/>
      <c r="Z27" s="52" t="str">
        <f>Q27</f>
        <v>人流量</v>
      </c>
      <c r="AA27" s="1353">
        <f>D27/F27</f>
        <v>1</v>
      </c>
      <c r="AB27" s="1353">
        <f>D27/H27</f>
        <v>1</v>
      </c>
      <c r="AC27" s="1353">
        <f>D27/J27</f>
        <v>0.98039215686274506</v>
      </c>
    </row>
    <row r="28" spans="1:29" ht="15.75" thickBot="1">
      <c r="A28" s="379"/>
      <c r="B28" s="375" t="s">
        <v>1781</v>
      </c>
      <c r="C28" s="565" t="s">
        <v>3542</v>
      </c>
      <c r="D28" s="386">
        <v>100</v>
      </c>
      <c r="E28" s="565" t="s">
        <v>3542</v>
      </c>
      <c r="F28" s="412">
        <f>SUMIF(92:92,E28,93:93)-SUMIF(92:92,C28,93:93)+100</f>
        <v>100</v>
      </c>
      <c r="G28" s="565" t="s">
        <v>3542</v>
      </c>
      <c r="H28" s="386">
        <f>SUMIF(92:92,G28,93:93)-SUMIF(92:92,C28,93:93)+100</f>
        <v>100</v>
      </c>
      <c r="I28" s="565" t="s">
        <v>3542</v>
      </c>
      <c r="J28" s="386">
        <f>SUMIF(92:92,I28,93:93)-SUMIF(92:92,C28,93:93)+100</f>
        <v>100</v>
      </c>
      <c r="K28" s="562"/>
      <c r="L28" s="2720"/>
      <c r="M28" s="2714"/>
      <c r="N28" s="2714"/>
      <c r="O28" s="2714"/>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8"/>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6"/>
      <c r="Q29" s="1352">
        <f t="shared" si="11"/>
        <v>111</v>
      </c>
      <c r="R29" s="705" t="s">
        <v>14</v>
      </c>
      <c r="S29" s="706">
        <f t="shared" si="12"/>
        <v>100</v>
      </c>
      <c r="T29" s="705" t="s">
        <v>14</v>
      </c>
      <c r="U29" s="706">
        <f t="shared" si="13"/>
        <v>100</v>
      </c>
      <c r="V29" s="705" t="s">
        <v>14</v>
      </c>
      <c r="W29" s="706">
        <f t="shared" si="14"/>
        <v>100</v>
      </c>
      <c r="X29" s="1355"/>
      <c r="Y29" s="3708"/>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6"/>
      <c r="Q30" s="1352">
        <f t="shared" si="11"/>
        <v>111</v>
      </c>
      <c r="R30" s="705" t="s">
        <v>14</v>
      </c>
      <c r="S30" s="706">
        <f t="shared" si="12"/>
        <v>100</v>
      </c>
      <c r="T30" s="705" t="s">
        <v>14</v>
      </c>
      <c r="U30" s="706">
        <f t="shared" si="13"/>
        <v>100</v>
      </c>
      <c r="V30" s="705" t="s">
        <v>14</v>
      </c>
      <c r="W30" s="706">
        <f t="shared" si="14"/>
        <v>100</v>
      </c>
      <c r="X30" s="1355"/>
      <c r="Y30" s="3708"/>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6"/>
      <c r="Q31" s="1352">
        <f t="shared" si="11"/>
        <v>111</v>
      </c>
      <c r="R31" s="705" t="s">
        <v>14</v>
      </c>
      <c r="S31" s="706">
        <f t="shared" si="12"/>
        <v>100</v>
      </c>
      <c r="T31" s="705" t="s">
        <v>14</v>
      </c>
      <c r="U31" s="706">
        <f t="shared" si="13"/>
        <v>100</v>
      </c>
      <c r="V31" s="705" t="s">
        <v>14</v>
      </c>
      <c r="W31" s="706">
        <f t="shared" si="14"/>
        <v>100</v>
      </c>
      <c r="X31" s="1355"/>
      <c r="Y31" s="3708"/>
      <c r="Z31" s="1356">
        <f t="shared" si="15"/>
        <v>111</v>
      </c>
      <c r="AA31" s="1353">
        <f t="shared" si="3"/>
        <v>1</v>
      </c>
      <c r="AB31" s="1353">
        <f t="shared" si="4"/>
        <v>1</v>
      </c>
      <c r="AC31" s="1353">
        <f t="shared" si="5"/>
        <v>1</v>
      </c>
    </row>
    <row r="32" spans="1:29" ht="15">
      <c r="A32" s="391" t="s">
        <v>1692</v>
      </c>
      <c r="B32" s="63" t="s">
        <v>1782</v>
      </c>
      <c r="C32" s="1910" t="s">
        <v>3524</v>
      </c>
      <c r="D32" s="418">
        <v>100</v>
      </c>
      <c r="E32" s="1910" t="s">
        <v>3524</v>
      </c>
      <c r="F32" s="412">
        <f>SUMIF(100:100,E32,101:101)-SUMIF(100:100,C32,101:101)+100</f>
        <v>100</v>
      </c>
      <c r="G32" s="1910" t="s">
        <v>3524</v>
      </c>
      <c r="H32" s="386">
        <f>SUMIF(100:100,G32,101:101)-SUMIF(100:100,C32,101:101)+100</f>
        <v>100</v>
      </c>
      <c r="I32" s="1910" t="s">
        <v>3524</v>
      </c>
      <c r="J32" s="418">
        <f>SUMIF(100:100,I32,101:101)-SUMIF(100:100,C32,101:101)+100</f>
        <v>100</v>
      </c>
      <c r="K32" s="561">
        <v>5</v>
      </c>
      <c r="L32" s="2720"/>
      <c r="M32" s="2714"/>
      <c r="N32" s="2714"/>
      <c r="O32" s="2714"/>
      <c r="P32" s="3709" t="s">
        <v>1694</v>
      </c>
      <c r="Q32" s="1352" t="str">
        <f t="shared" si="11"/>
        <v>商业类型</v>
      </c>
      <c r="R32" s="705" t="s">
        <v>14</v>
      </c>
      <c r="S32" s="706">
        <f t="shared" si="12"/>
        <v>100</v>
      </c>
      <c r="T32" s="705" t="s">
        <v>14</v>
      </c>
      <c r="U32" s="706">
        <f t="shared" si="13"/>
        <v>100</v>
      </c>
      <c r="V32" s="705" t="s">
        <v>14</v>
      </c>
      <c r="W32" s="706">
        <f t="shared" si="14"/>
        <v>100</v>
      </c>
      <c r="X32" s="1355"/>
      <c r="Y32" s="3712" t="s">
        <v>1694</v>
      </c>
      <c r="Z32" s="1356" t="str">
        <f t="shared" si="15"/>
        <v>商业类型</v>
      </c>
      <c r="AA32" s="1353">
        <f t="shared" si="3"/>
        <v>1</v>
      </c>
      <c r="AB32" s="1353">
        <f t="shared" si="4"/>
        <v>1</v>
      </c>
      <c r="AC32" s="1353">
        <f t="shared" si="5"/>
        <v>1</v>
      </c>
    </row>
    <row r="33" spans="1:29" s="422" customFormat="1" ht="15">
      <c r="A33" s="419"/>
      <c r="B33" s="375" t="s">
        <v>1695</v>
      </c>
      <c r="C33" s="420">
        <f>'数据-汇总表'!E3</f>
        <v>499.53</v>
      </c>
      <c r="D33" s="127">
        <v>100</v>
      </c>
      <c r="E33" s="381">
        <f>案例!C4</f>
        <v>219.74</v>
      </c>
      <c r="F33" s="376">
        <f>LOOKUP(E33,103:103,104:104)-LOOKUP(C33,103:103,104:104)+100</f>
        <v>102</v>
      </c>
      <c r="G33" s="380">
        <f>案例!C5</f>
        <v>279.10000000000002</v>
      </c>
      <c r="H33" s="127">
        <f>LOOKUP(G33,103:103,104:104)-LOOKUP(C33,103:103,104:104)+100</f>
        <v>102</v>
      </c>
      <c r="I33" s="380">
        <f>案例!C9</f>
        <v>359.48</v>
      </c>
      <c r="J33" s="127">
        <f>LOOKUP(I33,103:103,104:104)-LOOKUP(C33,103:103,104:104)+100</f>
        <v>100</v>
      </c>
      <c r="K33" s="562"/>
      <c r="L33" s="2719"/>
      <c r="M33" s="2721"/>
      <c r="N33" s="2721"/>
      <c r="O33" s="2721"/>
      <c r="P33" s="3710"/>
      <c r="Q33" s="707" t="str">
        <f t="shared" si="11"/>
        <v>项目建筑规模</v>
      </c>
      <c r="R33" s="708" t="s">
        <v>14</v>
      </c>
      <c r="S33" s="709">
        <f t="shared" si="12"/>
        <v>102</v>
      </c>
      <c r="T33" s="708" t="s">
        <v>14</v>
      </c>
      <c r="U33" s="709">
        <f t="shared" si="13"/>
        <v>102</v>
      </c>
      <c r="V33" s="708" t="s">
        <v>14</v>
      </c>
      <c r="W33" s="709">
        <f t="shared" si="14"/>
        <v>100</v>
      </c>
      <c r="X33" s="710"/>
      <c r="Y33" s="3712"/>
      <c r="Z33" s="711" t="str">
        <f t="shared" si="15"/>
        <v>项目建筑规模</v>
      </c>
      <c r="AA33" s="1353">
        <f t="shared" si="3"/>
        <v>0.98039215686274506</v>
      </c>
      <c r="AB33" s="1353">
        <f t="shared" si="4"/>
        <v>0.98039215686274506</v>
      </c>
      <c r="AC33" s="1353">
        <f t="shared" si="5"/>
        <v>1</v>
      </c>
    </row>
    <row r="34" spans="1:29" ht="15">
      <c r="A34" s="423"/>
      <c r="B34" s="375" t="s">
        <v>1696</v>
      </c>
      <c r="C34" s="3505" t="s">
        <v>3420</v>
      </c>
      <c r="D34" s="386">
        <v>100</v>
      </c>
      <c r="E34" s="3505" t="s">
        <v>3420</v>
      </c>
      <c r="F34" s="412">
        <f>SUMIF(105:105,E34,106:106)-SUMIF(105:105,C34,106:106)+100</f>
        <v>100</v>
      </c>
      <c r="G34" s="3505" t="s">
        <v>3420</v>
      </c>
      <c r="H34" s="386">
        <f>SUMIF(105:105,G34,106:106)-SUMIF(105:105,C34,106:106)+100</f>
        <v>100</v>
      </c>
      <c r="I34" s="3505" t="s">
        <v>3420</v>
      </c>
      <c r="J34" s="386">
        <f>SUMIF(105:105,I34,106:106)-SUMIF(105:105,C34,106:106)+100</f>
        <v>100</v>
      </c>
      <c r="K34" s="561">
        <v>2</v>
      </c>
      <c r="L34" s="2720"/>
      <c r="M34" s="2714"/>
      <c r="N34" s="2714"/>
      <c r="O34" s="2714"/>
      <c r="P34" s="3710"/>
      <c r="Q34" s="1352" t="str">
        <f t="shared" si="11"/>
        <v>建筑结构</v>
      </c>
      <c r="R34" s="705" t="s">
        <v>14</v>
      </c>
      <c r="S34" s="706">
        <f t="shared" si="12"/>
        <v>100</v>
      </c>
      <c r="T34" s="705" t="s">
        <v>14</v>
      </c>
      <c r="U34" s="706">
        <f t="shared" si="13"/>
        <v>100</v>
      </c>
      <c r="V34" s="705" t="s">
        <v>14</v>
      </c>
      <c r="W34" s="706">
        <f t="shared" si="14"/>
        <v>100</v>
      </c>
      <c r="X34" s="1355"/>
      <c r="Y34" s="3712"/>
      <c r="Z34" s="1356" t="str">
        <f t="shared" si="15"/>
        <v>建筑结构</v>
      </c>
      <c r="AA34" s="1353">
        <f t="shared" si="3"/>
        <v>1</v>
      </c>
      <c r="AB34" s="1353">
        <f t="shared" si="4"/>
        <v>1</v>
      </c>
      <c r="AC34" s="1353">
        <f t="shared" si="5"/>
        <v>1</v>
      </c>
    </row>
    <row r="35" spans="1:29" ht="15">
      <c r="A35" s="423"/>
      <c r="B35" s="375" t="s">
        <v>1783</v>
      </c>
      <c r="C35" s="1906" t="s">
        <v>3527</v>
      </c>
      <c r="D35" s="386">
        <v>100</v>
      </c>
      <c r="E35" s="1906" t="s">
        <v>3527</v>
      </c>
      <c r="F35" s="412">
        <f>SUMIF(107:107,E35,108:108)-SUMIF(107:107,C35,108:108)+100</f>
        <v>100</v>
      </c>
      <c r="G35" s="1906" t="s">
        <v>3527</v>
      </c>
      <c r="H35" s="386">
        <f>SUMIF(107:107,G35,108:108)-SUMIF(107:107,C35,108:108)+100</f>
        <v>100</v>
      </c>
      <c r="I35" s="1906" t="s">
        <v>3527</v>
      </c>
      <c r="J35" s="386">
        <f>SUMIF(107:107,I35,108:108)-SUMIF(107:107,C35,108:108)+100</f>
        <v>100</v>
      </c>
      <c r="K35" s="561">
        <v>2</v>
      </c>
      <c r="L35" s="2720"/>
      <c r="M35" s="2714"/>
      <c r="N35" s="2714"/>
      <c r="O35" s="2714"/>
      <c r="P35" s="3710"/>
      <c r="Q35" s="1352" t="str">
        <f t="shared" si="11"/>
        <v>公共部分装修</v>
      </c>
      <c r="R35" s="705" t="s">
        <v>14</v>
      </c>
      <c r="S35" s="706">
        <f t="shared" si="12"/>
        <v>100</v>
      </c>
      <c r="T35" s="705" t="s">
        <v>14</v>
      </c>
      <c r="U35" s="706">
        <f t="shared" si="13"/>
        <v>100</v>
      </c>
      <c r="V35" s="705" t="s">
        <v>14</v>
      </c>
      <c r="W35" s="706">
        <f t="shared" si="14"/>
        <v>100</v>
      </c>
      <c r="X35" s="1355"/>
      <c r="Y35" s="3712"/>
      <c r="Z35" s="1356" t="str">
        <f t="shared" si="15"/>
        <v>公共部分装修</v>
      </c>
      <c r="AA35" s="1353">
        <f t="shared" si="3"/>
        <v>1</v>
      </c>
      <c r="AB35" s="1353">
        <f t="shared" si="4"/>
        <v>1</v>
      </c>
      <c r="AC35" s="1353">
        <f t="shared" si="5"/>
        <v>1</v>
      </c>
    </row>
    <row r="36" spans="1:29" ht="15">
      <c r="A36" s="423"/>
      <c r="B36" s="375" t="s">
        <v>1784</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v>1</v>
      </c>
      <c r="L36" s="2720"/>
      <c r="M36" s="2714"/>
      <c r="N36" s="2714"/>
      <c r="O36" s="2714"/>
      <c r="P36" s="3710"/>
      <c r="Q36" s="1352" t="str">
        <f t="shared" si="11"/>
        <v>成新度</v>
      </c>
      <c r="R36" s="705" t="s">
        <v>14</v>
      </c>
      <c r="S36" s="706">
        <f t="shared" si="12"/>
        <v>100</v>
      </c>
      <c r="T36" s="705" t="s">
        <v>14</v>
      </c>
      <c r="U36" s="706">
        <f t="shared" si="13"/>
        <v>100</v>
      </c>
      <c r="V36" s="705" t="s">
        <v>14</v>
      </c>
      <c r="W36" s="706">
        <f t="shared" si="14"/>
        <v>100</v>
      </c>
      <c r="X36" s="1355"/>
      <c r="Y36" s="3712"/>
      <c r="Z36" s="1356" t="str">
        <f t="shared" si="15"/>
        <v>成新度</v>
      </c>
      <c r="AA36" s="1353">
        <f t="shared" si="3"/>
        <v>1</v>
      </c>
      <c r="AB36" s="1353">
        <f t="shared" si="4"/>
        <v>1</v>
      </c>
      <c r="AC36" s="1353">
        <f t="shared" si="5"/>
        <v>1</v>
      </c>
    </row>
    <row r="37" spans="1:29" s="108" customFormat="1" ht="15">
      <c r="A37" s="424"/>
      <c r="B37" s="375" t="s">
        <v>1785</v>
      </c>
      <c r="C37" s="1906" t="s">
        <v>3543</v>
      </c>
      <c r="D37" s="127">
        <v>100</v>
      </c>
      <c r="E37" s="1906" t="s">
        <v>3543</v>
      </c>
      <c r="F37" s="412">
        <f>SUMIF(112:112,E37,113:113)-SUMIF(112:112,C37,113:113)+100</f>
        <v>100</v>
      </c>
      <c r="G37" s="1906" t="s">
        <v>3543</v>
      </c>
      <c r="H37" s="386">
        <f>SUMIF(112:112,G37,113:113)-SUMIF(112:112,C37,113:113)+100</f>
        <v>100</v>
      </c>
      <c r="I37" s="1906" t="s">
        <v>3543</v>
      </c>
      <c r="J37" s="386">
        <f>SUMIF(112:112,I37,113:113)-SUMIF(112:112,C37,113:113)+100</f>
        <v>100</v>
      </c>
      <c r="K37" s="561">
        <v>1</v>
      </c>
      <c r="L37" s="2715"/>
      <c r="M37" s="2716"/>
      <c r="N37" s="2716"/>
      <c r="O37" s="2716"/>
      <c r="P37" s="3710"/>
      <c r="Q37" s="1343" t="str">
        <f t="shared" si="11"/>
        <v>市政基础设施</v>
      </c>
      <c r="R37" s="701" t="s">
        <v>14</v>
      </c>
      <c r="S37" s="702">
        <f t="shared" si="12"/>
        <v>100</v>
      </c>
      <c r="T37" s="701" t="s">
        <v>14</v>
      </c>
      <c r="U37" s="702">
        <f t="shared" si="13"/>
        <v>100</v>
      </c>
      <c r="V37" s="701" t="s">
        <v>14</v>
      </c>
      <c r="W37" s="702">
        <f t="shared" si="14"/>
        <v>100</v>
      </c>
      <c r="X37" s="703"/>
      <c r="Y37" s="3712"/>
      <c r="Z37" s="52" t="str">
        <f t="shared" si="15"/>
        <v>市政基础设施</v>
      </c>
      <c r="AA37" s="704">
        <f t="shared" si="3"/>
        <v>1</v>
      </c>
      <c r="AB37" s="704">
        <f t="shared" si="4"/>
        <v>1</v>
      </c>
      <c r="AC37" s="704">
        <f t="shared" si="5"/>
        <v>1</v>
      </c>
    </row>
    <row r="38" spans="1:29" ht="15">
      <c r="A38" s="423"/>
      <c r="B38" s="375" t="s">
        <v>1786</v>
      </c>
      <c r="C38" s="1906" t="s">
        <v>3532</v>
      </c>
      <c r="D38" s="386">
        <v>100</v>
      </c>
      <c r="E38" s="1906" t="s">
        <v>3532</v>
      </c>
      <c r="F38" s="412">
        <f>SUMIF(114:114,E38,115:115)-SUMIF(114:114,C38,115:115)+100</f>
        <v>100</v>
      </c>
      <c r="G38" s="1906" t="s">
        <v>3532</v>
      </c>
      <c r="H38" s="386">
        <f>SUMIF(114:114,G38,115:115)-SUMIF(114:114,C38,115:115)+100</f>
        <v>100</v>
      </c>
      <c r="I38" s="1906" t="s">
        <v>3532</v>
      </c>
      <c r="J38" s="386">
        <f>SUMIF(114:114,I38,115:115)-SUMIF(114:114,C38,115:115)+100</f>
        <v>100</v>
      </c>
      <c r="K38" s="561">
        <v>5</v>
      </c>
      <c r="L38" s="2720"/>
      <c r="M38" s="2714"/>
      <c r="N38" s="2714"/>
      <c r="O38" s="2714"/>
      <c r="P38" s="3710" t="s">
        <v>1694</v>
      </c>
      <c r="Q38" s="1352" t="str">
        <f t="shared" si="11"/>
        <v>业态</v>
      </c>
      <c r="R38" s="705" t="s">
        <v>14</v>
      </c>
      <c r="S38" s="706">
        <f t="shared" si="12"/>
        <v>100</v>
      </c>
      <c r="T38" s="705" t="s">
        <v>14</v>
      </c>
      <c r="U38" s="706">
        <f t="shared" si="13"/>
        <v>100</v>
      </c>
      <c r="V38" s="705" t="s">
        <v>14</v>
      </c>
      <c r="W38" s="706">
        <f t="shared" si="14"/>
        <v>100</v>
      </c>
      <c r="X38" s="1355"/>
      <c r="Y38" s="3712" t="s">
        <v>1694</v>
      </c>
      <c r="Z38" s="1356" t="str">
        <f t="shared" si="15"/>
        <v>业态</v>
      </c>
      <c r="AA38" s="1353">
        <f t="shared" si="3"/>
        <v>1</v>
      </c>
      <c r="AB38" s="1353">
        <f t="shared" si="4"/>
        <v>1</v>
      </c>
      <c r="AC38" s="1353">
        <f t="shared" si="5"/>
        <v>1</v>
      </c>
    </row>
    <row r="39" spans="1:29" ht="15">
      <c r="A39" s="423"/>
      <c r="B39" s="375" t="s">
        <v>1787</v>
      </c>
      <c r="C39" s="1906" t="s">
        <v>3534</v>
      </c>
      <c r="D39" s="386">
        <v>100</v>
      </c>
      <c r="E39" s="1906" t="s">
        <v>3536</v>
      </c>
      <c r="F39" s="412">
        <f>SUMIF(116:116,E39,117:117)-SUMIF(116:116,C39,117:117)+100</f>
        <v>95</v>
      </c>
      <c r="G39" s="1906" t="s">
        <v>3536</v>
      </c>
      <c r="H39" s="386">
        <f>SUMIF(116:116,G39,117:117)-SUMIF(116:116,C39,117:117)+100</f>
        <v>95</v>
      </c>
      <c r="I39" s="1906" t="s">
        <v>3536</v>
      </c>
      <c r="J39" s="386">
        <f>SUMIF(116:116,I39,117:117)-SUMIF(116:116,C39,117:117)+100</f>
        <v>95</v>
      </c>
      <c r="K39" s="561">
        <v>5</v>
      </c>
      <c r="L39" s="2720"/>
      <c r="M39" s="2714"/>
      <c r="N39" s="2714"/>
      <c r="O39" s="2714"/>
      <c r="P39" s="3710"/>
      <c r="Q39" s="1352" t="str">
        <f t="shared" si="11"/>
        <v>层高</v>
      </c>
      <c r="R39" s="705" t="s">
        <v>14</v>
      </c>
      <c r="S39" s="706">
        <f t="shared" si="12"/>
        <v>95</v>
      </c>
      <c r="T39" s="705" t="s">
        <v>14</v>
      </c>
      <c r="U39" s="706">
        <f t="shared" si="13"/>
        <v>95</v>
      </c>
      <c r="V39" s="705" t="s">
        <v>14</v>
      </c>
      <c r="W39" s="706">
        <f t="shared" si="14"/>
        <v>95</v>
      </c>
      <c r="X39" s="1355"/>
      <c r="Y39" s="3712"/>
      <c r="Z39" s="1356" t="str">
        <f t="shared" si="15"/>
        <v>层高</v>
      </c>
      <c r="AA39" s="1353">
        <f t="shared" si="3"/>
        <v>1.0526315789473684</v>
      </c>
      <c r="AB39" s="1353">
        <f t="shared" si="4"/>
        <v>1.0526315789473684</v>
      </c>
      <c r="AC39" s="1353">
        <f t="shared" si="5"/>
        <v>1.0526315789473684</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10"/>
      <c r="Q40" s="1352" t="str">
        <f t="shared" si="11"/>
        <v>单套建筑面积</v>
      </c>
      <c r="R40" s="705" t="s">
        <v>14</v>
      </c>
      <c r="S40" s="706">
        <f t="shared" si="12"/>
        <v>100</v>
      </c>
      <c r="T40" s="705" t="s">
        <v>14</v>
      </c>
      <c r="U40" s="706">
        <f t="shared" si="13"/>
        <v>100</v>
      </c>
      <c r="V40" s="705" t="s">
        <v>14</v>
      </c>
      <c r="W40" s="706">
        <f t="shared" si="14"/>
        <v>100</v>
      </c>
      <c r="X40" s="1355"/>
      <c r="Y40" s="3712"/>
      <c r="Z40" s="1356" t="str">
        <f t="shared" si="15"/>
        <v>单套建筑面积</v>
      </c>
      <c r="AA40" s="1353">
        <f t="shared" si="3"/>
        <v>1</v>
      </c>
      <c r="AB40" s="1353">
        <f t="shared" si="4"/>
        <v>1</v>
      </c>
      <c r="AC40" s="1353">
        <f t="shared" si="5"/>
        <v>1</v>
      </c>
    </row>
    <row r="41" spans="1:29" s="422" customFormat="1" ht="15">
      <c r="A41" s="419"/>
      <c r="B41" s="1354" t="s">
        <v>1789</v>
      </c>
      <c r="C41" s="565" t="s">
        <v>3539</v>
      </c>
      <c r="D41" s="386">
        <v>100</v>
      </c>
      <c r="E41" s="565" t="s">
        <v>3539</v>
      </c>
      <c r="F41" s="412">
        <f>SUMIF(120:120,E41,121:121)-SUMIF(120:120,C41,121:121)+100</f>
        <v>100</v>
      </c>
      <c r="G41" s="565" t="s">
        <v>3539</v>
      </c>
      <c r="H41" s="386">
        <f>SUMIF(120:120,G41,121:121)-SUMIF(120:120,C41,121:121)+100</f>
        <v>100</v>
      </c>
      <c r="I41" s="565" t="s">
        <v>3539</v>
      </c>
      <c r="J41" s="386">
        <f>SUMIF(120:120,I41,121:121)-SUMIF(120:120,C41,121:121)+100</f>
        <v>100</v>
      </c>
      <c r="K41" s="561">
        <v>2</v>
      </c>
      <c r="L41" s="2719"/>
      <c r="M41" s="2721"/>
      <c r="N41" s="2721"/>
      <c r="O41" s="2721"/>
      <c r="P41" s="3710"/>
      <c r="Q41" s="707" t="str">
        <f t="shared" si="11"/>
        <v>进深比</v>
      </c>
      <c r="R41" s="708" t="s">
        <v>14</v>
      </c>
      <c r="S41" s="709">
        <f t="shared" si="12"/>
        <v>100</v>
      </c>
      <c r="T41" s="708" t="s">
        <v>14</v>
      </c>
      <c r="U41" s="709">
        <f t="shared" si="13"/>
        <v>100</v>
      </c>
      <c r="V41" s="708" t="s">
        <v>14</v>
      </c>
      <c r="W41" s="709">
        <f t="shared" si="14"/>
        <v>100</v>
      </c>
      <c r="X41" s="710"/>
      <c r="Y41" s="3712"/>
      <c r="Z41" s="711" t="str">
        <f t="shared" si="15"/>
        <v>进深比</v>
      </c>
      <c r="AA41" s="1353">
        <f t="shared" si="3"/>
        <v>1</v>
      </c>
      <c r="AB41" s="1353">
        <f t="shared" si="4"/>
        <v>1</v>
      </c>
      <c r="AC41" s="1353">
        <f t="shared" si="5"/>
        <v>1</v>
      </c>
    </row>
    <row r="42" spans="1:29" ht="15">
      <c r="A42" s="423"/>
      <c r="B42" s="375" t="s">
        <v>1790</v>
      </c>
      <c r="C42" s="1906" t="s">
        <v>3529</v>
      </c>
      <c r="D42" s="386">
        <v>100</v>
      </c>
      <c r="E42" s="1906" t="s">
        <v>3529</v>
      </c>
      <c r="F42" s="412">
        <f>SUMIF(122:122,E42,123:123)-SUMIF(122:122,C42,123:123)+100</f>
        <v>100</v>
      </c>
      <c r="G42" s="1906" t="s">
        <v>3529</v>
      </c>
      <c r="H42" s="386">
        <f>SUMIF(122:122,G42,123:123)-SUMIF(122:122,C42,123:123)+100</f>
        <v>100</v>
      </c>
      <c r="I42" s="1906" t="s">
        <v>3529</v>
      </c>
      <c r="J42" s="386">
        <f>SUMIF(122:122,I42,123:123)-SUMIF(122:122,C42,123:123)+100</f>
        <v>100</v>
      </c>
      <c r="K42" s="561">
        <v>2</v>
      </c>
      <c r="L42" s="2720"/>
      <c r="M42" s="2714"/>
      <c r="N42" s="2714"/>
      <c r="O42" s="2714"/>
      <c r="P42" s="3710"/>
      <c r="Q42" s="1352" t="str">
        <f t="shared" si="11"/>
        <v>内部装修</v>
      </c>
      <c r="R42" s="705" t="s">
        <v>14</v>
      </c>
      <c r="S42" s="706">
        <f t="shared" si="12"/>
        <v>100</v>
      </c>
      <c r="T42" s="705" t="s">
        <v>14</v>
      </c>
      <c r="U42" s="706">
        <f t="shared" si="13"/>
        <v>100</v>
      </c>
      <c r="V42" s="705" t="s">
        <v>14</v>
      </c>
      <c r="W42" s="706">
        <f t="shared" si="14"/>
        <v>100</v>
      </c>
      <c r="X42" s="1355"/>
      <c r="Y42" s="3712"/>
      <c r="Z42" s="1356" t="str">
        <f t="shared" si="15"/>
        <v>内部装修</v>
      </c>
      <c r="AA42" s="1353">
        <f t="shared" si="3"/>
        <v>1</v>
      </c>
      <c r="AB42" s="1353">
        <f t="shared" si="4"/>
        <v>1</v>
      </c>
      <c r="AC42" s="1353">
        <f t="shared" si="5"/>
        <v>1</v>
      </c>
    </row>
    <row r="43" spans="1:29" ht="15.75" thickBot="1">
      <c r="A43" s="423"/>
      <c r="B43" s="375" t="s">
        <v>1705</v>
      </c>
      <c r="C43" s="1906" t="s">
        <v>3402</v>
      </c>
      <c r="D43" s="386">
        <v>100</v>
      </c>
      <c r="E43" s="1906" t="s">
        <v>3402</v>
      </c>
      <c r="F43" s="412">
        <f>SUMIF(124:124,E43,125:125)-SUMIF(124:124,C43,125:125)+100</f>
        <v>100</v>
      </c>
      <c r="G43" s="1906" t="s">
        <v>3402</v>
      </c>
      <c r="H43" s="386">
        <f>SUMIF(124:124,G43,125:125)-SUMIF(124:124,C43,125:125)+100</f>
        <v>100</v>
      </c>
      <c r="I43" s="1906" t="s">
        <v>3402</v>
      </c>
      <c r="J43" s="386">
        <f>SUMIF(124:124,I43,125:125)-SUMIF(124:124,C43,125:125)+100</f>
        <v>100</v>
      </c>
      <c r="K43" s="561">
        <v>2</v>
      </c>
      <c r="L43" s="2720"/>
      <c r="M43" s="2714"/>
      <c r="N43" s="2714"/>
      <c r="O43" s="2714"/>
      <c r="P43" s="3710"/>
      <c r="Q43" s="1352" t="str">
        <f t="shared" si="11"/>
        <v>内部装修维护情况</v>
      </c>
      <c r="R43" s="705" t="s">
        <v>14</v>
      </c>
      <c r="S43" s="706">
        <f t="shared" si="12"/>
        <v>100</v>
      </c>
      <c r="T43" s="705" t="s">
        <v>14</v>
      </c>
      <c r="U43" s="706">
        <f t="shared" si="13"/>
        <v>100</v>
      </c>
      <c r="V43" s="705" t="s">
        <v>14</v>
      </c>
      <c r="W43" s="706">
        <f t="shared" si="14"/>
        <v>100</v>
      </c>
      <c r="X43" s="1355"/>
      <c r="Y43" s="3712"/>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10"/>
      <c r="Q44" s="1343">
        <f t="shared" si="11"/>
        <v>111</v>
      </c>
      <c r="R44" s="701" t="s">
        <v>14</v>
      </c>
      <c r="S44" s="702">
        <f t="shared" si="12"/>
        <v>100</v>
      </c>
      <c r="T44" s="701" t="s">
        <v>14</v>
      </c>
      <c r="U44" s="702">
        <f t="shared" si="13"/>
        <v>100</v>
      </c>
      <c r="V44" s="701" t="s">
        <v>14</v>
      </c>
      <c r="W44" s="702">
        <f t="shared" si="14"/>
        <v>100</v>
      </c>
      <c r="X44" s="703"/>
      <c r="Y44" s="3712"/>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10"/>
      <c r="Q45" s="1352">
        <f t="shared" si="11"/>
        <v>111</v>
      </c>
      <c r="R45" s="705" t="s">
        <v>14</v>
      </c>
      <c r="S45" s="706">
        <f t="shared" si="12"/>
        <v>100</v>
      </c>
      <c r="T45" s="705" t="s">
        <v>14</v>
      </c>
      <c r="U45" s="706">
        <f t="shared" si="13"/>
        <v>100</v>
      </c>
      <c r="V45" s="705" t="s">
        <v>14</v>
      </c>
      <c r="W45" s="706">
        <f t="shared" si="14"/>
        <v>100</v>
      </c>
      <c r="X45" s="1355"/>
      <c r="Y45" s="3712"/>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11"/>
      <c r="Q46" s="1352">
        <f t="shared" si="11"/>
        <v>111</v>
      </c>
      <c r="R46" s="705" t="s">
        <v>14</v>
      </c>
      <c r="S46" s="706">
        <f t="shared" si="12"/>
        <v>100</v>
      </c>
      <c r="T46" s="705" t="s">
        <v>14</v>
      </c>
      <c r="U46" s="706">
        <f t="shared" si="13"/>
        <v>100</v>
      </c>
      <c r="V46" s="705" t="s">
        <v>14</v>
      </c>
      <c r="W46" s="706">
        <f t="shared" si="14"/>
        <v>100</v>
      </c>
      <c r="X46" s="1355"/>
      <c r="Y46" s="3713"/>
      <c r="Z46" s="1356">
        <f t="shared" si="15"/>
        <v>111</v>
      </c>
      <c r="AA46" s="1353">
        <f t="shared" si="3"/>
        <v>1</v>
      </c>
      <c r="AB46" s="1353">
        <f t="shared" si="4"/>
        <v>1</v>
      </c>
      <c r="AC46" s="1353">
        <f t="shared" si="5"/>
        <v>1</v>
      </c>
    </row>
    <row r="47" spans="1:29" ht="15">
      <c r="A47" s="430" t="s">
        <v>1706</v>
      </c>
      <c r="B47" s="431"/>
      <c r="C47" s="1154" t="s">
        <v>0</v>
      </c>
      <c r="D47" s="1155"/>
      <c r="E47" s="1156">
        <f>案例!B4</f>
        <v>36406</v>
      </c>
      <c r="F47" s="1157"/>
      <c r="G47" s="1158">
        <f>案例!B5</f>
        <v>31171</v>
      </c>
      <c r="H47" s="1159"/>
      <c r="I47" s="1156">
        <f>案例!B9</f>
        <v>35606</v>
      </c>
      <c r="J47" s="1159"/>
      <c r="K47" s="714"/>
      <c r="L47" s="2722"/>
      <c r="M47" s="2723"/>
      <c r="N47" s="2714"/>
      <c r="O47" s="2723"/>
      <c r="P47" s="3700" t="str">
        <f>A47</f>
        <v>成交单价（元/平方米）</v>
      </c>
      <c r="Q47" s="3700"/>
      <c r="R47" s="3714">
        <f>E47</f>
        <v>36406</v>
      </c>
      <c r="S47" s="3714"/>
      <c r="T47" s="3714">
        <f>G47</f>
        <v>31171</v>
      </c>
      <c r="U47" s="3714"/>
      <c r="V47" s="3714">
        <f>I47</f>
        <v>35606</v>
      </c>
      <c r="W47" s="3714"/>
      <c r="X47" s="690"/>
      <c r="Y47" s="712"/>
      <c r="Z47" s="690"/>
      <c r="AA47" s="690"/>
      <c r="AB47" s="690"/>
      <c r="AC47" s="690"/>
    </row>
    <row r="48" spans="1:29" ht="15.75" thickBot="1">
      <c r="A48" s="437" t="s">
        <v>1791</v>
      </c>
      <c r="B48" s="438"/>
      <c r="C48" s="1160">
        <f>R49</f>
        <v>32050</v>
      </c>
      <c r="D48" s="2317" t="s">
        <v>2136</v>
      </c>
      <c r="E48" s="1161">
        <f>R48</f>
        <v>34155</v>
      </c>
      <c r="F48" s="2318"/>
      <c r="G48" s="1160">
        <f>T48</f>
        <v>29244</v>
      </c>
      <c r="H48" s="2318"/>
      <c r="I48" s="1161">
        <f>V48</f>
        <v>32750</v>
      </c>
      <c r="J48" s="2318"/>
      <c r="K48" s="2320">
        <f>F48+H48+J48</f>
        <v>0</v>
      </c>
      <c r="L48" s="2722"/>
      <c r="M48" s="2723"/>
      <c r="N48" s="2714"/>
      <c r="O48" s="2723"/>
      <c r="P48" s="3700" t="str">
        <f>A48</f>
        <v>比较价值（元/平方米）</v>
      </c>
      <c r="Q48" s="3700"/>
      <c r="R48" s="3701">
        <f>IF(F1="售价",ROUND(PRODUCT(R47,AA7:AA46),0),ROUND(PRODUCT(R47,AA7:AA46),1))</f>
        <v>34155</v>
      </c>
      <c r="S48" s="3701"/>
      <c r="T48" s="3701">
        <f>IF(F1="售价",ROUND(PRODUCT(T47,AB7:AB46),0),ROUND(PRODUCT(T47,AB7:AB46),1))</f>
        <v>29244</v>
      </c>
      <c r="U48" s="3701"/>
      <c r="V48" s="3701">
        <f>IF(F1="售价",ROUND(PRODUCT(V47,AC7:AC46),0),ROUND(PRODUCT(V47,AC7:AC46),1))</f>
        <v>32750</v>
      </c>
      <c r="W48" s="3701"/>
      <c r="X48" s="690"/>
      <c r="Y48" s="690"/>
      <c r="Z48" s="690"/>
      <c r="AA48" s="690"/>
      <c r="AB48" s="690"/>
      <c r="AC48" s="690"/>
    </row>
    <row r="49" spans="1:29" ht="15.75" thickBot="1">
      <c r="A49" s="441" t="s">
        <v>1792</v>
      </c>
      <c r="B49" s="442"/>
      <c r="C49" s="1163">
        <f>R49</f>
        <v>32050</v>
      </c>
      <c r="D49" s="1163"/>
      <c r="E49" s="1163"/>
      <c r="F49" s="1163"/>
      <c r="G49" s="1163"/>
      <c r="H49" s="1163"/>
      <c r="I49" s="1163"/>
      <c r="J49" s="1163"/>
      <c r="K49" s="715"/>
      <c r="L49" s="2722"/>
      <c r="M49" s="2723"/>
      <c r="N49" s="2714"/>
      <c r="O49" s="2723"/>
      <c r="P49" s="3702" t="str">
        <f>A49</f>
        <v>估价对象XX用房的比较价值（楼面单价，元/平方米）</v>
      </c>
      <c r="Q49" s="3703"/>
      <c r="R49" s="3704">
        <f>IF(F1="售价",ROUND(IF(D48="简单平均",AVERAGE(R48:V48),R48*F48+T48*H48+V48*J48),0),ROUND(IF(D48="简单平均",AVERAGE(R48:V48),R48*F48+T48*H48+V48*J48),1))</f>
        <v>32050</v>
      </c>
      <c r="S49" s="3704"/>
      <c r="T49" s="3704"/>
      <c r="U49" s="3704"/>
      <c r="V49" s="3704"/>
      <c r="W49" s="370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1793</v>
      </c>
      <c r="D52" s="447"/>
      <c r="E52" s="448">
        <f>IF(E47&lt;E48,E48/E47-1,E47/E48-1)</f>
        <v>6.5905431122822433E-2</v>
      </c>
      <c r="F52" s="449" t="str">
        <f>IF(OR(E52&gt;=0.3,E52&lt;=-0.3),"超过30%","")</f>
        <v/>
      </c>
      <c r="G52" s="448">
        <f>IF(G47&lt;G48,G48/G47-1,G47/G48-1)</f>
        <v>6.5893858569279207E-2</v>
      </c>
      <c r="H52" s="449" t="str">
        <f>IF(OR(G52&gt;=0.3,G52&lt;=-0.3),"超过30%","")</f>
        <v/>
      </c>
      <c r="I52" s="448">
        <f>IF(I47&lt;I48,I48/I47-1,I47/I48-1)</f>
        <v>8.7206106870229005E-2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1794</v>
      </c>
      <c r="D53" s="450"/>
      <c r="E53" s="448">
        <f>IF(E48&lt;G48,G48/E48-1,E48/G48-1)</f>
        <v>0.16793188346327459</v>
      </c>
      <c r="F53" s="449" t="str">
        <f>IF(OR(E53&gt;=0.2,E53&lt;=-0.2),"超过20%","")</f>
        <v/>
      </c>
      <c r="G53" s="448">
        <f>IF(G48&lt;I48,I48/G48-1,G48/I48-1)</f>
        <v>0.11988784024073307</v>
      </c>
      <c r="H53" s="449" t="str">
        <f>IF(OR(G53&gt;=0.2,G53&lt;=-0.2),"超过20%","")</f>
        <v/>
      </c>
      <c r="I53" s="448">
        <f>IF(I48&lt;E48,E48/I48-1,I48/E48-1)</f>
        <v>4.2900763358778571E-2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1795</v>
      </c>
      <c r="D54" s="450"/>
      <c r="E54" s="448">
        <f>IF(E47&lt;G47,G47/E47-1,E47/G47-1)</f>
        <v>0.16794456385743151</v>
      </c>
      <c r="F54" s="449" t="str">
        <f>IF(OR(E54&gt;=0.3,E54&lt;=-0.3),"超过30%","")</f>
        <v/>
      </c>
      <c r="G54" s="448">
        <f>IF(G47&lt;I47,I47/G47-1,G47/I47-1)</f>
        <v>0.14227968303872185</v>
      </c>
      <c r="H54" s="449" t="str">
        <f>IF(OR(G54&gt;=0.3,G54&lt;=-0.3),"超过30%","")</f>
        <v/>
      </c>
      <c r="I54" s="448">
        <f>IF(I47&lt;E47,E47/I47-1,I47/E47-1)</f>
        <v>2.246812334999726E-2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1796</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1677</v>
      </c>
      <c r="B58" s="455"/>
      <c r="C58" s="1184" t="str">
        <f>YEAR(C7)&amp;"-"&amp;MONTH(C7)</f>
        <v>2024-7</v>
      </c>
      <c r="D58" s="1185">
        <f>EDATE(C58,-1)</f>
        <v>45444</v>
      </c>
      <c r="E58" s="1185">
        <f t="shared" ref="E58:N58" si="16">EDATE(D58,-1)</f>
        <v>45413</v>
      </c>
      <c r="F58" s="1185">
        <f t="shared" si="16"/>
        <v>45383</v>
      </c>
      <c r="G58" s="1185">
        <f t="shared" si="16"/>
        <v>45352</v>
      </c>
      <c r="H58" s="1185">
        <f t="shared" si="16"/>
        <v>45323</v>
      </c>
      <c r="I58" s="1185">
        <f t="shared" si="16"/>
        <v>45292</v>
      </c>
      <c r="J58" s="1185">
        <f t="shared" si="16"/>
        <v>45261</v>
      </c>
      <c r="K58" s="1185">
        <f t="shared" si="16"/>
        <v>45231</v>
      </c>
      <c r="L58" s="1185">
        <f t="shared" si="16"/>
        <v>45200</v>
      </c>
      <c r="M58" s="1185">
        <f t="shared" si="16"/>
        <v>45170</v>
      </c>
      <c r="N58" s="1185">
        <f t="shared" si="16"/>
        <v>45139</v>
      </c>
      <c r="O58" s="1185">
        <f>EDATE(N58,-1)</f>
        <v>45108</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1714</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1679</v>
      </c>
      <c r="B61" s="459"/>
      <c r="C61" s="471" t="s">
        <v>1774</v>
      </c>
      <c r="D61" s="3499" t="s">
        <v>3506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110</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1717</v>
      </c>
      <c r="B63" s="477" t="s">
        <v>1683</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1686</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1687</v>
      </c>
      <c r="C67" s="496" t="str">
        <f>C68&amp;"（含）"&amp;"-"&amp;D68</f>
        <v>0（含）-5</v>
      </c>
      <c r="D67" s="496" t="str">
        <f t="shared" ref="D67:L67" si="17">D68&amp;"（含）"&amp;"-"&amp;E68</f>
        <v>5（含）-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5</v>
      </c>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1688</v>
      </c>
      <c r="B76" s="477" t="s">
        <v>1718</v>
      </c>
      <c r="C76" s="522" t="s">
        <v>1719</v>
      </c>
      <c r="D76" s="522" t="s">
        <v>1720</v>
      </c>
      <c r="E76" s="522" t="s">
        <v>1721</v>
      </c>
      <c r="F76" s="522" t="s">
        <v>1722</v>
      </c>
      <c r="G76" s="522" t="s">
        <v>1723</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98</v>
      </c>
      <c r="E77" s="493">
        <f>D77-$K15</f>
        <v>96</v>
      </c>
      <c r="F77" s="493">
        <f>E77-$K15</f>
        <v>94</v>
      </c>
      <c r="G77" s="493">
        <f>F77-$K15</f>
        <v>92</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1724</v>
      </c>
      <c r="C78" s="527" t="s">
        <v>1719</v>
      </c>
      <c r="D78" s="527" t="s">
        <v>1720</v>
      </c>
      <c r="E78" s="527" t="s">
        <v>1721</v>
      </c>
      <c r="F78" s="527" t="s">
        <v>1722</v>
      </c>
      <c r="G78" s="527" t="s">
        <v>1723</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1725</v>
      </c>
      <c r="C80" s="527" t="s">
        <v>1719</v>
      </c>
      <c r="D80" s="527" t="s">
        <v>1720</v>
      </c>
      <c r="E80" s="527" t="s">
        <v>1721</v>
      </c>
      <c r="F80" s="527" t="s">
        <v>1722</v>
      </c>
      <c r="G80" s="527" t="s">
        <v>1723</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1777</v>
      </c>
      <c r="C82" s="608" t="s">
        <v>1797</v>
      </c>
      <c r="D82" s="608" t="s">
        <v>1798</v>
      </c>
      <c r="E82" s="608" t="s">
        <v>1799</v>
      </c>
      <c r="F82" s="608" t="s">
        <v>1800</v>
      </c>
      <c r="G82" s="608" t="s">
        <v>1801</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1731</v>
      </c>
      <c r="C84" s="527" t="s">
        <v>1719</v>
      </c>
      <c r="D84" s="527" t="s">
        <v>1720</v>
      </c>
      <c r="E84" s="527" t="s">
        <v>1721</v>
      </c>
      <c r="F84" s="527" t="s">
        <v>1722</v>
      </c>
      <c r="G84" s="527" t="s">
        <v>1723</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1802</v>
      </c>
      <c r="C86" s="3500" t="s">
        <v>3507</v>
      </c>
      <c r="D86" s="3500" t="s">
        <v>3508</v>
      </c>
      <c r="E86" s="3500" t="s">
        <v>3510</v>
      </c>
      <c r="F86" s="3500" t="s">
        <v>3511</v>
      </c>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3500" t="s">
        <v>3512</v>
      </c>
      <c r="D88" s="3500" t="s">
        <v>3513</v>
      </c>
      <c r="E88" s="3500" t="s">
        <v>3514</v>
      </c>
      <c r="F88" s="3501" t="s">
        <v>3515</v>
      </c>
      <c r="G88" s="3500" t="s">
        <v>3516</v>
      </c>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3500" t="s">
        <v>3517</v>
      </c>
      <c r="D90" s="3500" t="s">
        <v>3519</v>
      </c>
      <c r="E90" s="3500" t="s">
        <v>3520</v>
      </c>
      <c r="F90" s="3500" t="s">
        <v>3521</v>
      </c>
      <c r="G90" s="3500" t="s">
        <v>3522</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3523</v>
      </c>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1692</v>
      </c>
      <c r="B100" s="477" t="s">
        <v>1803</v>
      </c>
      <c r="C100" s="3502" t="s">
        <v>3525</v>
      </c>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1735</v>
      </c>
      <c r="C102" s="527" t="str">
        <f>C103&amp;"(含)"&amp;"-"&amp;D103</f>
        <v>0(含)-30</v>
      </c>
      <c r="D102" s="527" t="str">
        <f t="shared" ref="D102:L102" si="23">D103&amp;"(含)"&amp;"-"&amp;E103</f>
        <v>30(含)-60</v>
      </c>
      <c r="E102" s="527" t="str">
        <f t="shared" si="23"/>
        <v>60(含)-150</v>
      </c>
      <c r="F102" s="527" t="str">
        <f t="shared" si="23"/>
        <v>150(含)-300</v>
      </c>
      <c r="G102" s="527" t="str">
        <f t="shared" si="23"/>
        <v>300(含)-1000</v>
      </c>
      <c r="H102" s="527" t="str">
        <f t="shared" si="23"/>
        <v>1000(含)-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30</v>
      </c>
      <c r="E103" s="544">
        <v>60</v>
      </c>
      <c r="F103" s="544">
        <v>150</v>
      </c>
      <c r="G103" s="544">
        <v>300</v>
      </c>
      <c r="H103" s="544">
        <v>1000</v>
      </c>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1736</v>
      </c>
      <c r="C105" s="3500" t="s">
        <v>3526</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1738</v>
      </c>
      <c r="C107" s="3500" t="s">
        <v>3528</v>
      </c>
      <c r="D107" s="3500" t="s">
        <v>3530</v>
      </c>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1740</v>
      </c>
      <c r="C112" s="503" t="str">
        <f>C82</f>
        <v>七通</v>
      </c>
      <c r="D112" s="503" t="str">
        <f>D82</f>
        <v>六通</v>
      </c>
      <c r="E112" s="503" t="str">
        <f>E82</f>
        <v>五通</v>
      </c>
      <c r="F112" s="503" t="str">
        <f>F82</f>
        <v>四通</v>
      </c>
      <c r="G112" s="503" t="str">
        <f>G82</f>
        <v>三通</v>
      </c>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1804</v>
      </c>
      <c r="C114" s="3500" t="s">
        <v>3531</v>
      </c>
      <c r="D114" s="3500" t="s">
        <v>3533</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95</v>
      </c>
      <c r="E115" s="493">
        <f t="shared" si="28"/>
        <v>90</v>
      </c>
      <c r="F115" s="493">
        <f t="shared" si="28"/>
        <v>85</v>
      </c>
      <c r="G115" s="493">
        <f t="shared" si="28"/>
        <v>80</v>
      </c>
      <c r="H115" s="493">
        <f t="shared" si="28"/>
        <v>75</v>
      </c>
      <c r="I115" s="493">
        <f t="shared" si="28"/>
        <v>70</v>
      </c>
      <c r="J115" s="493">
        <f t="shared" si="28"/>
        <v>65</v>
      </c>
      <c r="K115" s="493">
        <f t="shared" si="28"/>
        <v>60</v>
      </c>
      <c r="L115" s="493">
        <f t="shared" si="28"/>
        <v>55</v>
      </c>
      <c r="M115" s="494">
        <f t="shared" si="28"/>
        <v>50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1805</v>
      </c>
      <c r="C116" s="3500" t="s">
        <v>3535</v>
      </c>
      <c r="D116" s="3500" t="s">
        <v>3537</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1806</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1807</v>
      </c>
      <c r="C120" s="3503" t="s">
        <v>3538</v>
      </c>
      <c r="D120" s="3503" t="s">
        <v>3540</v>
      </c>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1742</v>
      </c>
      <c r="C122" s="3500" t="s">
        <v>3541</v>
      </c>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I33"/>
  <sheetViews>
    <sheetView workbookViewId="0">
      <selection activeCell="H13" sqref="H13"/>
    </sheetView>
  </sheetViews>
  <sheetFormatPr defaultRowHeight="13.5"/>
  <cols>
    <col min="1" max="1" width="15.625" customWidth="1"/>
  </cols>
  <sheetData>
    <row r="1" spans="1:5">
      <c r="A1" s="3451" t="s">
        <v>3422</v>
      </c>
      <c r="B1" s="3451" t="s">
        <v>3432</v>
      </c>
      <c r="C1" s="3451" t="s">
        <v>3424</v>
      </c>
      <c r="D1" s="3451" t="s">
        <v>654</v>
      </c>
      <c r="E1" s="3451" t="s">
        <v>3424</v>
      </c>
    </row>
    <row r="2" spans="1:5">
      <c r="A2" s="3451" t="s">
        <v>3423</v>
      </c>
      <c r="B2">
        <v>46206</v>
      </c>
      <c r="C2">
        <v>212.09</v>
      </c>
    </row>
    <row r="3" spans="1:5">
      <c r="A3" s="3451" t="s">
        <v>3425</v>
      </c>
      <c r="B3">
        <v>91300</v>
      </c>
      <c r="C3">
        <v>34.83</v>
      </c>
    </row>
    <row r="4" spans="1:5" s="3497" customFormat="1">
      <c r="A4" s="3496" t="s">
        <v>3426</v>
      </c>
      <c r="B4" s="3497">
        <v>36406</v>
      </c>
      <c r="C4" s="3497">
        <v>219.74</v>
      </c>
      <c r="D4" s="3497">
        <v>5.7</v>
      </c>
      <c r="E4" s="3497">
        <v>69.19</v>
      </c>
    </row>
    <row r="5" spans="1:5" s="3497" customFormat="1">
      <c r="A5" s="3496" t="s">
        <v>3427</v>
      </c>
      <c r="B5" s="3497">
        <v>31171</v>
      </c>
      <c r="C5" s="3497">
        <v>279.10000000000002</v>
      </c>
    </row>
    <row r="6" spans="1:5" s="3498" customFormat="1">
      <c r="A6" s="3498" t="str">
        <f>A5</f>
        <v>门头沟京汉铂寓</v>
      </c>
      <c r="B6" s="3498">
        <v>30819</v>
      </c>
      <c r="C6" s="3498">
        <v>269.31</v>
      </c>
    </row>
    <row r="7" spans="1:5">
      <c r="A7" s="3451" t="s">
        <v>3428</v>
      </c>
      <c r="B7">
        <v>25290</v>
      </c>
      <c r="C7">
        <v>336.09</v>
      </c>
      <c r="D7">
        <v>4.4400000000000004</v>
      </c>
      <c r="E7">
        <v>160.66999999999999</v>
      </c>
    </row>
    <row r="8" spans="1:5">
      <c r="A8" s="3451" t="s">
        <v>3429</v>
      </c>
      <c r="B8">
        <v>38226</v>
      </c>
      <c r="C8">
        <v>78.48</v>
      </c>
    </row>
    <row r="9" spans="1:5" s="3497" customFormat="1">
      <c r="A9" s="3496" t="s">
        <v>3430</v>
      </c>
      <c r="B9" s="3497">
        <v>35606</v>
      </c>
      <c r="C9" s="3497">
        <v>359.48</v>
      </c>
      <c r="D9" s="3497">
        <v>5.6</v>
      </c>
      <c r="E9" s="3497">
        <v>68.25</v>
      </c>
    </row>
    <row r="10" spans="1:5">
      <c r="A10" s="3451" t="s">
        <v>3433</v>
      </c>
      <c r="D10">
        <v>2.4700000000000002</v>
      </c>
      <c r="E10">
        <v>385.53</v>
      </c>
    </row>
    <row r="11" spans="1:5">
      <c r="A11" s="3451" t="s">
        <v>3434</v>
      </c>
      <c r="D11">
        <v>5.15</v>
      </c>
      <c r="E11">
        <v>212.68</v>
      </c>
    </row>
    <row r="12" spans="1:5">
      <c r="A12" s="3451" t="s">
        <v>3435</v>
      </c>
      <c r="D12">
        <v>5.43</v>
      </c>
      <c r="E12">
        <v>90.83</v>
      </c>
    </row>
    <row r="17" spans="1:243">
      <c r="A17" s="3451" t="s">
        <v>3502</v>
      </c>
      <c r="B17" s="3451" t="s">
        <v>3503</v>
      </c>
    </row>
    <row r="18" spans="1:243" s="3452" customFormat="1" ht="21.95" customHeight="1">
      <c r="B18" s="3748" t="s">
        <v>3436</v>
      </c>
      <c r="C18" s="3749"/>
      <c r="D18" s="3749"/>
      <c r="E18" s="3453">
        <f t="shared" ref="E18:F18" si="0">SUBTOTAL(9,E22:E33)</f>
        <v>433.90000000000009</v>
      </c>
      <c r="F18" s="3453">
        <f t="shared" si="0"/>
        <v>499.53000000000003</v>
      </c>
      <c r="G18" s="3454"/>
      <c r="H18" s="3454"/>
      <c r="I18" s="3454"/>
      <c r="J18" s="3454"/>
      <c r="K18" s="3454"/>
      <c r="L18" s="3454"/>
      <c r="M18" s="3455">
        <f t="shared" ref="M18:Q18" si="1">SUBTOTAL(9,M22:M33)</f>
        <v>451050.92312500003</v>
      </c>
      <c r="N18" s="3456"/>
      <c r="O18" s="3454">
        <f t="shared" si="1"/>
        <v>407675.92312500003</v>
      </c>
      <c r="P18" s="3456"/>
      <c r="Q18" s="3455">
        <f t="shared" si="1"/>
        <v>442232.03321875003</v>
      </c>
      <c r="R18" s="3456"/>
      <c r="S18" s="3454">
        <f t="shared" ref="S18:CF18" si="2">SUBTOTAL(9,S22:S33)</f>
        <v>470241.16700343753</v>
      </c>
      <c r="T18" s="3456"/>
      <c r="U18" s="3454">
        <f t="shared" si="2"/>
        <v>488422.17051354056</v>
      </c>
      <c r="V18" s="3456"/>
      <c r="W18" s="3455">
        <f t="shared" si="2"/>
        <v>497671.11282894679</v>
      </c>
      <c r="X18" s="3454">
        <f t="shared" si="2"/>
        <v>2757293.3298146748</v>
      </c>
      <c r="Y18" s="3454">
        <f t="shared" si="2"/>
        <v>304160.26</v>
      </c>
      <c r="Z18" s="3454">
        <f t="shared" si="2"/>
        <v>2511818.2298146747</v>
      </c>
      <c r="AA18" s="3453">
        <f t="shared" si="2"/>
        <v>130626.94</v>
      </c>
      <c r="AB18" s="3453">
        <f t="shared" si="2"/>
        <v>12408.68</v>
      </c>
      <c r="AC18" s="3453">
        <f t="shared" si="2"/>
        <v>118218.26</v>
      </c>
      <c r="AD18" s="3453">
        <f t="shared" si="2"/>
        <v>130626.94</v>
      </c>
      <c r="AE18" s="3454">
        <f t="shared" si="2"/>
        <v>12408.68</v>
      </c>
      <c r="AF18" s="3454">
        <f t="shared" si="2"/>
        <v>0</v>
      </c>
      <c r="AG18" s="3454">
        <f t="shared" si="2"/>
        <v>0</v>
      </c>
      <c r="AH18" s="3454">
        <f t="shared" si="2"/>
        <v>0</v>
      </c>
      <c r="AI18" s="3454">
        <f t="shared" si="2"/>
        <v>0</v>
      </c>
      <c r="AJ18" s="3453">
        <f t="shared" si="2"/>
        <v>0</v>
      </c>
      <c r="AK18" s="3454">
        <f t="shared" si="2"/>
        <v>0</v>
      </c>
      <c r="AL18" s="3454">
        <f t="shared" si="2"/>
        <v>0</v>
      </c>
      <c r="AM18" s="3454">
        <f t="shared" si="2"/>
        <v>0</v>
      </c>
      <c r="AN18" s="3454">
        <f t="shared" si="2"/>
        <v>0</v>
      </c>
      <c r="AO18" s="3454">
        <f t="shared" si="2"/>
        <v>117132.33</v>
      </c>
      <c r="AP18" s="3454">
        <f t="shared" si="2"/>
        <v>6980.6</v>
      </c>
      <c r="AQ18" s="3453">
        <f t="shared" si="2"/>
        <v>110151.73</v>
      </c>
      <c r="AR18" s="3454">
        <f t="shared" si="2"/>
        <v>120161.88</v>
      </c>
      <c r="AS18" s="3454">
        <f t="shared" si="2"/>
        <v>6980.6</v>
      </c>
      <c r="AT18" s="3454">
        <f t="shared" si="2"/>
        <v>-3029.5499999999993</v>
      </c>
      <c r="AU18" s="3454">
        <f t="shared" si="2"/>
        <v>0</v>
      </c>
      <c r="AV18" s="3457">
        <f t="shared" si="2"/>
        <v>247759.27000000002</v>
      </c>
      <c r="AW18" s="3454">
        <f t="shared" si="2"/>
        <v>19389.28</v>
      </c>
      <c r="AX18" s="3453">
        <f t="shared" si="2"/>
        <v>228369.99000000002</v>
      </c>
      <c r="AY18" s="3454">
        <f t="shared" si="2"/>
        <v>250788.82</v>
      </c>
      <c r="AZ18" s="3457">
        <f t="shared" si="2"/>
        <v>19389.28</v>
      </c>
      <c r="BA18" s="3454">
        <f t="shared" si="2"/>
        <v>-3029.5499999999993</v>
      </c>
      <c r="BB18" s="3454">
        <f t="shared" si="2"/>
        <v>0</v>
      </c>
      <c r="BC18" s="3454">
        <f t="shared" si="2"/>
        <v>31370.99</v>
      </c>
      <c r="BD18" s="3454">
        <f t="shared" si="2"/>
        <v>3141</v>
      </c>
      <c r="BE18" s="3453">
        <f t="shared" si="2"/>
        <v>28229.99</v>
      </c>
      <c r="BF18" s="3454">
        <f t="shared" si="2"/>
        <v>31370.99</v>
      </c>
      <c r="BG18" s="3454">
        <f t="shared" si="2"/>
        <v>3141</v>
      </c>
      <c r="BH18" s="3454">
        <f t="shared" si="2"/>
        <v>0</v>
      </c>
      <c r="BI18" s="3454">
        <f t="shared" si="2"/>
        <v>0</v>
      </c>
      <c r="BJ18" s="3454">
        <f t="shared" si="2"/>
        <v>0</v>
      </c>
      <c r="BK18" s="3454">
        <f t="shared" si="2"/>
        <v>0</v>
      </c>
      <c r="BL18" s="3453">
        <f t="shared" si="2"/>
        <v>0</v>
      </c>
      <c r="BM18" s="3454">
        <f t="shared" si="2"/>
        <v>0</v>
      </c>
      <c r="BN18" s="3454">
        <f t="shared" si="2"/>
        <v>0</v>
      </c>
      <c r="BO18" s="3454">
        <f t="shared" si="2"/>
        <v>0</v>
      </c>
      <c r="BP18" s="3454">
        <f t="shared" si="2"/>
        <v>0</v>
      </c>
      <c r="BQ18" s="3454">
        <f t="shared" si="2"/>
        <v>0</v>
      </c>
      <c r="BR18" s="3454">
        <f t="shared" si="2"/>
        <v>0</v>
      </c>
      <c r="BS18" s="3453">
        <f t="shared" si="2"/>
        <v>0</v>
      </c>
      <c r="BT18" s="3454">
        <f t="shared" si="2"/>
        <v>0</v>
      </c>
      <c r="BU18" s="3454">
        <f t="shared" si="2"/>
        <v>0</v>
      </c>
      <c r="BV18" s="3454">
        <f t="shared" si="2"/>
        <v>0</v>
      </c>
      <c r="BW18" s="3454">
        <f t="shared" si="2"/>
        <v>0</v>
      </c>
      <c r="BX18" s="3454">
        <f t="shared" si="2"/>
        <v>22000.45</v>
      </c>
      <c r="BY18" s="3454">
        <f t="shared" si="2"/>
        <v>0</v>
      </c>
      <c r="BZ18" s="3453">
        <f t="shared" si="2"/>
        <v>22000.45</v>
      </c>
      <c r="CA18" s="3454">
        <f t="shared" si="2"/>
        <v>22000.45</v>
      </c>
      <c r="CB18" s="3454">
        <f t="shared" si="2"/>
        <v>0</v>
      </c>
      <c r="CC18" s="3454">
        <f t="shared" si="2"/>
        <v>0</v>
      </c>
      <c r="CD18" s="3454">
        <f t="shared" si="2"/>
        <v>0</v>
      </c>
      <c r="CE18" s="3454">
        <f t="shared" si="2"/>
        <v>0</v>
      </c>
      <c r="CF18" s="3454">
        <f t="shared" si="2"/>
        <v>0</v>
      </c>
      <c r="CG18" s="3453">
        <f t="shared" ref="CG18:ER18" si="3">SUBTOTAL(9,CG22:CG33)</f>
        <v>0</v>
      </c>
      <c r="CH18" s="3454">
        <f t="shared" si="3"/>
        <v>0</v>
      </c>
      <c r="CI18" s="3454">
        <f t="shared" si="3"/>
        <v>0</v>
      </c>
      <c r="CJ18" s="3454">
        <f t="shared" si="3"/>
        <v>0</v>
      </c>
      <c r="CK18" s="3454">
        <f t="shared" si="3"/>
        <v>0</v>
      </c>
      <c r="CL18" s="3454">
        <f t="shared" si="3"/>
        <v>0</v>
      </c>
      <c r="CM18" s="3454">
        <f t="shared" si="3"/>
        <v>0</v>
      </c>
      <c r="CN18" s="3453">
        <f t="shared" si="3"/>
        <v>0</v>
      </c>
      <c r="CO18" s="3454">
        <f t="shared" si="3"/>
        <v>0</v>
      </c>
      <c r="CP18" s="3454">
        <f t="shared" si="3"/>
        <v>0</v>
      </c>
      <c r="CQ18" s="3454">
        <f t="shared" si="3"/>
        <v>0</v>
      </c>
      <c r="CR18" s="3454">
        <f t="shared" si="3"/>
        <v>0</v>
      </c>
      <c r="CS18" s="3454">
        <f t="shared" si="3"/>
        <v>0</v>
      </c>
      <c r="CT18" s="3454">
        <f t="shared" si="3"/>
        <v>0</v>
      </c>
      <c r="CU18" s="3453">
        <f t="shared" si="3"/>
        <v>0</v>
      </c>
      <c r="CV18" s="3454">
        <f t="shared" si="3"/>
        <v>0</v>
      </c>
      <c r="CW18" s="3454">
        <f t="shared" si="3"/>
        <v>0</v>
      </c>
      <c r="CX18" s="3454">
        <f t="shared" si="3"/>
        <v>0</v>
      </c>
      <c r="CY18" s="3454">
        <f t="shared" si="3"/>
        <v>0</v>
      </c>
      <c r="CZ18" s="3454">
        <f t="shared" si="3"/>
        <v>0</v>
      </c>
      <c r="DA18" s="3454">
        <f t="shared" si="3"/>
        <v>0</v>
      </c>
      <c r="DB18" s="3453">
        <f t="shared" si="3"/>
        <v>0</v>
      </c>
      <c r="DC18" s="3454">
        <f t="shared" si="3"/>
        <v>0</v>
      </c>
      <c r="DD18" s="3454">
        <f t="shared" si="3"/>
        <v>0</v>
      </c>
      <c r="DE18" s="3454">
        <f t="shared" si="3"/>
        <v>0</v>
      </c>
      <c r="DF18" s="3454">
        <f t="shared" si="3"/>
        <v>0</v>
      </c>
      <c r="DG18" s="3454">
        <f t="shared" si="3"/>
        <v>0</v>
      </c>
      <c r="DH18" s="3454">
        <f t="shared" si="3"/>
        <v>0</v>
      </c>
      <c r="DI18" s="3453">
        <f t="shared" si="3"/>
        <v>0</v>
      </c>
      <c r="DJ18" s="3454">
        <f t="shared" si="3"/>
        <v>0</v>
      </c>
      <c r="DK18" s="3454">
        <f t="shared" si="3"/>
        <v>0</v>
      </c>
      <c r="DL18" s="3454">
        <f t="shared" si="3"/>
        <v>0</v>
      </c>
      <c r="DM18" s="3454">
        <f t="shared" si="3"/>
        <v>0</v>
      </c>
      <c r="DN18" s="3454">
        <f t="shared" si="3"/>
        <v>0</v>
      </c>
      <c r="DO18" s="3454">
        <f t="shared" si="3"/>
        <v>0</v>
      </c>
      <c r="DP18" s="3453">
        <f t="shared" si="3"/>
        <v>0</v>
      </c>
      <c r="DQ18" s="3454">
        <f t="shared" si="3"/>
        <v>0</v>
      </c>
      <c r="DR18" s="3454">
        <f t="shared" si="3"/>
        <v>0</v>
      </c>
      <c r="DS18" s="3454">
        <f t="shared" si="3"/>
        <v>0</v>
      </c>
      <c r="DT18" s="3454">
        <f t="shared" si="3"/>
        <v>0</v>
      </c>
      <c r="DU18" s="3454">
        <f t="shared" si="3"/>
        <v>0</v>
      </c>
      <c r="DV18" s="3454">
        <f t="shared" si="3"/>
        <v>0</v>
      </c>
      <c r="DW18" s="3453">
        <f t="shared" si="3"/>
        <v>0</v>
      </c>
      <c r="DX18" s="3454">
        <f t="shared" si="3"/>
        <v>0</v>
      </c>
      <c r="DY18" s="3454">
        <f t="shared" si="3"/>
        <v>0</v>
      </c>
      <c r="DZ18" s="3454">
        <f t="shared" si="3"/>
        <v>0</v>
      </c>
      <c r="EA18" s="3454">
        <f t="shared" si="3"/>
        <v>0</v>
      </c>
      <c r="EB18" s="3454">
        <f t="shared" si="3"/>
        <v>0</v>
      </c>
      <c r="EC18" s="3454">
        <f t="shared" si="3"/>
        <v>0</v>
      </c>
      <c r="ED18" s="3453">
        <f t="shared" si="3"/>
        <v>0</v>
      </c>
      <c r="EE18" s="3454">
        <f t="shared" si="3"/>
        <v>0</v>
      </c>
      <c r="EF18" s="3454">
        <f t="shared" si="3"/>
        <v>0</v>
      </c>
      <c r="EG18" s="3454">
        <f t="shared" si="3"/>
        <v>0</v>
      </c>
      <c r="EH18" s="3454">
        <f t="shared" si="3"/>
        <v>0</v>
      </c>
      <c r="EI18" s="3454">
        <f t="shared" si="3"/>
        <v>53371.44</v>
      </c>
      <c r="EJ18" s="3454">
        <f t="shared" si="3"/>
        <v>3141</v>
      </c>
      <c r="EK18" s="3453">
        <f t="shared" si="3"/>
        <v>50230.44</v>
      </c>
      <c r="EL18" s="3454">
        <f t="shared" si="3"/>
        <v>53371.44</v>
      </c>
      <c r="EM18" s="3454">
        <f t="shared" si="3"/>
        <v>3141</v>
      </c>
      <c r="EN18" s="3454">
        <f t="shared" si="3"/>
        <v>0</v>
      </c>
      <c r="EO18" s="3454">
        <f t="shared" si="3"/>
        <v>0</v>
      </c>
      <c r="EP18" s="3454">
        <f t="shared" si="3"/>
        <v>0</v>
      </c>
      <c r="EQ18" s="3454">
        <f t="shared" si="3"/>
        <v>0</v>
      </c>
      <c r="ER18" s="3453">
        <f t="shared" si="3"/>
        <v>0</v>
      </c>
      <c r="ES18" s="3454">
        <f t="shared" ref="ES18:HD18" si="4">SUBTOTAL(9,ES22:ES33)</f>
        <v>0</v>
      </c>
      <c r="ET18" s="3454">
        <f t="shared" si="4"/>
        <v>0</v>
      </c>
      <c r="EU18" s="3454">
        <f t="shared" si="4"/>
        <v>0</v>
      </c>
      <c r="EV18" s="3454">
        <f t="shared" si="4"/>
        <v>0</v>
      </c>
      <c r="EW18" s="3454">
        <f t="shared" si="4"/>
        <v>0</v>
      </c>
      <c r="EX18" s="3454">
        <f t="shared" si="4"/>
        <v>0</v>
      </c>
      <c r="EY18" s="3453">
        <f t="shared" si="4"/>
        <v>0</v>
      </c>
      <c r="EZ18" s="3454">
        <f t="shared" si="4"/>
        <v>0</v>
      </c>
      <c r="FA18" s="3454">
        <f t="shared" si="4"/>
        <v>0</v>
      </c>
      <c r="FB18" s="3454">
        <f t="shared" si="4"/>
        <v>0</v>
      </c>
      <c r="FC18" s="3454">
        <f t="shared" si="4"/>
        <v>0</v>
      </c>
      <c r="FD18" s="3454">
        <f t="shared" si="4"/>
        <v>0</v>
      </c>
      <c r="FE18" s="3454">
        <f t="shared" si="4"/>
        <v>0</v>
      </c>
      <c r="FF18" s="3453">
        <f t="shared" si="4"/>
        <v>0</v>
      </c>
      <c r="FG18" s="3454">
        <f t="shared" si="4"/>
        <v>0</v>
      </c>
      <c r="FH18" s="3454">
        <f t="shared" si="4"/>
        <v>0</v>
      </c>
      <c r="FI18" s="3454">
        <f t="shared" si="4"/>
        <v>0</v>
      </c>
      <c r="FJ18" s="3454">
        <f t="shared" si="4"/>
        <v>0</v>
      </c>
      <c r="FK18" s="3454">
        <f t="shared" si="4"/>
        <v>0</v>
      </c>
      <c r="FL18" s="3454">
        <f t="shared" si="4"/>
        <v>0</v>
      </c>
      <c r="FM18" s="3453">
        <f t="shared" si="4"/>
        <v>0</v>
      </c>
      <c r="FN18" s="3454">
        <f t="shared" si="4"/>
        <v>0</v>
      </c>
      <c r="FO18" s="3454">
        <f t="shared" si="4"/>
        <v>0</v>
      </c>
      <c r="FP18" s="3454">
        <f t="shared" si="4"/>
        <v>0</v>
      </c>
      <c r="FQ18" s="3454">
        <f t="shared" si="4"/>
        <v>0</v>
      </c>
      <c r="FR18" s="3454">
        <f t="shared" si="4"/>
        <v>0</v>
      </c>
      <c r="FS18" s="3454">
        <f t="shared" si="4"/>
        <v>0</v>
      </c>
      <c r="FT18" s="3453">
        <f t="shared" si="4"/>
        <v>0</v>
      </c>
      <c r="FU18" s="3454">
        <f t="shared" si="4"/>
        <v>0</v>
      </c>
      <c r="FV18" s="3454">
        <f t="shared" si="4"/>
        <v>0</v>
      </c>
      <c r="FW18" s="3454">
        <f t="shared" si="4"/>
        <v>0</v>
      </c>
      <c r="FX18" s="3454">
        <f t="shared" si="4"/>
        <v>0</v>
      </c>
      <c r="FY18" s="3454">
        <f t="shared" si="4"/>
        <v>0</v>
      </c>
      <c r="FZ18" s="3454">
        <f t="shared" si="4"/>
        <v>0</v>
      </c>
      <c r="GA18" s="3453">
        <f t="shared" si="4"/>
        <v>0</v>
      </c>
      <c r="GB18" s="3454">
        <f t="shared" si="4"/>
        <v>0</v>
      </c>
      <c r="GC18" s="3454">
        <f t="shared" si="4"/>
        <v>0</v>
      </c>
      <c r="GD18" s="3454">
        <f t="shared" si="4"/>
        <v>0</v>
      </c>
      <c r="GE18" s="3454">
        <f t="shared" si="4"/>
        <v>0</v>
      </c>
      <c r="GF18" s="3454">
        <f t="shared" si="4"/>
        <v>0</v>
      </c>
      <c r="GG18" s="3454">
        <f t="shared" si="4"/>
        <v>0</v>
      </c>
      <c r="GH18" s="3453">
        <f t="shared" si="4"/>
        <v>0</v>
      </c>
      <c r="GI18" s="3454">
        <f t="shared" si="4"/>
        <v>0</v>
      </c>
      <c r="GJ18" s="3454">
        <f t="shared" si="4"/>
        <v>0</v>
      </c>
      <c r="GK18" s="3454">
        <f t="shared" si="4"/>
        <v>0</v>
      </c>
      <c r="GL18" s="3454">
        <f t="shared" si="4"/>
        <v>0</v>
      </c>
      <c r="GM18" s="3454">
        <f t="shared" si="4"/>
        <v>0</v>
      </c>
      <c r="GN18" s="3454">
        <f t="shared" si="4"/>
        <v>0</v>
      </c>
      <c r="GO18" s="3453">
        <f t="shared" si="4"/>
        <v>0</v>
      </c>
      <c r="GP18" s="3454">
        <f t="shared" si="4"/>
        <v>0</v>
      </c>
      <c r="GQ18" s="3454">
        <f t="shared" si="4"/>
        <v>0</v>
      </c>
      <c r="GR18" s="3454">
        <f t="shared" si="4"/>
        <v>0</v>
      </c>
      <c r="GS18" s="3454">
        <f t="shared" si="4"/>
        <v>0</v>
      </c>
      <c r="GT18" s="3454">
        <f t="shared" si="4"/>
        <v>0</v>
      </c>
      <c r="GU18" s="3454">
        <f t="shared" si="4"/>
        <v>0</v>
      </c>
      <c r="GV18" s="3453">
        <f t="shared" si="4"/>
        <v>0</v>
      </c>
      <c r="GW18" s="3454">
        <f t="shared" si="4"/>
        <v>0</v>
      </c>
      <c r="GX18" s="3454">
        <f t="shared" si="4"/>
        <v>0</v>
      </c>
      <c r="GY18" s="3454">
        <f t="shared" si="4"/>
        <v>0</v>
      </c>
      <c r="GZ18" s="3454">
        <f t="shared" si="4"/>
        <v>0</v>
      </c>
      <c r="HA18" s="3454">
        <f t="shared" si="4"/>
        <v>0</v>
      </c>
      <c r="HB18" s="3454">
        <f t="shared" si="4"/>
        <v>0</v>
      </c>
      <c r="HC18" s="3453">
        <f t="shared" si="4"/>
        <v>0</v>
      </c>
      <c r="HD18" s="3454">
        <f t="shared" si="4"/>
        <v>0</v>
      </c>
      <c r="HE18" s="3454">
        <f t="shared" ref="HE18:II18" si="5">SUBTOTAL(9,HE22:HE33)</f>
        <v>0</v>
      </c>
      <c r="HF18" s="3454">
        <f t="shared" si="5"/>
        <v>0</v>
      </c>
      <c r="HG18" s="3454">
        <f t="shared" si="5"/>
        <v>0</v>
      </c>
      <c r="HH18" s="3454">
        <f t="shared" si="5"/>
        <v>0</v>
      </c>
      <c r="HI18" s="3454">
        <f t="shared" si="5"/>
        <v>0</v>
      </c>
      <c r="HJ18" s="3453">
        <f t="shared" si="5"/>
        <v>0</v>
      </c>
      <c r="HK18" s="3454">
        <f t="shared" si="5"/>
        <v>0</v>
      </c>
      <c r="HL18" s="3454">
        <f t="shared" si="5"/>
        <v>0</v>
      </c>
      <c r="HM18" s="3454">
        <f t="shared" si="5"/>
        <v>0</v>
      </c>
      <c r="HN18" s="3454">
        <f t="shared" si="5"/>
        <v>0</v>
      </c>
      <c r="HO18" s="3454">
        <f t="shared" si="5"/>
        <v>0</v>
      </c>
      <c r="HP18" s="3454">
        <f t="shared" si="5"/>
        <v>0</v>
      </c>
      <c r="HQ18" s="3453">
        <f t="shared" si="5"/>
        <v>0</v>
      </c>
      <c r="HR18" s="3454">
        <f t="shared" si="5"/>
        <v>0</v>
      </c>
      <c r="HS18" s="3454">
        <f t="shared" si="5"/>
        <v>0</v>
      </c>
      <c r="HT18" s="3454">
        <f t="shared" si="5"/>
        <v>0</v>
      </c>
      <c r="HU18" s="3454">
        <f t="shared" si="5"/>
        <v>0</v>
      </c>
      <c r="HV18" s="3454">
        <f t="shared" si="5"/>
        <v>0</v>
      </c>
      <c r="HW18" s="3454">
        <f t="shared" si="5"/>
        <v>0</v>
      </c>
      <c r="HX18" s="3453">
        <f t="shared" si="5"/>
        <v>0</v>
      </c>
      <c r="HY18" s="3454">
        <f t="shared" si="5"/>
        <v>0</v>
      </c>
      <c r="HZ18" s="3454">
        <f t="shared" si="5"/>
        <v>0</v>
      </c>
      <c r="IA18" s="3454">
        <f t="shared" si="5"/>
        <v>0</v>
      </c>
      <c r="IB18" s="3454">
        <f t="shared" si="5"/>
        <v>0</v>
      </c>
      <c r="IC18" s="3454">
        <f t="shared" si="5"/>
        <v>301130.71000000002</v>
      </c>
      <c r="ID18" s="3454">
        <f t="shared" si="5"/>
        <v>22530.28</v>
      </c>
      <c r="IE18" s="3453">
        <f t="shared" si="5"/>
        <v>278600.43</v>
      </c>
      <c r="IF18" s="3454">
        <f t="shared" si="5"/>
        <v>304160.26</v>
      </c>
      <c r="IG18" s="3454">
        <f t="shared" si="5"/>
        <v>22530.28</v>
      </c>
      <c r="IH18" s="3454">
        <f t="shared" si="5"/>
        <v>-3029.5499999999993</v>
      </c>
      <c r="II18" s="3454">
        <f t="shared" si="5"/>
        <v>0</v>
      </c>
    </row>
    <row r="19" spans="1:243" s="3452" customFormat="1" ht="21.95" customHeight="1">
      <c r="B19" s="3750" t="s">
        <v>3437</v>
      </c>
      <c r="C19" s="3750" t="s">
        <v>3438</v>
      </c>
      <c r="D19" s="3750" t="s">
        <v>3439</v>
      </c>
      <c r="E19" s="3753" t="s">
        <v>3440</v>
      </c>
      <c r="F19" s="3745" t="s">
        <v>3441</v>
      </c>
      <c r="G19" s="3756" t="s">
        <v>3442</v>
      </c>
      <c r="H19" s="3759" t="s">
        <v>3443</v>
      </c>
      <c r="I19" s="3762" t="s">
        <v>3444</v>
      </c>
      <c r="J19" s="3762" t="s">
        <v>3445</v>
      </c>
      <c r="K19" s="3762" t="s">
        <v>3446</v>
      </c>
      <c r="L19" s="3771" t="s">
        <v>3447</v>
      </c>
      <c r="M19" s="3774"/>
      <c r="N19" s="3775"/>
      <c r="O19" s="3775"/>
      <c r="P19" s="3775"/>
      <c r="Q19" s="3774"/>
      <c r="R19" s="3775"/>
      <c r="S19" s="3775"/>
      <c r="T19" s="3775"/>
      <c r="U19" s="3775"/>
      <c r="V19" s="3775"/>
      <c r="W19" s="3774"/>
      <c r="X19" s="3775"/>
      <c r="Y19" s="3775"/>
      <c r="Z19" s="3775"/>
      <c r="AA19" s="3765" t="s">
        <v>3448</v>
      </c>
      <c r="AB19" s="3766"/>
      <c r="AC19" s="3766"/>
      <c r="AD19" s="3766"/>
      <c r="AE19" s="3767"/>
      <c r="AF19" s="3767"/>
      <c r="AG19" s="3767"/>
      <c r="AH19" s="3768"/>
      <c r="AI19" s="3767"/>
      <c r="AJ19" s="3766"/>
      <c r="AK19" s="3767"/>
      <c r="AL19" s="3767"/>
      <c r="AM19" s="3767"/>
      <c r="AN19" s="3767"/>
      <c r="AO19" s="3458"/>
      <c r="AP19" s="3458"/>
      <c r="AQ19" s="3459"/>
      <c r="AR19" s="3458"/>
      <c r="AS19" s="3458"/>
      <c r="AT19" s="3458"/>
      <c r="AU19" s="3458"/>
      <c r="AV19" s="3458"/>
      <c r="AW19" s="3458"/>
      <c r="AX19" s="3459"/>
      <c r="AY19" s="3458"/>
      <c r="AZ19" s="3458"/>
      <c r="BA19" s="3458"/>
      <c r="BB19" s="3458"/>
      <c r="BC19" s="3769" t="s">
        <v>3448</v>
      </c>
      <c r="BD19" s="3770"/>
      <c r="BE19" s="3766"/>
      <c r="BF19" s="3770"/>
      <c r="BG19" s="3770"/>
      <c r="BH19" s="3770"/>
      <c r="BI19" s="3770"/>
      <c r="BJ19" s="3770"/>
      <c r="BK19" s="3770"/>
      <c r="BL19" s="3766"/>
      <c r="BM19" s="3770"/>
      <c r="BN19" s="3770"/>
      <c r="BO19" s="3770"/>
      <c r="BP19" s="3770"/>
      <c r="BQ19" s="3770"/>
      <c r="BR19" s="3770"/>
      <c r="BS19" s="3766"/>
      <c r="BT19" s="3770"/>
      <c r="BU19" s="3770"/>
      <c r="BV19" s="3770"/>
      <c r="BW19" s="3770"/>
      <c r="BX19" s="3770"/>
      <c r="BY19" s="3770"/>
      <c r="BZ19" s="3766"/>
      <c r="CA19" s="3770"/>
      <c r="CB19" s="3770"/>
      <c r="CC19" s="3770"/>
      <c r="CD19" s="3770"/>
      <c r="CE19" s="3770"/>
      <c r="CF19" s="3770"/>
      <c r="CG19" s="3766"/>
      <c r="CH19" s="3770"/>
      <c r="CI19" s="3770"/>
      <c r="CJ19" s="3770"/>
      <c r="CK19" s="3770"/>
      <c r="CL19" s="3770"/>
      <c r="CM19" s="3770"/>
      <c r="CN19" s="3766"/>
      <c r="CO19" s="3770"/>
      <c r="CP19" s="3770"/>
      <c r="CQ19" s="3770"/>
      <c r="CR19" s="3770"/>
      <c r="CS19" s="3770"/>
      <c r="CT19" s="3770"/>
      <c r="CU19" s="3766"/>
      <c r="CV19" s="3770"/>
      <c r="CW19" s="3770"/>
      <c r="CX19" s="3770"/>
      <c r="CY19" s="3770"/>
      <c r="CZ19" s="3770"/>
      <c r="DA19" s="3770"/>
      <c r="DB19" s="3766"/>
      <c r="DC19" s="3770"/>
      <c r="DD19" s="3770"/>
      <c r="DE19" s="3770"/>
      <c r="DF19" s="3770"/>
      <c r="DG19" s="3770"/>
      <c r="DH19" s="3770"/>
      <c r="DI19" s="3766"/>
      <c r="DJ19" s="3770"/>
      <c r="DK19" s="3770"/>
      <c r="DL19" s="3770"/>
      <c r="DM19" s="3770"/>
      <c r="DN19" s="3770"/>
      <c r="DO19" s="3770"/>
      <c r="DP19" s="3766"/>
      <c r="DQ19" s="3770"/>
      <c r="DR19" s="3770"/>
      <c r="DS19" s="3770"/>
      <c r="DT19" s="3770"/>
      <c r="DU19" s="3770"/>
      <c r="DV19" s="3770"/>
      <c r="DW19" s="3766"/>
      <c r="DX19" s="3770"/>
      <c r="DY19" s="3770"/>
      <c r="DZ19" s="3770"/>
      <c r="EA19" s="3770"/>
      <c r="EB19" s="3770"/>
      <c r="EC19" s="3770"/>
      <c r="ED19" s="3766"/>
      <c r="EE19" s="3770"/>
      <c r="EF19" s="3770"/>
      <c r="EG19" s="3770"/>
      <c r="EH19" s="3770"/>
      <c r="EI19" s="3770"/>
      <c r="EJ19" s="3770"/>
      <c r="EK19" s="3766"/>
      <c r="EL19" s="3770"/>
      <c r="EM19" s="3770"/>
      <c r="EN19" s="3770"/>
      <c r="EO19" s="3770"/>
      <c r="EP19" s="3770"/>
      <c r="EQ19" s="3770"/>
      <c r="ER19" s="3766"/>
      <c r="ES19" s="3770"/>
      <c r="ET19" s="3770"/>
      <c r="EU19" s="3770"/>
      <c r="EV19" s="3770"/>
      <c r="EW19" s="3770"/>
      <c r="EX19" s="3770"/>
      <c r="EY19" s="3766"/>
      <c r="EZ19" s="3770"/>
      <c r="FA19" s="3770"/>
      <c r="FB19" s="3770"/>
      <c r="FC19" s="3770"/>
      <c r="FD19" s="3770"/>
      <c r="FE19" s="3770"/>
      <c r="FF19" s="3766"/>
      <c r="FG19" s="3770"/>
      <c r="FH19" s="3770"/>
      <c r="FI19" s="3770"/>
      <c r="FJ19" s="3770"/>
      <c r="FK19" s="3770"/>
      <c r="FL19" s="3770"/>
      <c r="FM19" s="3766"/>
      <c r="FN19" s="3770"/>
      <c r="FO19" s="3770"/>
      <c r="FP19" s="3770"/>
      <c r="FQ19" s="3770"/>
      <c r="FR19" s="3770"/>
      <c r="FS19" s="3770"/>
      <c r="FT19" s="3766"/>
      <c r="FU19" s="3770"/>
      <c r="FV19" s="3770"/>
      <c r="FW19" s="3770"/>
      <c r="FX19" s="3770"/>
      <c r="FY19" s="3770"/>
      <c r="FZ19" s="3770"/>
      <c r="GA19" s="3766"/>
      <c r="GB19" s="3770"/>
      <c r="GC19" s="3770"/>
      <c r="GD19" s="3770"/>
      <c r="GE19" s="3770"/>
      <c r="GF19" s="3770"/>
      <c r="GG19" s="3770"/>
      <c r="GH19" s="3766"/>
      <c r="GI19" s="3770"/>
      <c r="GJ19" s="3770"/>
      <c r="GK19" s="3770"/>
      <c r="GL19" s="3770"/>
      <c r="GM19" s="3770"/>
      <c r="GN19" s="3770"/>
      <c r="GO19" s="3766"/>
      <c r="GP19" s="3770"/>
      <c r="GQ19" s="3770"/>
      <c r="GR19" s="3770"/>
      <c r="GS19" s="3770"/>
      <c r="GT19" s="3770"/>
      <c r="GU19" s="3770"/>
      <c r="GV19" s="3766"/>
      <c r="GW19" s="3770"/>
      <c r="GX19" s="3770"/>
      <c r="GY19" s="3770"/>
      <c r="GZ19" s="3770"/>
      <c r="HA19" s="3770"/>
      <c r="HB19" s="3770"/>
      <c r="HC19" s="3766"/>
      <c r="HD19" s="3770"/>
      <c r="HE19" s="3770"/>
      <c r="HF19" s="3770"/>
      <c r="HG19" s="3770"/>
      <c r="HH19" s="3770"/>
      <c r="HI19" s="3770"/>
      <c r="HJ19" s="3766"/>
      <c r="HK19" s="3770"/>
      <c r="HL19" s="3770"/>
      <c r="HM19" s="3770"/>
      <c r="HN19" s="3770"/>
      <c r="HO19" s="3770"/>
      <c r="HP19" s="3770"/>
      <c r="HQ19" s="3766"/>
      <c r="HR19" s="3770"/>
      <c r="HS19" s="3770"/>
      <c r="HT19" s="3770"/>
      <c r="HU19" s="3770"/>
      <c r="HV19" s="3770"/>
      <c r="HW19" s="3770"/>
      <c r="HX19" s="3766"/>
      <c r="HY19" s="3770"/>
      <c r="HZ19" s="3770"/>
      <c r="IA19" s="3770"/>
      <c r="IB19" s="3770"/>
      <c r="IC19" s="3460"/>
      <c r="ID19" s="3460"/>
      <c r="IE19" s="3459"/>
      <c r="IF19" s="3460"/>
      <c r="IG19" s="3460"/>
      <c r="IH19" s="3460"/>
      <c r="II19" s="3460"/>
    </row>
    <row r="20" spans="1:243" s="3452" customFormat="1" ht="15" customHeight="1">
      <c r="B20" s="3751"/>
      <c r="C20" s="3751"/>
      <c r="D20" s="3751"/>
      <c r="E20" s="3754"/>
      <c r="F20" s="3746"/>
      <c r="G20" s="3757"/>
      <c r="H20" s="3760"/>
      <c r="I20" s="3763"/>
      <c r="J20" s="3763"/>
      <c r="K20" s="3763"/>
      <c r="L20" s="3771" t="s">
        <v>3449</v>
      </c>
      <c r="M20" s="3772"/>
      <c r="N20" s="3771" t="s">
        <v>3450</v>
      </c>
      <c r="O20" s="3773"/>
      <c r="P20" s="3771" t="s">
        <v>3451</v>
      </c>
      <c r="Q20" s="3772"/>
      <c r="R20" s="3771" t="s">
        <v>3452</v>
      </c>
      <c r="S20" s="3773"/>
      <c r="T20" s="3771" t="s">
        <v>3453</v>
      </c>
      <c r="U20" s="3773"/>
      <c r="V20" s="3771" t="s">
        <v>3454</v>
      </c>
      <c r="W20" s="3772"/>
      <c r="X20" s="3762" t="s">
        <v>3455</v>
      </c>
      <c r="Y20" s="3762" t="s">
        <v>3456</v>
      </c>
      <c r="Z20" s="3762" t="s">
        <v>3457</v>
      </c>
      <c r="AA20" s="3780">
        <v>44835</v>
      </c>
      <c r="AB20" s="3778"/>
      <c r="AC20" s="3778"/>
      <c r="AD20" s="3778"/>
      <c r="AE20" s="3778"/>
      <c r="AF20" s="3778"/>
      <c r="AG20" s="3781"/>
      <c r="AH20" s="3780">
        <v>44866</v>
      </c>
      <c r="AI20" s="3778"/>
      <c r="AJ20" s="3778"/>
      <c r="AK20" s="3778"/>
      <c r="AL20" s="3778"/>
      <c r="AM20" s="3778"/>
      <c r="AN20" s="3781"/>
      <c r="AO20" s="3780">
        <v>44896</v>
      </c>
      <c r="AP20" s="3778"/>
      <c r="AQ20" s="3778"/>
      <c r="AR20" s="3778"/>
      <c r="AS20" s="3778"/>
      <c r="AT20" s="3778"/>
      <c r="AU20" s="3781"/>
      <c r="AV20" s="3782" t="s">
        <v>3458</v>
      </c>
      <c r="AW20" s="3783"/>
      <c r="AX20" s="3778"/>
      <c r="AY20" s="3783"/>
      <c r="AZ20" s="3783"/>
      <c r="BA20" s="3783"/>
      <c r="BB20" s="3784"/>
      <c r="BC20" s="3776">
        <v>44927</v>
      </c>
      <c r="BD20" s="3777"/>
      <c r="BE20" s="3778"/>
      <c r="BF20" s="3777"/>
      <c r="BG20" s="3777"/>
      <c r="BH20" s="3777"/>
      <c r="BI20" s="3779"/>
      <c r="BJ20" s="3776">
        <v>44958</v>
      </c>
      <c r="BK20" s="3777"/>
      <c r="BL20" s="3778"/>
      <c r="BM20" s="3777"/>
      <c r="BN20" s="3779"/>
      <c r="BO20" s="3777"/>
      <c r="BP20" s="3779"/>
      <c r="BQ20" s="3776">
        <v>44986</v>
      </c>
      <c r="BR20" s="3777"/>
      <c r="BS20" s="3778"/>
      <c r="BT20" s="3777"/>
      <c r="BU20" s="3777"/>
      <c r="BV20" s="3777"/>
      <c r="BW20" s="3779"/>
      <c r="BX20" s="3776">
        <v>45017</v>
      </c>
      <c r="BY20" s="3777"/>
      <c r="BZ20" s="3778"/>
      <c r="CA20" s="3777"/>
      <c r="CB20" s="3779"/>
      <c r="CC20" s="3777"/>
      <c r="CD20" s="3779"/>
      <c r="CE20" s="3776">
        <v>45047</v>
      </c>
      <c r="CF20" s="3777"/>
      <c r="CG20" s="3778"/>
      <c r="CH20" s="3777"/>
      <c r="CI20" s="3779"/>
      <c r="CJ20" s="3777"/>
      <c r="CK20" s="3779"/>
      <c r="CL20" s="3776">
        <v>45078</v>
      </c>
      <c r="CM20" s="3777"/>
      <c r="CN20" s="3778"/>
      <c r="CO20" s="3777"/>
      <c r="CP20" s="3779"/>
      <c r="CQ20" s="3777"/>
      <c r="CR20" s="3779"/>
      <c r="CS20" s="3776">
        <v>45108</v>
      </c>
      <c r="CT20" s="3777"/>
      <c r="CU20" s="3778"/>
      <c r="CV20" s="3777"/>
      <c r="CW20" s="3779"/>
      <c r="CX20" s="3777"/>
      <c r="CY20" s="3779"/>
      <c r="CZ20" s="3776">
        <v>45139</v>
      </c>
      <c r="DA20" s="3777"/>
      <c r="DB20" s="3778"/>
      <c r="DC20" s="3777"/>
      <c r="DD20" s="3779"/>
      <c r="DE20" s="3777"/>
      <c r="DF20" s="3779"/>
      <c r="DG20" s="3776">
        <v>45170</v>
      </c>
      <c r="DH20" s="3777"/>
      <c r="DI20" s="3778"/>
      <c r="DJ20" s="3777"/>
      <c r="DK20" s="3777"/>
      <c r="DL20" s="3777"/>
      <c r="DM20" s="3779"/>
      <c r="DN20" s="3776">
        <v>45200</v>
      </c>
      <c r="DO20" s="3777"/>
      <c r="DP20" s="3778"/>
      <c r="DQ20" s="3777"/>
      <c r="DR20" s="3777"/>
      <c r="DS20" s="3777"/>
      <c r="DT20" s="3779"/>
      <c r="DU20" s="3776">
        <v>45231</v>
      </c>
      <c r="DV20" s="3777"/>
      <c r="DW20" s="3778"/>
      <c r="DX20" s="3777"/>
      <c r="DY20" s="3777"/>
      <c r="DZ20" s="3777"/>
      <c r="EA20" s="3779"/>
      <c r="EB20" s="3776">
        <v>45261</v>
      </c>
      <c r="EC20" s="3777"/>
      <c r="ED20" s="3778"/>
      <c r="EE20" s="3777"/>
      <c r="EF20" s="3777"/>
      <c r="EG20" s="3777"/>
      <c r="EH20" s="3779"/>
      <c r="EI20" s="3776" t="s">
        <v>3459</v>
      </c>
      <c r="EJ20" s="3777"/>
      <c r="EK20" s="3778"/>
      <c r="EL20" s="3777"/>
      <c r="EM20" s="3777"/>
      <c r="EN20" s="3777"/>
      <c r="EO20" s="3779"/>
      <c r="EP20" s="3785">
        <v>45292</v>
      </c>
      <c r="EQ20" s="3786"/>
      <c r="ER20" s="3778"/>
      <c r="ES20" s="3786"/>
      <c r="ET20" s="3786"/>
      <c r="EU20" s="3786"/>
      <c r="EV20" s="3787"/>
      <c r="EW20" s="3785">
        <v>45323</v>
      </c>
      <c r="EX20" s="3786"/>
      <c r="EY20" s="3778"/>
      <c r="EZ20" s="3786"/>
      <c r="FA20" s="3786"/>
      <c r="FB20" s="3786"/>
      <c r="FC20" s="3787"/>
      <c r="FD20" s="3785">
        <v>45352</v>
      </c>
      <c r="FE20" s="3786"/>
      <c r="FF20" s="3778"/>
      <c r="FG20" s="3786"/>
      <c r="FH20" s="3786"/>
      <c r="FI20" s="3786"/>
      <c r="FJ20" s="3787"/>
      <c r="FK20" s="3785">
        <v>45383</v>
      </c>
      <c r="FL20" s="3786"/>
      <c r="FM20" s="3778"/>
      <c r="FN20" s="3786"/>
      <c r="FO20" s="3786"/>
      <c r="FP20" s="3786"/>
      <c r="FQ20" s="3787"/>
      <c r="FR20" s="3785">
        <v>45413</v>
      </c>
      <c r="FS20" s="3786"/>
      <c r="FT20" s="3778"/>
      <c r="FU20" s="3786"/>
      <c r="FV20" s="3786"/>
      <c r="FW20" s="3786"/>
      <c r="FX20" s="3787"/>
      <c r="FY20" s="3785">
        <v>45444</v>
      </c>
      <c r="FZ20" s="3786"/>
      <c r="GA20" s="3778"/>
      <c r="GB20" s="3786"/>
      <c r="GC20" s="3786"/>
      <c r="GD20" s="3786"/>
      <c r="GE20" s="3787"/>
      <c r="GF20" s="3785">
        <v>45474</v>
      </c>
      <c r="GG20" s="3786"/>
      <c r="GH20" s="3778"/>
      <c r="GI20" s="3786"/>
      <c r="GJ20" s="3786"/>
      <c r="GK20" s="3786"/>
      <c r="GL20" s="3787"/>
      <c r="GM20" s="3785">
        <v>45505</v>
      </c>
      <c r="GN20" s="3786"/>
      <c r="GO20" s="3778"/>
      <c r="GP20" s="3786"/>
      <c r="GQ20" s="3786"/>
      <c r="GR20" s="3786"/>
      <c r="GS20" s="3787"/>
      <c r="GT20" s="3785">
        <v>45536</v>
      </c>
      <c r="GU20" s="3786"/>
      <c r="GV20" s="3778"/>
      <c r="GW20" s="3786"/>
      <c r="GX20" s="3786"/>
      <c r="GY20" s="3786"/>
      <c r="GZ20" s="3787"/>
      <c r="HA20" s="3785">
        <v>45566</v>
      </c>
      <c r="HB20" s="3786"/>
      <c r="HC20" s="3778"/>
      <c r="HD20" s="3786"/>
      <c r="HE20" s="3786"/>
      <c r="HF20" s="3786"/>
      <c r="HG20" s="3787"/>
      <c r="HH20" s="3785">
        <v>45597</v>
      </c>
      <c r="HI20" s="3786"/>
      <c r="HJ20" s="3778"/>
      <c r="HK20" s="3786"/>
      <c r="HL20" s="3786"/>
      <c r="HM20" s="3786"/>
      <c r="HN20" s="3787"/>
      <c r="HO20" s="3785">
        <v>45627</v>
      </c>
      <c r="HP20" s="3786"/>
      <c r="HQ20" s="3778"/>
      <c r="HR20" s="3786"/>
      <c r="HS20" s="3786"/>
      <c r="HT20" s="3786"/>
      <c r="HU20" s="3787"/>
      <c r="HV20" s="3785" t="s">
        <v>3460</v>
      </c>
      <c r="HW20" s="3786"/>
      <c r="HX20" s="3778"/>
      <c r="HY20" s="3786"/>
      <c r="HZ20" s="3786"/>
      <c r="IA20" s="3786"/>
      <c r="IB20" s="3787"/>
      <c r="IC20" s="3788" t="s">
        <v>3461</v>
      </c>
      <c r="ID20" s="3789"/>
      <c r="IE20" s="3778"/>
      <c r="IF20" s="3789"/>
      <c r="IG20" s="3789"/>
      <c r="IH20" s="3789"/>
      <c r="II20" s="3790"/>
    </row>
    <row r="21" spans="1:243" s="3452" customFormat="1" ht="21.95" customHeight="1">
      <c r="B21" s="3752"/>
      <c r="C21" s="3752"/>
      <c r="D21" s="3752"/>
      <c r="E21" s="3755"/>
      <c r="F21" s="3747"/>
      <c r="G21" s="3758"/>
      <c r="H21" s="3761"/>
      <c r="I21" s="3764"/>
      <c r="J21" s="3764"/>
      <c r="K21" s="3764"/>
      <c r="L21" s="3461" t="s">
        <v>3462</v>
      </c>
      <c r="M21" s="3462" t="s">
        <v>3463</v>
      </c>
      <c r="N21" s="3461" t="s">
        <v>3462</v>
      </c>
      <c r="O21" s="3461" t="s">
        <v>3463</v>
      </c>
      <c r="P21" s="3461" t="s">
        <v>3462</v>
      </c>
      <c r="Q21" s="3462" t="s">
        <v>3463</v>
      </c>
      <c r="R21" s="3461" t="s">
        <v>3462</v>
      </c>
      <c r="S21" s="3461" t="s">
        <v>3463</v>
      </c>
      <c r="T21" s="3461" t="s">
        <v>3462</v>
      </c>
      <c r="U21" s="3461" t="s">
        <v>3463</v>
      </c>
      <c r="V21" s="3461" t="s">
        <v>3462</v>
      </c>
      <c r="W21" s="3462" t="s">
        <v>3463</v>
      </c>
      <c r="X21" s="3764"/>
      <c r="Y21" s="3764"/>
      <c r="Z21" s="3764"/>
      <c r="AA21" s="3463" t="s">
        <v>3464</v>
      </c>
      <c r="AB21" s="3463" t="s">
        <v>3465</v>
      </c>
      <c r="AC21" s="3464" t="s">
        <v>3466</v>
      </c>
      <c r="AD21" s="3465" t="s">
        <v>3467</v>
      </c>
      <c r="AE21" s="3466" t="s">
        <v>3468</v>
      </c>
      <c r="AF21" s="3467" t="s">
        <v>3469</v>
      </c>
      <c r="AG21" s="3467" t="s">
        <v>3470</v>
      </c>
      <c r="AH21" s="3468" t="s">
        <v>3464</v>
      </c>
      <c r="AI21" s="3468" t="s">
        <v>3465</v>
      </c>
      <c r="AJ21" s="3464" t="s">
        <v>3466</v>
      </c>
      <c r="AK21" s="3466" t="s">
        <v>3467</v>
      </c>
      <c r="AL21" s="3466" t="s">
        <v>3468</v>
      </c>
      <c r="AM21" s="3467" t="s">
        <v>3469</v>
      </c>
      <c r="AN21" s="3467" t="s">
        <v>3470</v>
      </c>
      <c r="AO21" s="3468" t="s">
        <v>3464</v>
      </c>
      <c r="AP21" s="3468" t="s">
        <v>3465</v>
      </c>
      <c r="AQ21" s="3469" t="s">
        <v>3466</v>
      </c>
      <c r="AR21" s="3466" t="s">
        <v>3467</v>
      </c>
      <c r="AS21" s="3466" t="s">
        <v>3468</v>
      </c>
      <c r="AT21" s="3467" t="s">
        <v>3469</v>
      </c>
      <c r="AU21" s="3467" t="s">
        <v>3470</v>
      </c>
      <c r="AV21" s="3470" t="s">
        <v>3464</v>
      </c>
      <c r="AW21" s="3470" t="s">
        <v>3465</v>
      </c>
      <c r="AX21" s="3469" t="s">
        <v>3466</v>
      </c>
      <c r="AY21" s="3470" t="s">
        <v>3467</v>
      </c>
      <c r="AZ21" s="3470" t="s">
        <v>3468</v>
      </c>
      <c r="BA21" s="3470" t="s">
        <v>3469</v>
      </c>
      <c r="BB21" s="3470" t="s">
        <v>3470</v>
      </c>
      <c r="BC21" s="3468" t="s">
        <v>3464</v>
      </c>
      <c r="BD21" s="3468" t="s">
        <v>3465</v>
      </c>
      <c r="BE21" s="3469" t="s">
        <v>3466</v>
      </c>
      <c r="BF21" s="3466" t="s">
        <v>3467</v>
      </c>
      <c r="BG21" s="3466" t="s">
        <v>3468</v>
      </c>
      <c r="BH21" s="3467" t="s">
        <v>3469</v>
      </c>
      <c r="BI21" s="3467" t="s">
        <v>3470</v>
      </c>
      <c r="BJ21" s="3468" t="s">
        <v>3464</v>
      </c>
      <c r="BK21" s="3468" t="s">
        <v>3465</v>
      </c>
      <c r="BL21" s="3469" t="s">
        <v>3466</v>
      </c>
      <c r="BM21" s="3466" t="s">
        <v>3467</v>
      </c>
      <c r="BN21" s="3466" t="s">
        <v>3468</v>
      </c>
      <c r="BO21" s="3467" t="s">
        <v>3469</v>
      </c>
      <c r="BP21" s="3467" t="s">
        <v>3470</v>
      </c>
      <c r="BQ21" s="3468" t="s">
        <v>3464</v>
      </c>
      <c r="BR21" s="3468" t="s">
        <v>3465</v>
      </c>
      <c r="BS21" s="3469" t="s">
        <v>3466</v>
      </c>
      <c r="BT21" s="3466" t="s">
        <v>3467</v>
      </c>
      <c r="BU21" s="3466" t="s">
        <v>3468</v>
      </c>
      <c r="BV21" s="3467" t="s">
        <v>3469</v>
      </c>
      <c r="BW21" s="3467" t="s">
        <v>3470</v>
      </c>
      <c r="BX21" s="3468" t="s">
        <v>3464</v>
      </c>
      <c r="BY21" s="3468" t="s">
        <v>3465</v>
      </c>
      <c r="BZ21" s="3469" t="s">
        <v>3466</v>
      </c>
      <c r="CA21" s="3466" t="s">
        <v>3467</v>
      </c>
      <c r="CB21" s="3466" t="s">
        <v>3468</v>
      </c>
      <c r="CC21" s="3467" t="s">
        <v>3469</v>
      </c>
      <c r="CD21" s="3467" t="s">
        <v>3470</v>
      </c>
      <c r="CE21" s="3468" t="s">
        <v>3464</v>
      </c>
      <c r="CF21" s="3468" t="s">
        <v>3465</v>
      </c>
      <c r="CG21" s="3469" t="s">
        <v>3466</v>
      </c>
      <c r="CH21" s="3466" t="s">
        <v>3467</v>
      </c>
      <c r="CI21" s="3466" t="s">
        <v>3468</v>
      </c>
      <c r="CJ21" s="3467" t="s">
        <v>3469</v>
      </c>
      <c r="CK21" s="3467" t="s">
        <v>3470</v>
      </c>
      <c r="CL21" s="3468" t="s">
        <v>3464</v>
      </c>
      <c r="CM21" s="3468" t="s">
        <v>3465</v>
      </c>
      <c r="CN21" s="3469" t="s">
        <v>3466</v>
      </c>
      <c r="CO21" s="3466" t="s">
        <v>3467</v>
      </c>
      <c r="CP21" s="3466" t="s">
        <v>3468</v>
      </c>
      <c r="CQ21" s="3467" t="s">
        <v>3469</v>
      </c>
      <c r="CR21" s="3467" t="s">
        <v>3470</v>
      </c>
      <c r="CS21" s="3468" t="s">
        <v>3464</v>
      </c>
      <c r="CT21" s="3468" t="s">
        <v>3465</v>
      </c>
      <c r="CU21" s="3469" t="s">
        <v>3466</v>
      </c>
      <c r="CV21" s="3466" t="s">
        <v>3467</v>
      </c>
      <c r="CW21" s="3466" t="s">
        <v>3468</v>
      </c>
      <c r="CX21" s="3467" t="s">
        <v>3469</v>
      </c>
      <c r="CY21" s="3467" t="s">
        <v>3470</v>
      </c>
      <c r="CZ21" s="3468" t="s">
        <v>3464</v>
      </c>
      <c r="DA21" s="3468" t="s">
        <v>3465</v>
      </c>
      <c r="DB21" s="3469" t="s">
        <v>3466</v>
      </c>
      <c r="DC21" s="3466" t="s">
        <v>3467</v>
      </c>
      <c r="DD21" s="3466" t="s">
        <v>3468</v>
      </c>
      <c r="DE21" s="3467" t="s">
        <v>3469</v>
      </c>
      <c r="DF21" s="3467" t="s">
        <v>3470</v>
      </c>
      <c r="DG21" s="3468" t="s">
        <v>3464</v>
      </c>
      <c r="DH21" s="3468" t="s">
        <v>3465</v>
      </c>
      <c r="DI21" s="3469" t="s">
        <v>3466</v>
      </c>
      <c r="DJ21" s="3466" t="s">
        <v>3467</v>
      </c>
      <c r="DK21" s="3466" t="s">
        <v>3468</v>
      </c>
      <c r="DL21" s="3467" t="s">
        <v>3469</v>
      </c>
      <c r="DM21" s="3467" t="s">
        <v>3470</v>
      </c>
      <c r="DN21" s="3468" t="s">
        <v>3464</v>
      </c>
      <c r="DO21" s="3468" t="s">
        <v>3465</v>
      </c>
      <c r="DP21" s="3469" t="s">
        <v>3466</v>
      </c>
      <c r="DQ21" s="3466" t="s">
        <v>3467</v>
      </c>
      <c r="DR21" s="3466" t="s">
        <v>3468</v>
      </c>
      <c r="DS21" s="3467" t="s">
        <v>3469</v>
      </c>
      <c r="DT21" s="3467" t="s">
        <v>3470</v>
      </c>
      <c r="DU21" s="3468" t="s">
        <v>3464</v>
      </c>
      <c r="DV21" s="3468" t="s">
        <v>3465</v>
      </c>
      <c r="DW21" s="3469" t="s">
        <v>3466</v>
      </c>
      <c r="DX21" s="3466" t="s">
        <v>3467</v>
      </c>
      <c r="DY21" s="3466" t="s">
        <v>3468</v>
      </c>
      <c r="DZ21" s="3467" t="s">
        <v>3469</v>
      </c>
      <c r="EA21" s="3467" t="s">
        <v>3470</v>
      </c>
      <c r="EB21" s="3468" t="s">
        <v>3464</v>
      </c>
      <c r="EC21" s="3468" t="s">
        <v>3465</v>
      </c>
      <c r="ED21" s="3469" t="s">
        <v>3466</v>
      </c>
      <c r="EE21" s="3466" t="s">
        <v>3467</v>
      </c>
      <c r="EF21" s="3466" t="s">
        <v>3468</v>
      </c>
      <c r="EG21" s="3467" t="s">
        <v>3469</v>
      </c>
      <c r="EH21" s="3467" t="s">
        <v>3470</v>
      </c>
      <c r="EI21" s="3468" t="s">
        <v>3464</v>
      </c>
      <c r="EJ21" s="3468" t="s">
        <v>3465</v>
      </c>
      <c r="EK21" s="3463" t="s">
        <v>3466</v>
      </c>
      <c r="EL21" s="3468" t="s">
        <v>3467</v>
      </c>
      <c r="EM21" s="3468" t="s">
        <v>3468</v>
      </c>
      <c r="EN21" s="3468" t="s">
        <v>3469</v>
      </c>
      <c r="EO21" s="3468" t="s">
        <v>3470</v>
      </c>
      <c r="EP21" s="3468" t="s">
        <v>3464</v>
      </c>
      <c r="EQ21" s="3468" t="s">
        <v>3465</v>
      </c>
      <c r="ER21" s="3469" t="s">
        <v>3466</v>
      </c>
      <c r="ES21" s="3466" t="s">
        <v>3467</v>
      </c>
      <c r="ET21" s="3466" t="s">
        <v>3468</v>
      </c>
      <c r="EU21" s="3467" t="s">
        <v>3469</v>
      </c>
      <c r="EV21" s="3467" t="s">
        <v>3470</v>
      </c>
      <c r="EW21" s="3468" t="s">
        <v>3464</v>
      </c>
      <c r="EX21" s="3468" t="s">
        <v>3465</v>
      </c>
      <c r="EY21" s="3469" t="s">
        <v>3466</v>
      </c>
      <c r="EZ21" s="3466" t="s">
        <v>3467</v>
      </c>
      <c r="FA21" s="3466" t="s">
        <v>3468</v>
      </c>
      <c r="FB21" s="3467" t="s">
        <v>3469</v>
      </c>
      <c r="FC21" s="3467" t="s">
        <v>3470</v>
      </c>
      <c r="FD21" s="3468" t="s">
        <v>3464</v>
      </c>
      <c r="FE21" s="3468" t="s">
        <v>3465</v>
      </c>
      <c r="FF21" s="3469" t="s">
        <v>3466</v>
      </c>
      <c r="FG21" s="3466" t="s">
        <v>3467</v>
      </c>
      <c r="FH21" s="3466" t="s">
        <v>3468</v>
      </c>
      <c r="FI21" s="3467" t="s">
        <v>3469</v>
      </c>
      <c r="FJ21" s="3467" t="s">
        <v>3470</v>
      </c>
      <c r="FK21" s="3468" t="s">
        <v>3464</v>
      </c>
      <c r="FL21" s="3468" t="s">
        <v>3465</v>
      </c>
      <c r="FM21" s="3469" t="s">
        <v>3466</v>
      </c>
      <c r="FN21" s="3466" t="s">
        <v>3467</v>
      </c>
      <c r="FO21" s="3466" t="s">
        <v>3468</v>
      </c>
      <c r="FP21" s="3467" t="s">
        <v>3469</v>
      </c>
      <c r="FQ21" s="3467" t="s">
        <v>3470</v>
      </c>
      <c r="FR21" s="3468" t="s">
        <v>3464</v>
      </c>
      <c r="FS21" s="3468" t="s">
        <v>3465</v>
      </c>
      <c r="FT21" s="3469" t="s">
        <v>3466</v>
      </c>
      <c r="FU21" s="3466" t="s">
        <v>3467</v>
      </c>
      <c r="FV21" s="3466" t="s">
        <v>3468</v>
      </c>
      <c r="FW21" s="3467" t="s">
        <v>3469</v>
      </c>
      <c r="FX21" s="3467" t="s">
        <v>3470</v>
      </c>
      <c r="FY21" s="3468" t="s">
        <v>3464</v>
      </c>
      <c r="FZ21" s="3468" t="s">
        <v>3465</v>
      </c>
      <c r="GA21" s="3469" t="s">
        <v>3466</v>
      </c>
      <c r="GB21" s="3466" t="s">
        <v>3467</v>
      </c>
      <c r="GC21" s="3466" t="s">
        <v>3468</v>
      </c>
      <c r="GD21" s="3467" t="s">
        <v>3469</v>
      </c>
      <c r="GE21" s="3467" t="s">
        <v>3470</v>
      </c>
      <c r="GF21" s="3468" t="s">
        <v>3464</v>
      </c>
      <c r="GG21" s="3468" t="s">
        <v>3465</v>
      </c>
      <c r="GH21" s="3469" t="s">
        <v>3466</v>
      </c>
      <c r="GI21" s="3466" t="s">
        <v>3467</v>
      </c>
      <c r="GJ21" s="3466" t="s">
        <v>3468</v>
      </c>
      <c r="GK21" s="3467" t="s">
        <v>3469</v>
      </c>
      <c r="GL21" s="3467" t="s">
        <v>3470</v>
      </c>
      <c r="GM21" s="3468" t="s">
        <v>3464</v>
      </c>
      <c r="GN21" s="3468" t="s">
        <v>3465</v>
      </c>
      <c r="GO21" s="3469" t="s">
        <v>3466</v>
      </c>
      <c r="GP21" s="3466" t="s">
        <v>3467</v>
      </c>
      <c r="GQ21" s="3466" t="s">
        <v>3468</v>
      </c>
      <c r="GR21" s="3467" t="s">
        <v>3469</v>
      </c>
      <c r="GS21" s="3467" t="s">
        <v>3470</v>
      </c>
      <c r="GT21" s="3468" t="s">
        <v>3464</v>
      </c>
      <c r="GU21" s="3468" t="s">
        <v>3465</v>
      </c>
      <c r="GV21" s="3469" t="s">
        <v>3466</v>
      </c>
      <c r="GW21" s="3466" t="s">
        <v>3467</v>
      </c>
      <c r="GX21" s="3466" t="s">
        <v>3468</v>
      </c>
      <c r="GY21" s="3467" t="s">
        <v>3469</v>
      </c>
      <c r="GZ21" s="3467" t="s">
        <v>3470</v>
      </c>
      <c r="HA21" s="3468" t="s">
        <v>3464</v>
      </c>
      <c r="HB21" s="3468" t="s">
        <v>3465</v>
      </c>
      <c r="HC21" s="3469" t="s">
        <v>3466</v>
      </c>
      <c r="HD21" s="3466" t="s">
        <v>3467</v>
      </c>
      <c r="HE21" s="3466" t="s">
        <v>3468</v>
      </c>
      <c r="HF21" s="3467" t="s">
        <v>3469</v>
      </c>
      <c r="HG21" s="3467" t="s">
        <v>3470</v>
      </c>
      <c r="HH21" s="3468" t="s">
        <v>3464</v>
      </c>
      <c r="HI21" s="3468" t="s">
        <v>3465</v>
      </c>
      <c r="HJ21" s="3469" t="s">
        <v>3466</v>
      </c>
      <c r="HK21" s="3466" t="s">
        <v>3467</v>
      </c>
      <c r="HL21" s="3466" t="s">
        <v>3468</v>
      </c>
      <c r="HM21" s="3467" t="s">
        <v>3469</v>
      </c>
      <c r="HN21" s="3467" t="s">
        <v>3470</v>
      </c>
      <c r="HO21" s="3468" t="s">
        <v>3464</v>
      </c>
      <c r="HP21" s="3468" t="s">
        <v>3465</v>
      </c>
      <c r="HQ21" s="3469" t="s">
        <v>3466</v>
      </c>
      <c r="HR21" s="3466" t="s">
        <v>3467</v>
      </c>
      <c r="HS21" s="3466" t="s">
        <v>3468</v>
      </c>
      <c r="HT21" s="3467" t="s">
        <v>3469</v>
      </c>
      <c r="HU21" s="3467" t="s">
        <v>3470</v>
      </c>
      <c r="HV21" s="3471" t="s">
        <v>3464</v>
      </c>
      <c r="HW21" s="3471" t="s">
        <v>3465</v>
      </c>
      <c r="HX21" s="3469" t="s">
        <v>3466</v>
      </c>
      <c r="HY21" s="3471" t="s">
        <v>3467</v>
      </c>
      <c r="HZ21" s="3471" t="s">
        <v>3468</v>
      </c>
      <c r="IA21" s="3471" t="s">
        <v>3469</v>
      </c>
      <c r="IB21" s="3471" t="s">
        <v>3470</v>
      </c>
      <c r="IC21" s="3472" t="s">
        <v>3464</v>
      </c>
      <c r="ID21" s="3472" t="s">
        <v>3465</v>
      </c>
      <c r="IE21" s="3469" t="s">
        <v>3466</v>
      </c>
      <c r="IF21" s="3472" t="s">
        <v>3467</v>
      </c>
      <c r="IG21" s="3472" t="s">
        <v>3468</v>
      </c>
      <c r="IH21" s="3472" t="s">
        <v>3469</v>
      </c>
      <c r="II21" s="3472" t="s">
        <v>3470</v>
      </c>
    </row>
    <row r="22" spans="1:243" s="3473" customFormat="1" ht="21.95" customHeight="1">
      <c r="A22" s="3473" t="s">
        <v>3499</v>
      </c>
      <c r="B22" s="3474">
        <v>1</v>
      </c>
      <c r="C22" s="3475" t="s">
        <v>3471</v>
      </c>
      <c r="D22" s="3476"/>
      <c r="E22" s="3477">
        <v>37</v>
      </c>
      <c r="F22" s="3478">
        <v>42.46</v>
      </c>
      <c r="G22" s="3474"/>
      <c r="H22" s="3474"/>
      <c r="I22" s="3474"/>
      <c r="J22" s="3474"/>
      <c r="K22" s="3479">
        <f t="shared" ref="K22:K33" si="6">YEAR(J22)-YEAR(I22)</f>
        <v>0</v>
      </c>
      <c r="L22" s="3480"/>
      <c r="M22" s="3481"/>
      <c r="N22" s="3480"/>
      <c r="O22" s="3480"/>
      <c r="P22" s="3480"/>
      <c r="Q22" s="3481"/>
      <c r="R22" s="3480"/>
      <c r="S22" s="3480"/>
      <c r="T22" s="3480"/>
      <c r="U22" s="3480"/>
      <c r="V22" s="3480"/>
      <c r="W22" s="3481"/>
      <c r="X22" s="3461">
        <f t="shared" ref="X22:X33" si="7">M22+O22+Q22+S22+U22+W22</f>
        <v>0</v>
      </c>
      <c r="Y22" s="3461">
        <f t="shared" ref="Y22:Y33" si="8">IF22</f>
        <v>0</v>
      </c>
      <c r="Z22" s="3461">
        <f t="shared" ref="Z22:Z33" si="9">X22-Y22</f>
        <v>0</v>
      </c>
      <c r="AA22" s="3482"/>
      <c r="AB22" s="3482"/>
      <c r="AC22" s="3483">
        <f t="shared" ref="AC22:AC33" si="10">AA22-AB22</f>
        <v>0</v>
      </c>
      <c r="AD22" s="3482"/>
      <c r="AE22" s="3482"/>
      <c r="AF22" s="3483">
        <f t="shared" ref="AF22:AG33" si="11">AA22-AD22</f>
        <v>0</v>
      </c>
      <c r="AG22" s="3483">
        <f t="shared" si="11"/>
        <v>0</v>
      </c>
      <c r="AH22" s="3482"/>
      <c r="AI22" s="3482"/>
      <c r="AJ22" s="3483">
        <f t="shared" ref="AJ22:AJ33" si="12">AH22-AI22</f>
        <v>0</v>
      </c>
      <c r="AK22" s="3482"/>
      <c r="AL22" s="3482"/>
      <c r="AM22" s="3483">
        <f t="shared" ref="AM22:AN33" si="13">AH22-AK22</f>
        <v>0</v>
      </c>
      <c r="AN22" s="3483">
        <f t="shared" si="13"/>
        <v>0</v>
      </c>
      <c r="AO22" s="3482"/>
      <c r="AP22" s="3482"/>
      <c r="AQ22" s="3483">
        <f t="shared" ref="AQ22:AQ33" si="14">AO22-AP22</f>
        <v>0</v>
      </c>
      <c r="AR22" s="3482"/>
      <c r="AS22" s="3482"/>
      <c r="AT22" s="3483">
        <f t="shared" ref="AT22:AU33" si="15">AO22-AR22</f>
        <v>0</v>
      </c>
      <c r="AU22" s="3483">
        <f t="shared" si="15"/>
        <v>0</v>
      </c>
      <c r="AV22" s="3484">
        <f t="shared" ref="AV22:BB33" si="16">AA22+AH22+AO22</f>
        <v>0</v>
      </c>
      <c r="AW22" s="3484">
        <f t="shared" si="16"/>
        <v>0</v>
      </c>
      <c r="AX22" s="3484">
        <f t="shared" ref="AX22:AX33" si="17">AV22-AW22</f>
        <v>0</v>
      </c>
      <c r="AY22" s="3484">
        <f t="shared" si="16"/>
        <v>0</v>
      </c>
      <c r="AZ22" s="3484">
        <f t="shared" si="16"/>
        <v>0</v>
      </c>
      <c r="BA22" s="3484">
        <f t="shared" si="16"/>
        <v>0</v>
      </c>
      <c r="BB22" s="3484">
        <f t="shared" si="16"/>
        <v>0</v>
      </c>
      <c r="BC22" s="3482"/>
      <c r="BD22" s="3482"/>
      <c r="BE22" s="3483">
        <f t="shared" ref="BE22:BE33" si="18">BC22-BD22</f>
        <v>0</v>
      </c>
      <c r="BF22" s="3482"/>
      <c r="BG22" s="3482"/>
      <c r="BH22" s="3483">
        <f t="shared" ref="BH22:BI33" si="19">BC22-BF22</f>
        <v>0</v>
      </c>
      <c r="BI22" s="3483">
        <f t="shared" si="19"/>
        <v>0</v>
      </c>
      <c r="BJ22" s="3482"/>
      <c r="BK22" s="3482"/>
      <c r="BL22" s="3483">
        <f t="shared" ref="BL22:BL33" si="20">BJ22-BK22</f>
        <v>0</v>
      </c>
      <c r="BM22" s="3482"/>
      <c r="BN22" s="3482"/>
      <c r="BO22" s="3483">
        <f t="shared" ref="BO22:BP33" si="21">BJ22-BM22</f>
        <v>0</v>
      </c>
      <c r="BP22" s="3483">
        <f t="shared" si="21"/>
        <v>0</v>
      </c>
      <c r="BQ22" s="3482"/>
      <c r="BR22" s="3482"/>
      <c r="BS22" s="3483">
        <f t="shared" ref="BS22:BS33" si="22">BQ22-BR22</f>
        <v>0</v>
      </c>
      <c r="BT22" s="3482"/>
      <c r="BU22" s="3482"/>
      <c r="BV22" s="3483">
        <f t="shared" ref="BV22:BW33" si="23">BQ22-BT22</f>
        <v>0</v>
      </c>
      <c r="BW22" s="3483">
        <f t="shared" si="23"/>
        <v>0</v>
      </c>
      <c r="BX22" s="3482"/>
      <c r="BY22" s="3482"/>
      <c r="BZ22" s="3483">
        <f t="shared" ref="BZ22:BZ33" si="24">BX22-BY22</f>
        <v>0</v>
      </c>
      <c r="CA22" s="3482"/>
      <c r="CB22" s="3482"/>
      <c r="CC22" s="3483">
        <f t="shared" ref="CC22:CD33" si="25">BX22-CA22</f>
        <v>0</v>
      </c>
      <c r="CD22" s="3483">
        <f t="shared" si="25"/>
        <v>0</v>
      </c>
      <c r="CE22" s="3482"/>
      <c r="CF22" s="3482"/>
      <c r="CG22" s="3483">
        <f t="shared" ref="CG22:CG33" si="26">CE22-CF22</f>
        <v>0</v>
      </c>
      <c r="CH22" s="3482"/>
      <c r="CI22" s="3482"/>
      <c r="CJ22" s="3483">
        <f t="shared" ref="CJ22:CK33" si="27">CE22-CH22</f>
        <v>0</v>
      </c>
      <c r="CK22" s="3483">
        <f t="shared" si="27"/>
        <v>0</v>
      </c>
      <c r="CL22" s="3482"/>
      <c r="CM22" s="3482"/>
      <c r="CN22" s="3483">
        <f t="shared" ref="CN22:CN33" si="28">CL22-CM22</f>
        <v>0</v>
      </c>
      <c r="CO22" s="3482"/>
      <c r="CP22" s="3482"/>
      <c r="CQ22" s="3483">
        <f t="shared" ref="CQ22:CR33" si="29">CL22-CO22</f>
        <v>0</v>
      </c>
      <c r="CR22" s="3483">
        <f t="shared" si="29"/>
        <v>0</v>
      </c>
      <c r="CS22" s="3482"/>
      <c r="CT22" s="3482"/>
      <c r="CU22" s="3483">
        <f t="shared" ref="CU22:CU33" si="30">CS22-CT22</f>
        <v>0</v>
      </c>
      <c r="CV22" s="3482"/>
      <c r="CW22" s="3482"/>
      <c r="CX22" s="3483">
        <f t="shared" ref="CX22:CY33" si="31">CS22-CV22</f>
        <v>0</v>
      </c>
      <c r="CY22" s="3483">
        <f t="shared" si="31"/>
        <v>0</v>
      </c>
      <c r="CZ22" s="3482"/>
      <c r="DA22" s="3482"/>
      <c r="DB22" s="3483">
        <f t="shared" ref="DB22:DB33" si="32">CZ22-DA22</f>
        <v>0</v>
      </c>
      <c r="DC22" s="3485"/>
      <c r="DD22" s="3485"/>
      <c r="DE22" s="3483">
        <f t="shared" ref="DE22:DF33" si="33">CZ22-DC22</f>
        <v>0</v>
      </c>
      <c r="DF22" s="3483">
        <f t="shared" si="33"/>
        <v>0</v>
      </c>
      <c r="DG22" s="3485"/>
      <c r="DH22" s="3485"/>
      <c r="DI22" s="3483">
        <f t="shared" ref="DI22:DI33" si="34">DG22-DH22</f>
        <v>0</v>
      </c>
      <c r="DJ22" s="3485"/>
      <c r="DK22" s="3485"/>
      <c r="DL22" s="3483">
        <f t="shared" ref="DL22:DM33" si="35">DG22-DJ22</f>
        <v>0</v>
      </c>
      <c r="DM22" s="3483">
        <f t="shared" si="35"/>
        <v>0</v>
      </c>
      <c r="DN22" s="3485"/>
      <c r="DO22" s="3485"/>
      <c r="DP22" s="3483">
        <f t="shared" ref="DP22:DP33" si="36">DN22-DO22</f>
        <v>0</v>
      </c>
      <c r="DQ22" s="3485"/>
      <c r="DR22" s="3485"/>
      <c r="DS22" s="3483">
        <f t="shared" ref="DS22:DT33" si="37">DN22-DQ22</f>
        <v>0</v>
      </c>
      <c r="DT22" s="3483">
        <f t="shared" si="37"/>
        <v>0</v>
      </c>
      <c r="DU22" s="3485"/>
      <c r="DV22" s="3485"/>
      <c r="DW22" s="3483">
        <f t="shared" ref="DW22:DW33" si="38">DU22-DV22</f>
        <v>0</v>
      </c>
      <c r="DX22" s="3485"/>
      <c r="DY22" s="3485"/>
      <c r="DZ22" s="3483">
        <f t="shared" ref="DZ22:EA33" si="39">DU22-DX22</f>
        <v>0</v>
      </c>
      <c r="EA22" s="3483">
        <f t="shared" si="39"/>
        <v>0</v>
      </c>
      <c r="EB22" s="3485"/>
      <c r="EC22" s="3485"/>
      <c r="ED22" s="3483">
        <f t="shared" ref="ED22:ED33" si="40">EB22-EC22</f>
        <v>0</v>
      </c>
      <c r="EE22" s="3485"/>
      <c r="EF22" s="3485"/>
      <c r="EG22" s="3483">
        <f t="shared" ref="EG22:EH33" si="41">EB22-EE22</f>
        <v>0</v>
      </c>
      <c r="EH22" s="3483">
        <f t="shared" si="41"/>
        <v>0</v>
      </c>
      <c r="EI22" s="3486">
        <f t="shared" ref="EI22:EO33" si="42">BC22+BJ22+BQ22+BX22+CE22+CL22+CS22+CZ22+DG22+DN22+DU22+EB22</f>
        <v>0</v>
      </c>
      <c r="EJ22" s="3486">
        <f t="shared" si="42"/>
        <v>0</v>
      </c>
      <c r="EK22" s="3463">
        <f t="shared" ref="EK22:EK33" si="43">EI22-EJ22</f>
        <v>0</v>
      </c>
      <c r="EL22" s="3486">
        <f t="shared" si="42"/>
        <v>0</v>
      </c>
      <c r="EM22" s="3486">
        <f t="shared" si="42"/>
        <v>0</v>
      </c>
      <c r="EN22" s="3486">
        <f t="shared" si="42"/>
        <v>0</v>
      </c>
      <c r="EO22" s="3486">
        <f t="shared" si="42"/>
        <v>0</v>
      </c>
      <c r="EP22" s="3482"/>
      <c r="EQ22" s="3482"/>
      <c r="ER22" s="3483">
        <f t="shared" ref="ER22:ER33" si="44">EP22-EQ22</f>
        <v>0</v>
      </c>
      <c r="ES22" s="3482"/>
      <c r="ET22" s="3482"/>
      <c r="EU22" s="3483">
        <f t="shared" ref="EU22:EV33" si="45">EP22-ES22</f>
        <v>0</v>
      </c>
      <c r="EV22" s="3483">
        <f t="shared" si="45"/>
        <v>0</v>
      </c>
      <c r="EW22" s="3482"/>
      <c r="EX22" s="3482"/>
      <c r="EY22" s="3483">
        <f t="shared" ref="EY22:EY33" si="46">EW22-EX22</f>
        <v>0</v>
      </c>
      <c r="EZ22" s="3482"/>
      <c r="FA22" s="3482"/>
      <c r="FB22" s="3483">
        <f t="shared" ref="FB22:FC33" si="47">EW22-EZ22</f>
        <v>0</v>
      </c>
      <c r="FC22" s="3483">
        <f t="shared" si="47"/>
        <v>0</v>
      </c>
      <c r="FD22" s="3482"/>
      <c r="FE22" s="3482"/>
      <c r="FF22" s="3483">
        <f t="shared" ref="FF22:FF33" si="48">FD22-FE22</f>
        <v>0</v>
      </c>
      <c r="FG22" s="3482"/>
      <c r="FH22" s="3482"/>
      <c r="FI22" s="3483">
        <f t="shared" ref="FI22:FJ33" si="49">FD22-FG22</f>
        <v>0</v>
      </c>
      <c r="FJ22" s="3483">
        <f t="shared" si="49"/>
        <v>0</v>
      </c>
      <c r="FK22" s="3482"/>
      <c r="FL22" s="3482"/>
      <c r="FM22" s="3483">
        <f t="shared" ref="FM22:FM33" si="50">FK22-FL22</f>
        <v>0</v>
      </c>
      <c r="FN22" s="3482"/>
      <c r="FO22" s="3482"/>
      <c r="FP22" s="3483">
        <f t="shared" ref="FP22:FQ33" si="51">FK22-FN22</f>
        <v>0</v>
      </c>
      <c r="FQ22" s="3483">
        <f t="shared" si="51"/>
        <v>0</v>
      </c>
      <c r="FR22" s="3482"/>
      <c r="FS22" s="3482"/>
      <c r="FT22" s="3483">
        <f t="shared" ref="FT22:FT33" si="52">FR22-FS22</f>
        <v>0</v>
      </c>
      <c r="FU22" s="3482"/>
      <c r="FV22" s="3482"/>
      <c r="FW22" s="3483">
        <f t="shared" ref="FW22:FX33" si="53">FR22-FU22</f>
        <v>0</v>
      </c>
      <c r="FX22" s="3483">
        <f t="shared" si="53"/>
        <v>0</v>
      </c>
      <c r="FY22" s="3482"/>
      <c r="FZ22" s="3482"/>
      <c r="GA22" s="3483">
        <f t="shared" ref="GA22:GA33" si="54">FY22-FZ22</f>
        <v>0</v>
      </c>
      <c r="GB22" s="3482"/>
      <c r="GC22" s="3482"/>
      <c r="GD22" s="3483">
        <f t="shared" ref="GD22:GE33" si="55">FY22-GB22</f>
        <v>0</v>
      </c>
      <c r="GE22" s="3483">
        <f t="shared" si="55"/>
        <v>0</v>
      </c>
      <c r="GF22" s="3482"/>
      <c r="GG22" s="3482"/>
      <c r="GH22" s="3483">
        <f t="shared" ref="GH22:GH33" si="56">GF22-GG22</f>
        <v>0</v>
      </c>
      <c r="GI22" s="3482"/>
      <c r="GJ22" s="3482"/>
      <c r="GK22" s="3483">
        <f t="shared" ref="GK22:GL33" si="57">GF22-GI22</f>
        <v>0</v>
      </c>
      <c r="GL22" s="3483">
        <f t="shared" si="57"/>
        <v>0</v>
      </c>
      <c r="GM22" s="3482"/>
      <c r="GN22" s="3482"/>
      <c r="GO22" s="3483">
        <f t="shared" ref="GO22:GO33" si="58">GM22-GN22</f>
        <v>0</v>
      </c>
      <c r="GP22" s="3485"/>
      <c r="GQ22" s="3485"/>
      <c r="GR22" s="3483">
        <f t="shared" ref="GR22:GS33" si="59">GM22-GP22</f>
        <v>0</v>
      </c>
      <c r="GS22" s="3483">
        <f t="shared" si="59"/>
        <v>0</v>
      </c>
      <c r="GT22" s="3485"/>
      <c r="GU22" s="3485"/>
      <c r="GV22" s="3483">
        <f t="shared" ref="GV22:GV33" si="60">GT22-GU22</f>
        <v>0</v>
      </c>
      <c r="GW22" s="3485"/>
      <c r="GX22" s="3485"/>
      <c r="GY22" s="3483">
        <f t="shared" ref="GY22:GZ33" si="61">GT22-GW22</f>
        <v>0</v>
      </c>
      <c r="GZ22" s="3483">
        <f t="shared" si="61"/>
        <v>0</v>
      </c>
      <c r="HA22" s="3485"/>
      <c r="HB22" s="3485"/>
      <c r="HC22" s="3483">
        <f t="shared" ref="HC22:HC33" si="62">HA22-HB22</f>
        <v>0</v>
      </c>
      <c r="HD22" s="3485"/>
      <c r="HE22" s="3485"/>
      <c r="HF22" s="3483">
        <f t="shared" ref="HF22:HG33" si="63">HA22-HD22</f>
        <v>0</v>
      </c>
      <c r="HG22" s="3483">
        <f t="shared" si="63"/>
        <v>0</v>
      </c>
      <c r="HH22" s="3485"/>
      <c r="HI22" s="3485"/>
      <c r="HJ22" s="3483">
        <f t="shared" ref="HJ22:HJ33" si="64">HH22-HI22</f>
        <v>0</v>
      </c>
      <c r="HK22" s="3485"/>
      <c r="HL22" s="3485"/>
      <c r="HM22" s="3483">
        <f t="shared" ref="HM22:HN33" si="65">HH22-HK22</f>
        <v>0</v>
      </c>
      <c r="HN22" s="3483">
        <f t="shared" si="65"/>
        <v>0</v>
      </c>
      <c r="HO22" s="3485"/>
      <c r="HP22" s="3485"/>
      <c r="HQ22" s="3483">
        <f t="shared" ref="HQ22:HQ33" si="66">HO22-HP22</f>
        <v>0</v>
      </c>
      <c r="HR22" s="3485"/>
      <c r="HS22" s="3485"/>
      <c r="HT22" s="3483">
        <f t="shared" ref="HT22:HU33" si="67">HO22-HR22</f>
        <v>0</v>
      </c>
      <c r="HU22" s="3483">
        <f t="shared" si="67"/>
        <v>0</v>
      </c>
      <c r="HV22" s="3487">
        <f t="shared" ref="HV22:IB33" si="68">EP22+EW22+FD22+FK22+FR22+FY22+GF22+GM22+GT22+HA22+HH22+HO22</f>
        <v>0</v>
      </c>
      <c r="HW22" s="3487">
        <f t="shared" si="68"/>
        <v>0</v>
      </c>
      <c r="HX22" s="3487">
        <f t="shared" ref="HX22:HX33" si="69">HV22-HW22</f>
        <v>0</v>
      </c>
      <c r="HY22" s="3487">
        <f t="shared" si="68"/>
        <v>0</v>
      </c>
      <c r="HZ22" s="3487">
        <f t="shared" si="68"/>
        <v>0</v>
      </c>
      <c r="IA22" s="3487">
        <f t="shared" si="68"/>
        <v>0</v>
      </c>
      <c r="IB22" s="3487">
        <f t="shared" si="68"/>
        <v>0</v>
      </c>
      <c r="IC22" s="3488">
        <f t="shared" ref="IC22:II33" si="70">AV22+EI22+HV22</f>
        <v>0</v>
      </c>
      <c r="ID22" s="3488">
        <f t="shared" si="70"/>
        <v>0</v>
      </c>
      <c r="IE22" s="3489">
        <f t="shared" ref="IE22:IE33" si="71">IC22-ID22</f>
        <v>0</v>
      </c>
      <c r="IF22" s="3488">
        <f t="shared" si="70"/>
        <v>0</v>
      </c>
      <c r="IG22" s="3488">
        <f t="shared" si="70"/>
        <v>0</v>
      </c>
      <c r="IH22" s="3488">
        <f t="shared" si="70"/>
        <v>0</v>
      </c>
      <c r="II22" s="3488">
        <f t="shared" si="70"/>
        <v>0</v>
      </c>
    </row>
    <row r="23" spans="1:243" s="3473" customFormat="1" ht="21.95" customHeight="1">
      <c r="A23" s="3473" t="s">
        <v>3500</v>
      </c>
      <c r="B23" s="3474">
        <v>2</v>
      </c>
      <c r="C23" s="3490" t="s">
        <v>3472</v>
      </c>
      <c r="D23" s="3476" t="s">
        <v>3473</v>
      </c>
      <c r="E23" s="3477">
        <v>27.3</v>
      </c>
      <c r="F23" s="3478">
        <v>34.130000000000003</v>
      </c>
      <c r="G23" s="3474">
        <v>6.3</v>
      </c>
      <c r="H23" s="3474" t="s">
        <v>3474</v>
      </c>
      <c r="I23" s="3491">
        <v>44848</v>
      </c>
      <c r="J23" s="3491">
        <v>47039</v>
      </c>
      <c r="K23" s="3479">
        <f t="shared" si="6"/>
        <v>6</v>
      </c>
      <c r="L23" s="3481">
        <f>ROUND(F23*G23*365/12,2)</f>
        <v>6540.16</v>
      </c>
      <c r="M23" s="3477">
        <v>71941.78</v>
      </c>
      <c r="N23" s="3480">
        <v>6540.16</v>
      </c>
      <c r="O23" s="3481">
        <v>71941.78</v>
      </c>
      <c r="P23" s="3480">
        <v>6913.88</v>
      </c>
      <c r="Q23" s="3481">
        <v>82966.61</v>
      </c>
      <c r="R23" s="3480">
        <v>6913.88</v>
      </c>
      <c r="S23" s="3481">
        <v>82966.61</v>
      </c>
      <c r="T23" s="3480">
        <v>7308.37</v>
      </c>
      <c r="U23" s="3480">
        <v>87700.45</v>
      </c>
      <c r="V23" s="3480">
        <v>7308.37</v>
      </c>
      <c r="W23" s="3480">
        <v>87700.45</v>
      </c>
      <c r="X23" s="3461">
        <f t="shared" si="7"/>
        <v>485217.68</v>
      </c>
      <c r="Y23" s="3461">
        <v>71941.78</v>
      </c>
      <c r="Z23" s="3461">
        <f t="shared" si="9"/>
        <v>413275.9</v>
      </c>
      <c r="AA23" s="3482">
        <v>71941.78</v>
      </c>
      <c r="AB23" s="3482">
        <v>6540.16</v>
      </c>
      <c r="AC23" s="3483">
        <f t="shared" si="10"/>
        <v>65401.619999999995</v>
      </c>
      <c r="AD23" s="3482">
        <v>71941.78</v>
      </c>
      <c r="AE23" s="3482">
        <v>6540.16</v>
      </c>
      <c r="AF23" s="3483">
        <f t="shared" si="11"/>
        <v>0</v>
      </c>
      <c r="AG23" s="3483">
        <f t="shared" si="11"/>
        <v>0</v>
      </c>
      <c r="AH23" s="3482"/>
      <c r="AI23" s="3482"/>
      <c r="AJ23" s="3483">
        <f t="shared" si="12"/>
        <v>0</v>
      </c>
      <c r="AK23" s="3482"/>
      <c r="AL23" s="3482"/>
      <c r="AM23" s="3483">
        <f t="shared" si="13"/>
        <v>0</v>
      </c>
      <c r="AN23" s="3483">
        <f t="shared" si="13"/>
        <v>0</v>
      </c>
      <c r="AO23" s="3482"/>
      <c r="AP23" s="3482"/>
      <c r="AQ23" s="3483">
        <f t="shared" si="14"/>
        <v>0</v>
      </c>
      <c r="AR23" s="3482"/>
      <c r="AS23" s="3482"/>
      <c r="AT23" s="3483">
        <f t="shared" si="15"/>
        <v>0</v>
      </c>
      <c r="AU23" s="3483">
        <f t="shared" si="15"/>
        <v>0</v>
      </c>
      <c r="AV23" s="3484">
        <f t="shared" si="16"/>
        <v>71941.78</v>
      </c>
      <c r="AW23" s="3484">
        <f t="shared" si="16"/>
        <v>6540.16</v>
      </c>
      <c r="AX23" s="3484">
        <f t="shared" si="17"/>
        <v>65401.619999999995</v>
      </c>
      <c r="AY23" s="3484">
        <f t="shared" si="16"/>
        <v>71941.78</v>
      </c>
      <c r="AZ23" s="3484">
        <f t="shared" si="16"/>
        <v>6540.16</v>
      </c>
      <c r="BA23" s="3484">
        <f t="shared" si="16"/>
        <v>0</v>
      </c>
      <c r="BB23" s="3484">
        <f t="shared" si="16"/>
        <v>0</v>
      </c>
      <c r="BC23" s="3482"/>
      <c r="BD23" s="3482"/>
      <c r="BE23" s="3483">
        <f t="shared" si="18"/>
        <v>0</v>
      </c>
      <c r="BF23" s="3482"/>
      <c r="BG23" s="3482"/>
      <c r="BH23" s="3483">
        <f t="shared" si="19"/>
        <v>0</v>
      </c>
      <c r="BI23" s="3483">
        <f t="shared" si="19"/>
        <v>0</v>
      </c>
      <c r="BJ23" s="3482"/>
      <c r="BK23" s="3482"/>
      <c r="BL23" s="3483">
        <f t="shared" si="20"/>
        <v>0</v>
      </c>
      <c r="BM23" s="3482"/>
      <c r="BN23" s="3482"/>
      <c r="BO23" s="3483">
        <f t="shared" si="21"/>
        <v>0</v>
      </c>
      <c r="BP23" s="3483">
        <f t="shared" si="21"/>
        <v>0</v>
      </c>
      <c r="BQ23" s="3482"/>
      <c r="BR23" s="3482"/>
      <c r="BS23" s="3483">
        <f t="shared" si="22"/>
        <v>0</v>
      </c>
      <c r="BT23" s="3482"/>
      <c r="BU23" s="3482"/>
      <c r="BV23" s="3483">
        <f t="shared" si="23"/>
        <v>0</v>
      </c>
      <c r="BW23" s="3483">
        <f t="shared" si="23"/>
        <v>0</v>
      </c>
      <c r="BX23" s="3482"/>
      <c r="BY23" s="3482"/>
      <c r="BZ23" s="3483">
        <f t="shared" si="24"/>
        <v>0</v>
      </c>
      <c r="CA23" s="3482"/>
      <c r="CB23" s="3482"/>
      <c r="CC23" s="3483">
        <f t="shared" si="25"/>
        <v>0</v>
      </c>
      <c r="CD23" s="3483">
        <f t="shared" si="25"/>
        <v>0</v>
      </c>
      <c r="CE23" s="3482"/>
      <c r="CF23" s="3482"/>
      <c r="CG23" s="3483">
        <f t="shared" si="26"/>
        <v>0</v>
      </c>
      <c r="CH23" s="3482"/>
      <c r="CI23" s="3482"/>
      <c r="CJ23" s="3483">
        <f t="shared" si="27"/>
        <v>0</v>
      </c>
      <c r="CK23" s="3483">
        <f t="shared" si="27"/>
        <v>0</v>
      </c>
      <c r="CL23" s="3482"/>
      <c r="CM23" s="3482"/>
      <c r="CN23" s="3483">
        <f t="shared" si="28"/>
        <v>0</v>
      </c>
      <c r="CO23" s="3482"/>
      <c r="CP23" s="3482"/>
      <c r="CQ23" s="3483">
        <f t="shared" si="29"/>
        <v>0</v>
      </c>
      <c r="CR23" s="3483">
        <f t="shared" si="29"/>
        <v>0</v>
      </c>
      <c r="CS23" s="3482"/>
      <c r="CT23" s="3482"/>
      <c r="CU23" s="3483">
        <f t="shared" si="30"/>
        <v>0</v>
      </c>
      <c r="CV23" s="3482"/>
      <c r="CW23" s="3482"/>
      <c r="CX23" s="3483">
        <f t="shared" si="31"/>
        <v>0</v>
      </c>
      <c r="CY23" s="3483">
        <f t="shared" si="31"/>
        <v>0</v>
      </c>
      <c r="CZ23" s="3482"/>
      <c r="DA23" s="3482"/>
      <c r="DB23" s="3483">
        <f t="shared" si="32"/>
        <v>0</v>
      </c>
      <c r="DC23" s="3485"/>
      <c r="DD23" s="3485"/>
      <c r="DE23" s="3483">
        <f t="shared" si="33"/>
        <v>0</v>
      </c>
      <c r="DF23" s="3483">
        <f t="shared" si="33"/>
        <v>0</v>
      </c>
      <c r="DG23" s="3485"/>
      <c r="DH23" s="3485"/>
      <c r="DI23" s="3483">
        <f t="shared" si="34"/>
        <v>0</v>
      </c>
      <c r="DJ23" s="3485"/>
      <c r="DK23" s="3485"/>
      <c r="DL23" s="3483">
        <f t="shared" si="35"/>
        <v>0</v>
      </c>
      <c r="DM23" s="3483">
        <f t="shared" si="35"/>
        <v>0</v>
      </c>
      <c r="DN23" s="3485"/>
      <c r="DO23" s="3485"/>
      <c r="DP23" s="3483">
        <f t="shared" si="36"/>
        <v>0</v>
      </c>
      <c r="DQ23" s="3485"/>
      <c r="DR23" s="3485"/>
      <c r="DS23" s="3483">
        <f t="shared" si="37"/>
        <v>0</v>
      </c>
      <c r="DT23" s="3483">
        <f t="shared" si="37"/>
        <v>0</v>
      </c>
      <c r="DU23" s="3485"/>
      <c r="DV23" s="3485"/>
      <c r="DW23" s="3483">
        <f t="shared" si="38"/>
        <v>0</v>
      </c>
      <c r="DX23" s="3485"/>
      <c r="DY23" s="3485"/>
      <c r="DZ23" s="3483">
        <f t="shared" si="39"/>
        <v>0</v>
      </c>
      <c r="EA23" s="3483">
        <f t="shared" si="39"/>
        <v>0</v>
      </c>
      <c r="EB23" s="3485"/>
      <c r="EC23" s="3485"/>
      <c r="ED23" s="3483">
        <f t="shared" si="40"/>
        <v>0</v>
      </c>
      <c r="EE23" s="3485"/>
      <c r="EF23" s="3485"/>
      <c r="EG23" s="3483">
        <f t="shared" si="41"/>
        <v>0</v>
      </c>
      <c r="EH23" s="3483">
        <f t="shared" si="41"/>
        <v>0</v>
      </c>
      <c r="EI23" s="3486">
        <f t="shared" si="42"/>
        <v>0</v>
      </c>
      <c r="EJ23" s="3486">
        <f t="shared" si="42"/>
        <v>0</v>
      </c>
      <c r="EK23" s="3463">
        <f t="shared" si="43"/>
        <v>0</v>
      </c>
      <c r="EL23" s="3486">
        <f t="shared" si="42"/>
        <v>0</v>
      </c>
      <c r="EM23" s="3486">
        <f t="shared" si="42"/>
        <v>0</v>
      </c>
      <c r="EN23" s="3486">
        <f t="shared" si="42"/>
        <v>0</v>
      </c>
      <c r="EO23" s="3486">
        <f t="shared" si="42"/>
        <v>0</v>
      </c>
      <c r="EP23" s="3482"/>
      <c r="EQ23" s="3482"/>
      <c r="ER23" s="3483">
        <f t="shared" si="44"/>
        <v>0</v>
      </c>
      <c r="ES23" s="3482"/>
      <c r="ET23" s="3482"/>
      <c r="EU23" s="3483">
        <f t="shared" si="45"/>
        <v>0</v>
      </c>
      <c r="EV23" s="3483">
        <f t="shared" si="45"/>
        <v>0</v>
      </c>
      <c r="EW23" s="3482"/>
      <c r="EX23" s="3482"/>
      <c r="EY23" s="3483">
        <f t="shared" si="46"/>
        <v>0</v>
      </c>
      <c r="EZ23" s="3482"/>
      <c r="FA23" s="3482"/>
      <c r="FB23" s="3483">
        <f t="shared" si="47"/>
        <v>0</v>
      </c>
      <c r="FC23" s="3483">
        <f t="shared" si="47"/>
        <v>0</v>
      </c>
      <c r="FD23" s="3482"/>
      <c r="FE23" s="3482"/>
      <c r="FF23" s="3483">
        <f t="shared" si="48"/>
        <v>0</v>
      </c>
      <c r="FG23" s="3482"/>
      <c r="FH23" s="3482"/>
      <c r="FI23" s="3483">
        <f t="shared" si="49"/>
        <v>0</v>
      </c>
      <c r="FJ23" s="3483">
        <f t="shared" si="49"/>
        <v>0</v>
      </c>
      <c r="FK23" s="3482"/>
      <c r="FL23" s="3482"/>
      <c r="FM23" s="3483">
        <f t="shared" si="50"/>
        <v>0</v>
      </c>
      <c r="FN23" s="3482"/>
      <c r="FO23" s="3482"/>
      <c r="FP23" s="3483">
        <f t="shared" si="51"/>
        <v>0</v>
      </c>
      <c r="FQ23" s="3483">
        <f t="shared" si="51"/>
        <v>0</v>
      </c>
      <c r="FR23" s="3482"/>
      <c r="FS23" s="3482"/>
      <c r="FT23" s="3483">
        <f t="shared" si="52"/>
        <v>0</v>
      </c>
      <c r="FU23" s="3482"/>
      <c r="FV23" s="3482"/>
      <c r="FW23" s="3483">
        <f t="shared" si="53"/>
        <v>0</v>
      </c>
      <c r="FX23" s="3483">
        <f t="shared" si="53"/>
        <v>0</v>
      </c>
      <c r="FY23" s="3482"/>
      <c r="FZ23" s="3482"/>
      <c r="GA23" s="3483">
        <f t="shared" si="54"/>
        <v>0</v>
      </c>
      <c r="GB23" s="3482"/>
      <c r="GC23" s="3482"/>
      <c r="GD23" s="3483">
        <f t="shared" si="55"/>
        <v>0</v>
      </c>
      <c r="GE23" s="3483">
        <f t="shared" si="55"/>
        <v>0</v>
      </c>
      <c r="GF23" s="3482"/>
      <c r="GG23" s="3482"/>
      <c r="GH23" s="3483">
        <f t="shared" si="56"/>
        <v>0</v>
      </c>
      <c r="GI23" s="3482"/>
      <c r="GJ23" s="3482"/>
      <c r="GK23" s="3483">
        <f t="shared" si="57"/>
        <v>0</v>
      </c>
      <c r="GL23" s="3483">
        <f t="shared" si="57"/>
        <v>0</v>
      </c>
      <c r="GM23" s="3482"/>
      <c r="GN23" s="3482"/>
      <c r="GO23" s="3483">
        <f t="shared" si="58"/>
        <v>0</v>
      </c>
      <c r="GP23" s="3485"/>
      <c r="GQ23" s="3485"/>
      <c r="GR23" s="3483">
        <f t="shared" si="59"/>
        <v>0</v>
      </c>
      <c r="GS23" s="3483">
        <f t="shared" si="59"/>
        <v>0</v>
      </c>
      <c r="GT23" s="3485"/>
      <c r="GU23" s="3485"/>
      <c r="GV23" s="3483">
        <f t="shared" si="60"/>
        <v>0</v>
      </c>
      <c r="GW23" s="3485"/>
      <c r="GX23" s="3485"/>
      <c r="GY23" s="3483">
        <f t="shared" si="61"/>
        <v>0</v>
      </c>
      <c r="GZ23" s="3483">
        <f t="shared" si="61"/>
        <v>0</v>
      </c>
      <c r="HA23" s="3485"/>
      <c r="HB23" s="3485"/>
      <c r="HC23" s="3483">
        <f t="shared" si="62"/>
        <v>0</v>
      </c>
      <c r="HD23" s="3485"/>
      <c r="HE23" s="3485"/>
      <c r="HF23" s="3483">
        <f t="shared" si="63"/>
        <v>0</v>
      </c>
      <c r="HG23" s="3483">
        <f t="shared" si="63"/>
        <v>0</v>
      </c>
      <c r="HH23" s="3485"/>
      <c r="HI23" s="3485"/>
      <c r="HJ23" s="3483">
        <f t="shared" si="64"/>
        <v>0</v>
      </c>
      <c r="HK23" s="3485"/>
      <c r="HL23" s="3485"/>
      <c r="HM23" s="3483">
        <f t="shared" si="65"/>
        <v>0</v>
      </c>
      <c r="HN23" s="3483">
        <f t="shared" si="65"/>
        <v>0</v>
      </c>
      <c r="HO23" s="3485"/>
      <c r="HP23" s="3485"/>
      <c r="HQ23" s="3483">
        <f t="shared" si="66"/>
        <v>0</v>
      </c>
      <c r="HR23" s="3485"/>
      <c r="HS23" s="3485"/>
      <c r="HT23" s="3483">
        <f t="shared" si="67"/>
        <v>0</v>
      </c>
      <c r="HU23" s="3483">
        <f t="shared" si="67"/>
        <v>0</v>
      </c>
      <c r="HV23" s="3487">
        <f t="shared" si="68"/>
        <v>0</v>
      </c>
      <c r="HW23" s="3487">
        <f t="shared" si="68"/>
        <v>0</v>
      </c>
      <c r="HX23" s="3487">
        <f t="shared" si="69"/>
        <v>0</v>
      </c>
      <c r="HY23" s="3487">
        <f t="shared" si="68"/>
        <v>0</v>
      </c>
      <c r="HZ23" s="3487">
        <f t="shared" si="68"/>
        <v>0</v>
      </c>
      <c r="IA23" s="3487">
        <f t="shared" si="68"/>
        <v>0</v>
      </c>
      <c r="IB23" s="3487">
        <f t="shared" si="68"/>
        <v>0</v>
      </c>
      <c r="IC23" s="3488">
        <f t="shared" si="70"/>
        <v>71941.78</v>
      </c>
      <c r="ID23" s="3488">
        <f t="shared" si="70"/>
        <v>6540.16</v>
      </c>
      <c r="IE23" s="3489">
        <f t="shared" si="71"/>
        <v>65401.619999999995</v>
      </c>
      <c r="IF23" s="3488">
        <f t="shared" si="70"/>
        <v>71941.78</v>
      </c>
      <c r="IG23" s="3488">
        <f t="shared" si="70"/>
        <v>6540.16</v>
      </c>
      <c r="IH23" s="3488">
        <f t="shared" si="70"/>
        <v>0</v>
      </c>
      <c r="II23" s="3488">
        <f t="shared" si="70"/>
        <v>0</v>
      </c>
    </row>
    <row r="24" spans="1:243" s="3473" customFormat="1" ht="21.95" customHeight="1">
      <c r="A24" s="3473" t="s">
        <v>3500</v>
      </c>
      <c r="B24" s="3474">
        <v>3</v>
      </c>
      <c r="C24" s="3490" t="s">
        <v>3475</v>
      </c>
      <c r="D24" s="3476" t="s">
        <v>3476</v>
      </c>
      <c r="E24" s="3477">
        <v>49</v>
      </c>
      <c r="F24" s="3478">
        <v>61.25</v>
      </c>
      <c r="G24" s="3474">
        <v>6.3</v>
      </c>
      <c r="H24" s="3474" t="s">
        <v>3477</v>
      </c>
      <c r="I24" s="3491">
        <v>44866</v>
      </c>
      <c r="J24" s="3491">
        <v>47056</v>
      </c>
      <c r="K24" s="3479">
        <f t="shared" si="6"/>
        <v>6</v>
      </c>
      <c r="L24" s="3481">
        <f>ROUND(F24*G24*365/12,2)</f>
        <v>11737.03</v>
      </c>
      <c r="M24" s="3477">
        <f>ROUND((F24*G24*365)-(F24*G24*30),2)</f>
        <v>129268.13</v>
      </c>
      <c r="N24" s="3481">
        <f>ROUND(F24*G24*365/12,2)</f>
        <v>11737.03</v>
      </c>
      <c r="O24" s="3481">
        <f>ROUND((F24*G24*365)-(F24*G24*30),2)</f>
        <v>129268.13</v>
      </c>
      <c r="P24" s="3480">
        <f>ROUND(F24*(G24*1.03)*365/12,2)</f>
        <v>12089.14</v>
      </c>
      <c r="Q24" s="3481">
        <f>ROUND(F24*(G24*1.03)*365,2)</f>
        <v>145069.71</v>
      </c>
      <c r="R24" s="3480">
        <f>F24*(G24*1.03*1.03)*365/12</f>
        <v>12451.816453125</v>
      </c>
      <c r="S24" s="3480">
        <f>F24*(G24*1.03*1.03)*365</f>
        <v>149421.7974375</v>
      </c>
      <c r="T24" s="3480">
        <f>F24*(G24*1.03*1.03*1.03)*365/12</f>
        <v>12825.370946718751</v>
      </c>
      <c r="U24" s="3480">
        <f>F24*(G24*1.03*1.03*1.03)*365</f>
        <v>153904.45136062501</v>
      </c>
      <c r="V24" s="3480">
        <f>F24*(G24*1.03*1.03*1.03*1.03)*365/12</f>
        <v>13210.132075120315</v>
      </c>
      <c r="W24" s="3481">
        <f>F24*(G24*1.03*1.03*1.03*1.03)*365</f>
        <v>158521.58490144377</v>
      </c>
      <c r="X24" s="3461">
        <f t="shared" si="7"/>
        <v>865453.80369956873</v>
      </c>
      <c r="Y24" s="3461">
        <f t="shared" si="8"/>
        <v>58685.16</v>
      </c>
      <c r="Z24" s="3461">
        <f>X24-Y58</f>
        <v>865453.80369956873</v>
      </c>
      <c r="AA24" s="3482">
        <f>L24*5+0.01</f>
        <v>58685.16</v>
      </c>
      <c r="AB24" s="3482">
        <f>ROUND(L24/2,2)</f>
        <v>5868.52</v>
      </c>
      <c r="AC24" s="3483">
        <f t="shared" si="10"/>
        <v>52816.639999999999</v>
      </c>
      <c r="AD24" s="3482">
        <v>58685.16</v>
      </c>
      <c r="AE24" s="3482">
        <v>5868.52</v>
      </c>
      <c r="AF24" s="3483">
        <f t="shared" si="11"/>
        <v>0</v>
      </c>
      <c r="AG24" s="3483">
        <f t="shared" si="11"/>
        <v>0</v>
      </c>
      <c r="AH24" s="3482"/>
      <c r="AI24" s="3482"/>
      <c r="AJ24" s="3483">
        <f t="shared" si="12"/>
        <v>0</v>
      </c>
      <c r="AK24" s="3482"/>
      <c r="AL24" s="3482"/>
      <c r="AM24" s="3483">
        <f t="shared" si="13"/>
        <v>0</v>
      </c>
      <c r="AN24" s="3483">
        <f t="shared" si="13"/>
        <v>0</v>
      </c>
      <c r="AO24" s="3482"/>
      <c r="AP24" s="3482"/>
      <c r="AQ24" s="3483">
        <f t="shared" si="14"/>
        <v>0</v>
      </c>
      <c r="AR24" s="3482"/>
      <c r="AS24" s="3482"/>
      <c r="AT24" s="3483">
        <f t="shared" si="15"/>
        <v>0</v>
      </c>
      <c r="AU24" s="3483">
        <f t="shared" si="15"/>
        <v>0</v>
      </c>
      <c r="AV24" s="3484">
        <f t="shared" si="16"/>
        <v>58685.16</v>
      </c>
      <c r="AW24" s="3484">
        <f t="shared" si="16"/>
        <v>5868.52</v>
      </c>
      <c r="AX24" s="3484">
        <f t="shared" si="17"/>
        <v>52816.639999999999</v>
      </c>
      <c r="AY24" s="3484">
        <f t="shared" si="16"/>
        <v>58685.16</v>
      </c>
      <c r="AZ24" s="3484">
        <f t="shared" si="16"/>
        <v>5868.52</v>
      </c>
      <c r="BA24" s="3484">
        <f t="shared" si="16"/>
        <v>0</v>
      </c>
      <c r="BB24" s="3484">
        <f t="shared" si="16"/>
        <v>0</v>
      </c>
      <c r="BC24" s="3482"/>
      <c r="BD24" s="3482"/>
      <c r="BE24" s="3483">
        <f t="shared" si="18"/>
        <v>0</v>
      </c>
      <c r="BF24" s="3482"/>
      <c r="BG24" s="3482"/>
      <c r="BH24" s="3483">
        <f t="shared" si="19"/>
        <v>0</v>
      </c>
      <c r="BI24" s="3483">
        <f t="shared" si="19"/>
        <v>0</v>
      </c>
      <c r="BJ24" s="3482"/>
      <c r="BK24" s="3482"/>
      <c r="BL24" s="3483">
        <f t="shared" si="20"/>
        <v>0</v>
      </c>
      <c r="BM24" s="3482"/>
      <c r="BN24" s="3482"/>
      <c r="BO24" s="3483">
        <f t="shared" si="21"/>
        <v>0</v>
      </c>
      <c r="BP24" s="3483">
        <f t="shared" si="21"/>
        <v>0</v>
      </c>
      <c r="BQ24" s="3482"/>
      <c r="BR24" s="3482"/>
      <c r="BS24" s="3483">
        <f t="shared" si="22"/>
        <v>0</v>
      </c>
      <c r="BT24" s="3482"/>
      <c r="BU24" s="3482"/>
      <c r="BV24" s="3483">
        <f t="shared" si="23"/>
        <v>0</v>
      </c>
      <c r="BW24" s="3483">
        <f t="shared" si="23"/>
        <v>0</v>
      </c>
      <c r="BX24" s="3482"/>
      <c r="BY24" s="3482"/>
      <c r="BZ24" s="3483">
        <f t="shared" si="24"/>
        <v>0</v>
      </c>
      <c r="CA24" s="3482"/>
      <c r="CB24" s="3482"/>
      <c r="CC24" s="3483">
        <f t="shared" si="25"/>
        <v>0</v>
      </c>
      <c r="CD24" s="3483">
        <f t="shared" si="25"/>
        <v>0</v>
      </c>
      <c r="CE24" s="3482"/>
      <c r="CF24" s="3482"/>
      <c r="CG24" s="3483">
        <f t="shared" si="26"/>
        <v>0</v>
      </c>
      <c r="CH24" s="3482"/>
      <c r="CI24" s="3482"/>
      <c r="CJ24" s="3483">
        <f t="shared" si="27"/>
        <v>0</v>
      </c>
      <c r="CK24" s="3483">
        <f t="shared" si="27"/>
        <v>0</v>
      </c>
      <c r="CL24" s="3482"/>
      <c r="CM24" s="3482"/>
      <c r="CN24" s="3483">
        <f t="shared" si="28"/>
        <v>0</v>
      </c>
      <c r="CO24" s="3482"/>
      <c r="CP24" s="3482"/>
      <c r="CQ24" s="3483">
        <f t="shared" si="29"/>
        <v>0</v>
      </c>
      <c r="CR24" s="3483">
        <f t="shared" si="29"/>
        <v>0</v>
      </c>
      <c r="CS24" s="3482"/>
      <c r="CT24" s="3482"/>
      <c r="CU24" s="3483">
        <f t="shared" si="30"/>
        <v>0</v>
      </c>
      <c r="CV24" s="3482"/>
      <c r="CW24" s="3482"/>
      <c r="CX24" s="3483">
        <f t="shared" si="31"/>
        <v>0</v>
      </c>
      <c r="CY24" s="3483">
        <f t="shared" si="31"/>
        <v>0</v>
      </c>
      <c r="CZ24" s="3482"/>
      <c r="DA24" s="3482"/>
      <c r="DB24" s="3483">
        <f t="shared" si="32"/>
        <v>0</v>
      </c>
      <c r="DC24" s="3485"/>
      <c r="DD24" s="3485"/>
      <c r="DE24" s="3483">
        <f t="shared" si="33"/>
        <v>0</v>
      </c>
      <c r="DF24" s="3483">
        <f t="shared" si="33"/>
        <v>0</v>
      </c>
      <c r="DG24" s="3485"/>
      <c r="DH24" s="3485"/>
      <c r="DI24" s="3483">
        <f t="shared" si="34"/>
        <v>0</v>
      </c>
      <c r="DJ24" s="3485"/>
      <c r="DK24" s="3485"/>
      <c r="DL24" s="3483">
        <f t="shared" si="35"/>
        <v>0</v>
      </c>
      <c r="DM24" s="3483">
        <f t="shared" si="35"/>
        <v>0</v>
      </c>
      <c r="DN24" s="3485"/>
      <c r="DO24" s="3485"/>
      <c r="DP24" s="3483">
        <f t="shared" si="36"/>
        <v>0</v>
      </c>
      <c r="DQ24" s="3485"/>
      <c r="DR24" s="3485"/>
      <c r="DS24" s="3483">
        <f t="shared" si="37"/>
        <v>0</v>
      </c>
      <c r="DT24" s="3483">
        <f t="shared" si="37"/>
        <v>0</v>
      </c>
      <c r="DU24" s="3485"/>
      <c r="DV24" s="3485"/>
      <c r="DW24" s="3483">
        <f t="shared" si="38"/>
        <v>0</v>
      </c>
      <c r="DX24" s="3485"/>
      <c r="DY24" s="3485"/>
      <c r="DZ24" s="3483">
        <f t="shared" si="39"/>
        <v>0</v>
      </c>
      <c r="EA24" s="3483">
        <f t="shared" si="39"/>
        <v>0</v>
      </c>
      <c r="EB24" s="3485"/>
      <c r="EC24" s="3485"/>
      <c r="ED24" s="3483">
        <f t="shared" si="40"/>
        <v>0</v>
      </c>
      <c r="EE24" s="3485"/>
      <c r="EF24" s="3485"/>
      <c r="EG24" s="3483">
        <f t="shared" si="41"/>
        <v>0</v>
      </c>
      <c r="EH24" s="3483">
        <f t="shared" si="41"/>
        <v>0</v>
      </c>
      <c r="EI24" s="3486">
        <f t="shared" si="42"/>
        <v>0</v>
      </c>
      <c r="EJ24" s="3486">
        <f t="shared" si="42"/>
        <v>0</v>
      </c>
      <c r="EK24" s="3463">
        <f t="shared" si="43"/>
        <v>0</v>
      </c>
      <c r="EL24" s="3486">
        <f t="shared" si="42"/>
        <v>0</v>
      </c>
      <c r="EM24" s="3486">
        <f t="shared" si="42"/>
        <v>0</v>
      </c>
      <c r="EN24" s="3486">
        <f t="shared" si="42"/>
        <v>0</v>
      </c>
      <c r="EO24" s="3486">
        <f t="shared" si="42"/>
        <v>0</v>
      </c>
      <c r="EP24" s="3482"/>
      <c r="EQ24" s="3482"/>
      <c r="ER24" s="3483">
        <f t="shared" si="44"/>
        <v>0</v>
      </c>
      <c r="ES24" s="3482"/>
      <c r="ET24" s="3482"/>
      <c r="EU24" s="3483">
        <f t="shared" si="45"/>
        <v>0</v>
      </c>
      <c r="EV24" s="3483">
        <f t="shared" si="45"/>
        <v>0</v>
      </c>
      <c r="EW24" s="3482"/>
      <c r="EX24" s="3482"/>
      <c r="EY24" s="3483">
        <f t="shared" si="46"/>
        <v>0</v>
      </c>
      <c r="EZ24" s="3482"/>
      <c r="FA24" s="3482"/>
      <c r="FB24" s="3483">
        <f t="shared" si="47"/>
        <v>0</v>
      </c>
      <c r="FC24" s="3483">
        <f t="shared" si="47"/>
        <v>0</v>
      </c>
      <c r="FD24" s="3482"/>
      <c r="FE24" s="3482"/>
      <c r="FF24" s="3483">
        <f t="shared" si="48"/>
        <v>0</v>
      </c>
      <c r="FG24" s="3482"/>
      <c r="FH24" s="3482"/>
      <c r="FI24" s="3483">
        <f t="shared" si="49"/>
        <v>0</v>
      </c>
      <c r="FJ24" s="3483">
        <f t="shared" si="49"/>
        <v>0</v>
      </c>
      <c r="FK24" s="3482"/>
      <c r="FL24" s="3482"/>
      <c r="FM24" s="3483">
        <f t="shared" si="50"/>
        <v>0</v>
      </c>
      <c r="FN24" s="3482"/>
      <c r="FO24" s="3482"/>
      <c r="FP24" s="3483">
        <f t="shared" si="51"/>
        <v>0</v>
      </c>
      <c r="FQ24" s="3483">
        <f t="shared" si="51"/>
        <v>0</v>
      </c>
      <c r="FR24" s="3482"/>
      <c r="FS24" s="3482"/>
      <c r="FT24" s="3483">
        <f t="shared" si="52"/>
        <v>0</v>
      </c>
      <c r="FU24" s="3482"/>
      <c r="FV24" s="3482"/>
      <c r="FW24" s="3483">
        <f t="shared" si="53"/>
        <v>0</v>
      </c>
      <c r="FX24" s="3483">
        <f t="shared" si="53"/>
        <v>0</v>
      </c>
      <c r="FY24" s="3482"/>
      <c r="FZ24" s="3482"/>
      <c r="GA24" s="3483">
        <f t="shared" si="54"/>
        <v>0</v>
      </c>
      <c r="GB24" s="3482"/>
      <c r="GC24" s="3482"/>
      <c r="GD24" s="3483">
        <f t="shared" si="55"/>
        <v>0</v>
      </c>
      <c r="GE24" s="3483">
        <f t="shared" si="55"/>
        <v>0</v>
      </c>
      <c r="GF24" s="3482"/>
      <c r="GG24" s="3482"/>
      <c r="GH24" s="3483">
        <f t="shared" si="56"/>
        <v>0</v>
      </c>
      <c r="GI24" s="3482"/>
      <c r="GJ24" s="3482"/>
      <c r="GK24" s="3483">
        <f t="shared" si="57"/>
        <v>0</v>
      </c>
      <c r="GL24" s="3483">
        <f t="shared" si="57"/>
        <v>0</v>
      </c>
      <c r="GM24" s="3482"/>
      <c r="GN24" s="3482"/>
      <c r="GO24" s="3483">
        <f t="shared" si="58"/>
        <v>0</v>
      </c>
      <c r="GP24" s="3485"/>
      <c r="GQ24" s="3485"/>
      <c r="GR24" s="3483">
        <f t="shared" si="59"/>
        <v>0</v>
      </c>
      <c r="GS24" s="3483">
        <f t="shared" si="59"/>
        <v>0</v>
      </c>
      <c r="GT24" s="3485"/>
      <c r="GU24" s="3485"/>
      <c r="GV24" s="3483">
        <f t="shared" si="60"/>
        <v>0</v>
      </c>
      <c r="GW24" s="3485"/>
      <c r="GX24" s="3485"/>
      <c r="GY24" s="3483">
        <f t="shared" si="61"/>
        <v>0</v>
      </c>
      <c r="GZ24" s="3483">
        <f t="shared" si="61"/>
        <v>0</v>
      </c>
      <c r="HA24" s="3485"/>
      <c r="HB24" s="3485"/>
      <c r="HC24" s="3483">
        <f t="shared" si="62"/>
        <v>0</v>
      </c>
      <c r="HD24" s="3485"/>
      <c r="HE24" s="3485"/>
      <c r="HF24" s="3483">
        <f t="shared" si="63"/>
        <v>0</v>
      </c>
      <c r="HG24" s="3483">
        <f t="shared" si="63"/>
        <v>0</v>
      </c>
      <c r="HH24" s="3485"/>
      <c r="HI24" s="3485"/>
      <c r="HJ24" s="3483">
        <f t="shared" si="64"/>
        <v>0</v>
      </c>
      <c r="HK24" s="3485"/>
      <c r="HL24" s="3485"/>
      <c r="HM24" s="3483">
        <f t="shared" si="65"/>
        <v>0</v>
      </c>
      <c r="HN24" s="3483">
        <f t="shared" si="65"/>
        <v>0</v>
      </c>
      <c r="HO24" s="3485"/>
      <c r="HP24" s="3485"/>
      <c r="HQ24" s="3483">
        <f t="shared" si="66"/>
        <v>0</v>
      </c>
      <c r="HR24" s="3485"/>
      <c r="HS24" s="3485"/>
      <c r="HT24" s="3483">
        <f t="shared" si="67"/>
        <v>0</v>
      </c>
      <c r="HU24" s="3483">
        <f t="shared" si="67"/>
        <v>0</v>
      </c>
      <c r="HV24" s="3487">
        <f t="shared" si="68"/>
        <v>0</v>
      </c>
      <c r="HW24" s="3487">
        <f t="shared" si="68"/>
        <v>0</v>
      </c>
      <c r="HX24" s="3487">
        <f t="shared" si="69"/>
        <v>0</v>
      </c>
      <c r="HY24" s="3487">
        <f t="shared" si="68"/>
        <v>0</v>
      </c>
      <c r="HZ24" s="3487">
        <f t="shared" si="68"/>
        <v>0</v>
      </c>
      <c r="IA24" s="3487">
        <f t="shared" si="68"/>
        <v>0</v>
      </c>
      <c r="IB24" s="3487">
        <f t="shared" si="68"/>
        <v>0</v>
      </c>
      <c r="IC24" s="3488">
        <f t="shared" si="70"/>
        <v>58685.16</v>
      </c>
      <c r="ID24" s="3488">
        <f t="shared" si="70"/>
        <v>5868.52</v>
      </c>
      <c r="IE24" s="3489">
        <f t="shared" si="71"/>
        <v>52816.639999999999</v>
      </c>
      <c r="IF24" s="3488">
        <f t="shared" si="70"/>
        <v>58685.16</v>
      </c>
      <c r="IG24" s="3488">
        <f t="shared" si="70"/>
        <v>5868.52</v>
      </c>
      <c r="IH24" s="3488">
        <f t="shared" si="70"/>
        <v>0</v>
      </c>
      <c r="II24" s="3488">
        <f t="shared" si="70"/>
        <v>0</v>
      </c>
    </row>
    <row r="25" spans="1:243" s="3473" customFormat="1" ht="21.95" customHeight="1">
      <c r="A25" s="3473" t="s">
        <v>3499</v>
      </c>
      <c r="B25" s="3474">
        <v>4</v>
      </c>
      <c r="C25" s="3475" t="s">
        <v>3478</v>
      </c>
      <c r="D25" s="3476" t="s">
        <v>3479</v>
      </c>
      <c r="E25" s="3477">
        <v>41.8</v>
      </c>
      <c r="F25" s="3478">
        <v>52.25</v>
      </c>
      <c r="G25" s="3474"/>
      <c r="H25" s="3474"/>
      <c r="I25" s="3474"/>
      <c r="J25" s="3474"/>
      <c r="K25" s="3479">
        <f t="shared" si="6"/>
        <v>0</v>
      </c>
      <c r="L25" s="3480"/>
      <c r="M25" s="3477"/>
      <c r="N25" s="3480"/>
      <c r="O25" s="3480"/>
      <c r="P25" s="3480"/>
      <c r="Q25" s="3481"/>
      <c r="R25" s="3480"/>
      <c r="S25" s="3480"/>
      <c r="T25" s="3480"/>
      <c r="U25" s="3480"/>
      <c r="V25" s="3480"/>
      <c r="W25" s="3481"/>
      <c r="X25" s="3461">
        <f t="shared" si="7"/>
        <v>0</v>
      </c>
      <c r="Y25" s="3461">
        <f t="shared" si="8"/>
        <v>0</v>
      </c>
      <c r="Z25" s="3461">
        <f t="shared" si="9"/>
        <v>0</v>
      </c>
      <c r="AA25" s="3482"/>
      <c r="AB25" s="3482"/>
      <c r="AC25" s="3483">
        <f t="shared" si="10"/>
        <v>0</v>
      </c>
      <c r="AD25" s="3482"/>
      <c r="AE25" s="3482"/>
      <c r="AF25" s="3483">
        <f t="shared" si="11"/>
        <v>0</v>
      </c>
      <c r="AG25" s="3483">
        <f t="shared" si="11"/>
        <v>0</v>
      </c>
      <c r="AH25" s="3482"/>
      <c r="AI25" s="3482"/>
      <c r="AJ25" s="3483">
        <f t="shared" si="12"/>
        <v>0</v>
      </c>
      <c r="AK25" s="3482"/>
      <c r="AL25" s="3482"/>
      <c r="AM25" s="3483">
        <f t="shared" si="13"/>
        <v>0</v>
      </c>
      <c r="AN25" s="3483">
        <f t="shared" si="13"/>
        <v>0</v>
      </c>
      <c r="AO25" s="3482"/>
      <c r="AP25" s="3482"/>
      <c r="AQ25" s="3483">
        <f t="shared" si="14"/>
        <v>0</v>
      </c>
      <c r="AR25" s="3482"/>
      <c r="AS25" s="3482"/>
      <c r="AT25" s="3483">
        <f t="shared" si="15"/>
        <v>0</v>
      </c>
      <c r="AU25" s="3483">
        <f t="shared" si="15"/>
        <v>0</v>
      </c>
      <c r="AV25" s="3484">
        <f t="shared" si="16"/>
        <v>0</v>
      </c>
      <c r="AW25" s="3484">
        <f t="shared" si="16"/>
        <v>0</v>
      </c>
      <c r="AX25" s="3484">
        <f t="shared" si="17"/>
        <v>0</v>
      </c>
      <c r="AY25" s="3484">
        <f t="shared" si="16"/>
        <v>0</v>
      </c>
      <c r="AZ25" s="3484">
        <f t="shared" si="16"/>
        <v>0</v>
      </c>
      <c r="BA25" s="3484">
        <f t="shared" si="16"/>
        <v>0</v>
      </c>
      <c r="BB25" s="3484">
        <f t="shared" si="16"/>
        <v>0</v>
      </c>
      <c r="BC25" s="3482"/>
      <c r="BD25" s="3482"/>
      <c r="BE25" s="3483">
        <f t="shared" si="18"/>
        <v>0</v>
      </c>
      <c r="BF25" s="3482"/>
      <c r="BG25" s="3482"/>
      <c r="BH25" s="3483">
        <f t="shared" si="19"/>
        <v>0</v>
      </c>
      <c r="BI25" s="3483">
        <f t="shared" si="19"/>
        <v>0</v>
      </c>
      <c r="BJ25" s="3482"/>
      <c r="BK25" s="3482"/>
      <c r="BL25" s="3483">
        <f t="shared" si="20"/>
        <v>0</v>
      </c>
      <c r="BM25" s="3482"/>
      <c r="BN25" s="3482"/>
      <c r="BO25" s="3483">
        <f t="shared" si="21"/>
        <v>0</v>
      </c>
      <c r="BP25" s="3483">
        <f t="shared" si="21"/>
        <v>0</v>
      </c>
      <c r="BQ25" s="3482"/>
      <c r="BR25" s="3482"/>
      <c r="BS25" s="3483">
        <f t="shared" si="22"/>
        <v>0</v>
      </c>
      <c r="BT25" s="3482"/>
      <c r="BU25" s="3482"/>
      <c r="BV25" s="3483">
        <f t="shared" si="23"/>
        <v>0</v>
      </c>
      <c r="BW25" s="3483">
        <f t="shared" si="23"/>
        <v>0</v>
      </c>
      <c r="BX25" s="3482"/>
      <c r="BY25" s="3482"/>
      <c r="BZ25" s="3483">
        <f t="shared" si="24"/>
        <v>0</v>
      </c>
      <c r="CA25" s="3482"/>
      <c r="CB25" s="3482"/>
      <c r="CC25" s="3483">
        <f t="shared" si="25"/>
        <v>0</v>
      </c>
      <c r="CD25" s="3483">
        <f t="shared" si="25"/>
        <v>0</v>
      </c>
      <c r="CE25" s="3482"/>
      <c r="CF25" s="3482"/>
      <c r="CG25" s="3483">
        <f t="shared" si="26"/>
        <v>0</v>
      </c>
      <c r="CH25" s="3482"/>
      <c r="CI25" s="3482"/>
      <c r="CJ25" s="3483">
        <f t="shared" si="27"/>
        <v>0</v>
      </c>
      <c r="CK25" s="3483">
        <f t="shared" si="27"/>
        <v>0</v>
      </c>
      <c r="CL25" s="3482"/>
      <c r="CM25" s="3482"/>
      <c r="CN25" s="3483">
        <f t="shared" si="28"/>
        <v>0</v>
      </c>
      <c r="CO25" s="3482"/>
      <c r="CP25" s="3482"/>
      <c r="CQ25" s="3483">
        <f t="shared" si="29"/>
        <v>0</v>
      </c>
      <c r="CR25" s="3483">
        <f t="shared" si="29"/>
        <v>0</v>
      </c>
      <c r="CS25" s="3482"/>
      <c r="CT25" s="3482"/>
      <c r="CU25" s="3483">
        <f t="shared" si="30"/>
        <v>0</v>
      </c>
      <c r="CV25" s="3482"/>
      <c r="CW25" s="3482"/>
      <c r="CX25" s="3483">
        <f t="shared" si="31"/>
        <v>0</v>
      </c>
      <c r="CY25" s="3483">
        <f t="shared" si="31"/>
        <v>0</v>
      </c>
      <c r="CZ25" s="3482"/>
      <c r="DA25" s="3482"/>
      <c r="DB25" s="3483">
        <f t="shared" si="32"/>
        <v>0</v>
      </c>
      <c r="DC25" s="3485"/>
      <c r="DD25" s="3485"/>
      <c r="DE25" s="3483">
        <f t="shared" si="33"/>
        <v>0</v>
      </c>
      <c r="DF25" s="3483">
        <f t="shared" si="33"/>
        <v>0</v>
      </c>
      <c r="DG25" s="3485"/>
      <c r="DH25" s="3485"/>
      <c r="DI25" s="3483">
        <f t="shared" si="34"/>
        <v>0</v>
      </c>
      <c r="DJ25" s="3485"/>
      <c r="DK25" s="3485"/>
      <c r="DL25" s="3483">
        <f t="shared" si="35"/>
        <v>0</v>
      </c>
      <c r="DM25" s="3483">
        <f t="shared" si="35"/>
        <v>0</v>
      </c>
      <c r="DN25" s="3485"/>
      <c r="DO25" s="3485"/>
      <c r="DP25" s="3483">
        <f t="shared" si="36"/>
        <v>0</v>
      </c>
      <c r="DQ25" s="3485"/>
      <c r="DR25" s="3485"/>
      <c r="DS25" s="3483">
        <f t="shared" si="37"/>
        <v>0</v>
      </c>
      <c r="DT25" s="3483">
        <f t="shared" si="37"/>
        <v>0</v>
      </c>
      <c r="DU25" s="3485"/>
      <c r="DV25" s="3485"/>
      <c r="DW25" s="3483">
        <f t="shared" si="38"/>
        <v>0</v>
      </c>
      <c r="DX25" s="3485"/>
      <c r="DY25" s="3485"/>
      <c r="DZ25" s="3483">
        <f t="shared" si="39"/>
        <v>0</v>
      </c>
      <c r="EA25" s="3483">
        <f t="shared" si="39"/>
        <v>0</v>
      </c>
      <c r="EB25" s="3485"/>
      <c r="EC25" s="3485"/>
      <c r="ED25" s="3483">
        <f t="shared" si="40"/>
        <v>0</v>
      </c>
      <c r="EE25" s="3485"/>
      <c r="EF25" s="3485"/>
      <c r="EG25" s="3483">
        <f t="shared" si="41"/>
        <v>0</v>
      </c>
      <c r="EH25" s="3483">
        <f t="shared" si="41"/>
        <v>0</v>
      </c>
      <c r="EI25" s="3486">
        <f t="shared" si="42"/>
        <v>0</v>
      </c>
      <c r="EJ25" s="3486">
        <f t="shared" si="42"/>
        <v>0</v>
      </c>
      <c r="EK25" s="3463">
        <f t="shared" si="43"/>
        <v>0</v>
      </c>
      <c r="EL25" s="3486">
        <f t="shared" si="42"/>
        <v>0</v>
      </c>
      <c r="EM25" s="3486">
        <f t="shared" si="42"/>
        <v>0</v>
      </c>
      <c r="EN25" s="3486">
        <f t="shared" si="42"/>
        <v>0</v>
      </c>
      <c r="EO25" s="3486">
        <f t="shared" si="42"/>
        <v>0</v>
      </c>
      <c r="EP25" s="3482"/>
      <c r="EQ25" s="3482"/>
      <c r="ER25" s="3483">
        <f t="shared" si="44"/>
        <v>0</v>
      </c>
      <c r="ES25" s="3482"/>
      <c r="ET25" s="3482"/>
      <c r="EU25" s="3483">
        <f t="shared" si="45"/>
        <v>0</v>
      </c>
      <c r="EV25" s="3483">
        <f t="shared" si="45"/>
        <v>0</v>
      </c>
      <c r="EW25" s="3482"/>
      <c r="EX25" s="3482"/>
      <c r="EY25" s="3483">
        <f t="shared" si="46"/>
        <v>0</v>
      </c>
      <c r="EZ25" s="3482"/>
      <c r="FA25" s="3482"/>
      <c r="FB25" s="3483">
        <f t="shared" si="47"/>
        <v>0</v>
      </c>
      <c r="FC25" s="3483">
        <f t="shared" si="47"/>
        <v>0</v>
      </c>
      <c r="FD25" s="3482"/>
      <c r="FE25" s="3482"/>
      <c r="FF25" s="3483">
        <f t="shared" si="48"/>
        <v>0</v>
      </c>
      <c r="FG25" s="3482"/>
      <c r="FH25" s="3482"/>
      <c r="FI25" s="3483">
        <f t="shared" si="49"/>
        <v>0</v>
      </c>
      <c r="FJ25" s="3483">
        <f t="shared" si="49"/>
        <v>0</v>
      </c>
      <c r="FK25" s="3482"/>
      <c r="FL25" s="3482"/>
      <c r="FM25" s="3483">
        <f t="shared" si="50"/>
        <v>0</v>
      </c>
      <c r="FN25" s="3482"/>
      <c r="FO25" s="3482"/>
      <c r="FP25" s="3483">
        <f t="shared" si="51"/>
        <v>0</v>
      </c>
      <c r="FQ25" s="3483">
        <f t="shared" si="51"/>
        <v>0</v>
      </c>
      <c r="FR25" s="3482"/>
      <c r="FS25" s="3482"/>
      <c r="FT25" s="3483">
        <f t="shared" si="52"/>
        <v>0</v>
      </c>
      <c r="FU25" s="3482"/>
      <c r="FV25" s="3482"/>
      <c r="FW25" s="3483">
        <f t="shared" si="53"/>
        <v>0</v>
      </c>
      <c r="FX25" s="3483">
        <f t="shared" si="53"/>
        <v>0</v>
      </c>
      <c r="FY25" s="3482"/>
      <c r="FZ25" s="3482"/>
      <c r="GA25" s="3483">
        <f t="shared" si="54"/>
        <v>0</v>
      </c>
      <c r="GB25" s="3482"/>
      <c r="GC25" s="3482"/>
      <c r="GD25" s="3483">
        <f t="shared" si="55"/>
        <v>0</v>
      </c>
      <c r="GE25" s="3483">
        <f t="shared" si="55"/>
        <v>0</v>
      </c>
      <c r="GF25" s="3482"/>
      <c r="GG25" s="3482"/>
      <c r="GH25" s="3483">
        <f t="shared" si="56"/>
        <v>0</v>
      </c>
      <c r="GI25" s="3482"/>
      <c r="GJ25" s="3482"/>
      <c r="GK25" s="3483">
        <f t="shared" si="57"/>
        <v>0</v>
      </c>
      <c r="GL25" s="3483">
        <f t="shared" si="57"/>
        <v>0</v>
      </c>
      <c r="GM25" s="3482"/>
      <c r="GN25" s="3482"/>
      <c r="GO25" s="3483">
        <f t="shared" si="58"/>
        <v>0</v>
      </c>
      <c r="GP25" s="3485"/>
      <c r="GQ25" s="3485"/>
      <c r="GR25" s="3483">
        <f t="shared" si="59"/>
        <v>0</v>
      </c>
      <c r="GS25" s="3483">
        <f t="shared" si="59"/>
        <v>0</v>
      </c>
      <c r="GT25" s="3485"/>
      <c r="GU25" s="3485"/>
      <c r="GV25" s="3483">
        <f t="shared" si="60"/>
        <v>0</v>
      </c>
      <c r="GW25" s="3485"/>
      <c r="GX25" s="3485"/>
      <c r="GY25" s="3483">
        <f t="shared" si="61"/>
        <v>0</v>
      </c>
      <c r="GZ25" s="3483">
        <f t="shared" si="61"/>
        <v>0</v>
      </c>
      <c r="HA25" s="3485"/>
      <c r="HB25" s="3485"/>
      <c r="HC25" s="3483">
        <f t="shared" si="62"/>
        <v>0</v>
      </c>
      <c r="HD25" s="3485"/>
      <c r="HE25" s="3485"/>
      <c r="HF25" s="3483">
        <f t="shared" si="63"/>
        <v>0</v>
      </c>
      <c r="HG25" s="3483">
        <f t="shared" si="63"/>
        <v>0</v>
      </c>
      <c r="HH25" s="3485"/>
      <c r="HI25" s="3485"/>
      <c r="HJ25" s="3483">
        <f t="shared" si="64"/>
        <v>0</v>
      </c>
      <c r="HK25" s="3485"/>
      <c r="HL25" s="3485"/>
      <c r="HM25" s="3483">
        <f t="shared" si="65"/>
        <v>0</v>
      </c>
      <c r="HN25" s="3483">
        <f t="shared" si="65"/>
        <v>0</v>
      </c>
      <c r="HO25" s="3485"/>
      <c r="HP25" s="3485"/>
      <c r="HQ25" s="3483">
        <f t="shared" si="66"/>
        <v>0</v>
      </c>
      <c r="HR25" s="3485"/>
      <c r="HS25" s="3485"/>
      <c r="HT25" s="3483">
        <f t="shared" si="67"/>
        <v>0</v>
      </c>
      <c r="HU25" s="3483">
        <f t="shared" si="67"/>
        <v>0</v>
      </c>
      <c r="HV25" s="3487">
        <f t="shared" si="68"/>
        <v>0</v>
      </c>
      <c r="HW25" s="3487">
        <f t="shared" si="68"/>
        <v>0</v>
      </c>
      <c r="HX25" s="3487">
        <f t="shared" si="69"/>
        <v>0</v>
      </c>
      <c r="HY25" s="3487">
        <f t="shared" si="68"/>
        <v>0</v>
      </c>
      <c r="HZ25" s="3487">
        <f t="shared" si="68"/>
        <v>0</v>
      </c>
      <c r="IA25" s="3487">
        <f t="shared" si="68"/>
        <v>0</v>
      </c>
      <c r="IB25" s="3487">
        <f t="shared" si="68"/>
        <v>0</v>
      </c>
      <c r="IC25" s="3488">
        <f t="shared" si="70"/>
        <v>0</v>
      </c>
      <c r="ID25" s="3488">
        <f t="shared" si="70"/>
        <v>0</v>
      </c>
      <c r="IE25" s="3489">
        <f t="shared" si="71"/>
        <v>0</v>
      </c>
      <c r="IF25" s="3488">
        <f t="shared" si="70"/>
        <v>0</v>
      </c>
      <c r="IG25" s="3488">
        <f t="shared" si="70"/>
        <v>0</v>
      </c>
      <c r="IH25" s="3488">
        <f t="shared" si="70"/>
        <v>0</v>
      </c>
      <c r="II25" s="3488">
        <f t="shared" si="70"/>
        <v>0</v>
      </c>
    </row>
    <row r="26" spans="1:243" s="3473" customFormat="1" ht="21.95" customHeight="1">
      <c r="A26" s="3473" t="s">
        <v>3499</v>
      </c>
      <c r="B26" s="3474">
        <v>5</v>
      </c>
      <c r="C26" s="3475" t="s">
        <v>3480</v>
      </c>
      <c r="D26" s="3476" t="s">
        <v>3481</v>
      </c>
      <c r="E26" s="3477">
        <v>41.8</v>
      </c>
      <c r="F26" s="3478">
        <v>52.25</v>
      </c>
      <c r="G26" s="3474"/>
      <c r="H26" s="3474"/>
      <c r="I26" s="3474"/>
      <c r="J26" s="3474"/>
      <c r="K26" s="3479">
        <f t="shared" si="6"/>
        <v>0</v>
      </c>
      <c r="L26" s="3480"/>
      <c r="M26" s="3477"/>
      <c r="N26" s="3480"/>
      <c r="O26" s="3480"/>
      <c r="P26" s="3480"/>
      <c r="Q26" s="3481"/>
      <c r="R26" s="3480"/>
      <c r="S26" s="3480"/>
      <c r="T26" s="3480"/>
      <c r="U26" s="3480"/>
      <c r="V26" s="3480"/>
      <c r="W26" s="3481"/>
      <c r="X26" s="3461">
        <f t="shared" si="7"/>
        <v>0</v>
      </c>
      <c r="Y26" s="3461">
        <f t="shared" si="8"/>
        <v>0</v>
      </c>
      <c r="Z26" s="3461">
        <f t="shared" si="9"/>
        <v>0</v>
      </c>
      <c r="AA26" s="3482"/>
      <c r="AB26" s="3482"/>
      <c r="AC26" s="3483">
        <f t="shared" si="10"/>
        <v>0</v>
      </c>
      <c r="AD26" s="3482"/>
      <c r="AE26" s="3482"/>
      <c r="AF26" s="3483">
        <f t="shared" si="11"/>
        <v>0</v>
      </c>
      <c r="AG26" s="3483">
        <f t="shared" si="11"/>
        <v>0</v>
      </c>
      <c r="AH26" s="3482"/>
      <c r="AI26" s="3482"/>
      <c r="AJ26" s="3483">
        <f t="shared" si="12"/>
        <v>0</v>
      </c>
      <c r="AK26" s="3482"/>
      <c r="AL26" s="3482"/>
      <c r="AM26" s="3483">
        <f t="shared" si="13"/>
        <v>0</v>
      </c>
      <c r="AN26" s="3483">
        <f t="shared" si="13"/>
        <v>0</v>
      </c>
      <c r="AO26" s="3482"/>
      <c r="AP26" s="3482"/>
      <c r="AQ26" s="3483">
        <f t="shared" si="14"/>
        <v>0</v>
      </c>
      <c r="AR26" s="3482"/>
      <c r="AS26" s="3482"/>
      <c r="AT26" s="3483">
        <f t="shared" si="15"/>
        <v>0</v>
      </c>
      <c r="AU26" s="3483">
        <f t="shared" si="15"/>
        <v>0</v>
      </c>
      <c r="AV26" s="3484">
        <f t="shared" si="16"/>
        <v>0</v>
      </c>
      <c r="AW26" s="3484">
        <f t="shared" si="16"/>
        <v>0</v>
      </c>
      <c r="AX26" s="3484">
        <f t="shared" si="17"/>
        <v>0</v>
      </c>
      <c r="AY26" s="3484">
        <f t="shared" si="16"/>
        <v>0</v>
      </c>
      <c r="AZ26" s="3484">
        <f t="shared" si="16"/>
        <v>0</v>
      </c>
      <c r="BA26" s="3484">
        <f t="shared" si="16"/>
        <v>0</v>
      </c>
      <c r="BB26" s="3484">
        <f t="shared" si="16"/>
        <v>0</v>
      </c>
      <c r="BC26" s="3482"/>
      <c r="BD26" s="3482"/>
      <c r="BE26" s="3483">
        <f t="shared" si="18"/>
        <v>0</v>
      </c>
      <c r="BF26" s="3482"/>
      <c r="BG26" s="3482"/>
      <c r="BH26" s="3483">
        <f t="shared" si="19"/>
        <v>0</v>
      </c>
      <c r="BI26" s="3483">
        <f t="shared" si="19"/>
        <v>0</v>
      </c>
      <c r="BJ26" s="3482"/>
      <c r="BK26" s="3482"/>
      <c r="BL26" s="3483">
        <f t="shared" si="20"/>
        <v>0</v>
      </c>
      <c r="BM26" s="3482"/>
      <c r="BN26" s="3482"/>
      <c r="BO26" s="3483">
        <f t="shared" si="21"/>
        <v>0</v>
      </c>
      <c r="BP26" s="3483">
        <f t="shared" si="21"/>
        <v>0</v>
      </c>
      <c r="BQ26" s="3482"/>
      <c r="BR26" s="3482"/>
      <c r="BS26" s="3483">
        <f t="shared" si="22"/>
        <v>0</v>
      </c>
      <c r="BT26" s="3482"/>
      <c r="BU26" s="3482"/>
      <c r="BV26" s="3483">
        <f t="shared" si="23"/>
        <v>0</v>
      </c>
      <c r="BW26" s="3483">
        <f t="shared" si="23"/>
        <v>0</v>
      </c>
      <c r="BX26" s="3482"/>
      <c r="BY26" s="3482"/>
      <c r="BZ26" s="3483">
        <f t="shared" si="24"/>
        <v>0</v>
      </c>
      <c r="CA26" s="3482"/>
      <c r="CB26" s="3482"/>
      <c r="CC26" s="3483">
        <f t="shared" si="25"/>
        <v>0</v>
      </c>
      <c r="CD26" s="3483">
        <f t="shared" si="25"/>
        <v>0</v>
      </c>
      <c r="CE26" s="3482"/>
      <c r="CF26" s="3482"/>
      <c r="CG26" s="3483">
        <f t="shared" si="26"/>
        <v>0</v>
      </c>
      <c r="CH26" s="3482"/>
      <c r="CI26" s="3482"/>
      <c r="CJ26" s="3483">
        <f t="shared" si="27"/>
        <v>0</v>
      </c>
      <c r="CK26" s="3483">
        <f t="shared" si="27"/>
        <v>0</v>
      </c>
      <c r="CL26" s="3482"/>
      <c r="CM26" s="3482"/>
      <c r="CN26" s="3483">
        <f t="shared" si="28"/>
        <v>0</v>
      </c>
      <c r="CO26" s="3482"/>
      <c r="CP26" s="3482"/>
      <c r="CQ26" s="3483">
        <f t="shared" si="29"/>
        <v>0</v>
      </c>
      <c r="CR26" s="3483">
        <f t="shared" si="29"/>
        <v>0</v>
      </c>
      <c r="CS26" s="3482"/>
      <c r="CT26" s="3482"/>
      <c r="CU26" s="3483">
        <f t="shared" si="30"/>
        <v>0</v>
      </c>
      <c r="CV26" s="3482"/>
      <c r="CW26" s="3482"/>
      <c r="CX26" s="3483">
        <f t="shared" si="31"/>
        <v>0</v>
      </c>
      <c r="CY26" s="3483">
        <f t="shared" si="31"/>
        <v>0</v>
      </c>
      <c r="CZ26" s="3482"/>
      <c r="DA26" s="3482"/>
      <c r="DB26" s="3483">
        <f t="shared" si="32"/>
        <v>0</v>
      </c>
      <c r="DC26" s="3485"/>
      <c r="DD26" s="3485"/>
      <c r="DE26" s="3483">
        <f t="shared" si="33"/>
        <v>0</v>
      </c>
      <c r="DF26" s="3483">
        <f t="shared" si="33"/>
        <v>0</v>
      </c>
      <c r="DG26" s="3485"/>
      <c r="DH26" s="3485"/>
      <c r="DI26" s="3483">
        <f t="shared" si="34"/>
        <v>0</v>
      </c>
      <c r="DJ26" s="3485"/>
      <c r="DK26" s="3485"/>
      <c r="DL26" s="3483">
        <f t="shared" si="35"/>
        <v>0</v>
      </c>
      <c r="DM26" s="3483">
        <f t="shared" si="35"/>
        <v>0</v>
      </c>
      <c r="DN26" s="3485"/>
      <c r="DO26" s="3485"/>
      <c r="DP26" s="3483">
        <f t="shared" si="36"/>
        <v>0</v>
      </c>
      <c r="DQ26" s="3485"/>
      <c r="DR26" s="3485"/>
      <c r="DS26" s="3483">
        <f t="shared" si="37"/>
        <v>0</v>
      </c>
      <c r="DT26" s="3483">
        <f t="shared" si="37"/>
        <v>0</v>
      </c>
      <c r="DU26" s="3485"/>
      <c r="DV26" s="3485"/>
      <c r="DW26" s="3483">
        <f t="shared" si="38"/>
        <v>0</v>
      </c>
      <c r="DX26" s="3485"/>
      <c r="DY26" s="3485"/>
      <c r="DZ26" s="3483">
        <f t="shared" si="39"/>
        <v>0</v>
      </c>
      <c r="EA26" s="3483">
        <f t="shared" si="39"/>
        <v>0</v>
      </c>
      <c r="EB26" s="3485"/>
      <c r="EC26" s="3485"/>
      <c r="ED26" s="3483">
        <f t="shared" si="40"/>
        <v>0</v>
      </c>
      <c r="EE26" s="3485"/>
      <c r="EF26" s="3485"/>
      <c r="EG26" s="3483">
        <f t="shared" si="41"/>
        <v>0</v>
      </c>
      <c r="EH26" s="3483">
        <f t="shared" si="41"/>
        <v>0</v>
      </c>
      <c r="EI26" s="3486">
        <f t="shared" si="42"/>
        <v>0</v>
      </c>
      <c r="EJ26" s="3486">
        <f t="shared" si="42"/>
        <v>0</v>
      </c>
      <c r="EK26" s="3463">
        <f t="shared" si="43"/>
        <v>0</v>
      </c>
      <c r="EL26" s="3486">
        <f t="shared" si="42"/>
        <v>0</v>
      </c>
      <c r="EM26" s="3486">
        <f t="shared" si="42"/>
        <v>0</v>
      </c>
      <c r="EN26" s="3486">
        <f t="shared" si="42"/>
        <v>0</v>
      </c>
      <c r="EO26" s="3486">
        <f t="shared" si="42"/>
        <v>0</v>
      </c>
      <c r="EP26" s="3482"/>
      <c r="EQ26" s="3482"/>
      <c r="ER26" s="3483">
        <f t="shared" si="44"/>
        <v>0</v>
      </c>
      <c r="ES26" s="3482"/>
      <c r="ET26" s="3482"/>
      <c r="EU26" s="3483">
        <f t="shared" si="45"/>
        <v>0</v>
      </c>
      <c r="EV26" s="3483">
        <f t="shared" si="45"/>
        <v>0</v>
      </c>
      <c r="EW26" s="3482"/>
      <c r="EX26" s="3482"/>
      <c r="EY26" s="3483">
        <f t="shared" si="46"/>
        <v>0</v>
      </c>
      <c r="EZ26" s="3482"/>
      <c r="FA26" s="3482"/>
      <c r="FB26" s="3483">
        <f t="shared" si="47"/>
        <v>0</v>
      </c>
      <c r="FC26" s="3483">
        <f t="shared" si="47"/>
        <v>0</v>
      </c>
      <c r="FD26" s="3482"/>
      <c r="FE26" s="3482"/>
      <c r="FF26" s="3483">
        <f t="shared" si="48"/>
        <v>0</v>
      </c>
      <c r="FG26" s="3482"/>
      <c r="FH26" s="3482"/>
      <c r="FI26" s="3483">
        <f t="shared" si="49"/>
        <v>0</v>
      </c>
      <c r="FJ26" s="3483">
        <f t="shared" si="49"/>
        <v>0</v>
      </c>
      <c r="FK26" s="3482"/>
      <c r="FL26" s="3482"/>
      <c r="FM26" s="3483">
        <f t="shared" si="50"/>
        <v>0</v>
      </c>
      <c r="FN26" s="3482"/>
      <c r="FO26" s="3482"/>
      <c r="FP26" s="3483">
        <f t="shared" si="51"/>
        <v>0</v>
      </c>
      <c r="FQ26" s="3483">
        <f t="shared" si="51"/>
        <v>0</v>
      </c>
      <c r="FR26" s="3482"/>
      <c r="FS26" s="3482"/>
      <c r="FT26" s="3483">
        <f t="shared" si="52"/>
        <v>0</v>
      </c>
      <c r="FU26" s="3482"/>
      <c r="FV26" s="3482"/>
      <c r="FW26" s="3483">
        <f t="shared" si="53"/>
        <v>0</v>
      </c>
      <c r="FX26" s="3483">
        <f t="shared" si="53"/>
        <v>0</v>
      </c>
      <c r="FY26" s="3482"/>
      <c r="FZ26" s="3482"/>
      <c r="GA26" s="3483">
        <f t="shared" si="54"/>
        <v>0</v>
      </c>
      <c r="GB26" s="3482"/>
      <c r="GC26" s="3482"/>
      <c r="GD26" s="3483">
        <f t="shared" si="55"/>
        <v>0</v>
      </c>
      <c r="GE26" s="3483">
        <f t="shared" si="55"/>
        <v>0</v>
      </c>
      <c r="GF26" s="3482"/>
      <c r="GG26" s="3482"/>
      <c r="GH26" s="3483">
        <f t="shared" si="56"/>
        <v>0</v>
      </c>
      <c r="GI26" s="3482"/>
      <c r="GJ26" s="3482"/>
      <c r="GK26" s="3483">
        <f t="shared" si="57"/>
        <v>0</v>
      </c>
      <c r="GL26" s="3483">
        <f t="shared" si="57"/>
        <v>0</v>
      </c>
      <c r="GM26" s="3482"/>
      <c r="GN26" s="3482"/>
      <c r="GO26" s="3483">
        <f t="shared" si="58"/>
        <v>0</v>
      </c>
      <c r="GP26" s="3485"/>
      <c r="GQ26" s="3485"/>
      <c r="GR26" s="3483">
        <f t="shared" si="59"/>
        <v>0</v>
      </c>
      <c r="GS26" s="3483">
        <f t="shared" si="59"/>
        <v>0</v>
      </c>
      <c r="GT26" s="3485"/>
      <c r="GU26" s="3485"/>
      <c r="GV26" s="3483">
        <f t="shared" si="60"/>
        <v>0</v>
      </c>
      <c r="GW26" s="3485"/>
      <c r="GX26" s="3485"/>
      <c r="GY26" s="3483">
        <f t="shared" si="61"/>
        <v>0</v>
      </c>
      <c r="GZ26" s="3483">
        <f t="shared" si="61"/>
        <v>0</v>
      </c>
      <c r="HA26" s="3485"/>
      <c r="HB26" s="3485"/>
      <c r="HC26" s="3483">
        <f t="shared" si="62"/>
        <v>0</v>
      </c>
      <c r="HD26" s="3485"/>
      <c r="HE26" s="3485"/>
      <c r="HF26" s="3483">
        <f t="shared" si="63"/>
        <v>0</v>
      </c>
      <c r="HG26" s="3483">
        <f t="shared" si="63"/>
        <v>0</v>
      </c>
      <c r="HH26" s="3485"/>
      <c r="HI26" s="3485"/>
      <c r="HJ26" s="3483">
        <f t="shared" si="64"/>
        <v>0</v>
      </c>
      <c r="HK26" s="3485"/>
      <c r="HL26" s="3485"/>
      <c r="HM26" s="3483">
        <f t="shared" si="65"/>
        <v>0</v>
      </c>
      <c r="HN26" s="3483">
        <f t="shared" si="65"/>
        <v>0</v>
      </c>
      <c r="HO26" s="3485"/>
      <c r="HP26" s="3485"/>
      <c r="HQ26" s="3483">
        <f t="shared" si="66"/>
        <v>0</v>
      </c>
      <c r="HR26" s="3485"/>
      <c r="HS26" s="3485"/>
      <c r="HT26" s="3483">
        <f t="shared" si="67"/>
        <v>0</v>
      </c>
      <c r="HU26" s="3483">
        <f t="shared" si="67"/>
        <v>0</v>
      </c>
      <c r="HV26" s="3487">
        <f t="shared" si="68"/>
        <v>0</v>
      </c>
      <c r="HW26" s="3487">
        <f t="shared" si="68"/>
        <v>0</v>
      </c>
      <c r="HX26" s="3487">
        <f t="shared" si="69"/>
        <v>0</v>
      </c>
      <c r="HY26" s="3487">
        <f t="shared" si="68"/>
        <v>0</v>
      </c>
      <c r="HZ26" s="3487">
        <f t="shared" si="68"/>
        <v>0</v>
      </c>
      <c r="IA26" s="3487">
        <f t="shared" si="68"/>
        <v>0</v>
      </c>
      <c r="IB26" s="3487">
        <f t="shared" si="68"/>
        <v>0</v>
      </c>
      <c r="IC26" s="3488">
        <f t="shared" si="70"/>
        <v>0</v>
      </c>
      <c r="ID26" s="3488">
        <f t="shared" si="70"/>
        <v>0</v>
      </c>
      <c r="IE26" s="3489">
        <f t="shared" si="71"/>
        <v>0</v>
      </c>
      <c r="IF26" s="3488">
        <f t="shared" si="70"/>
        <v>0</v>
      </c>
      <c r="IG26" s="3488">
        <f t="shared" si="70"/>
        <v>0</v>
      </c>
      <c r="IH26" s="3488">
        <f t="shared" si="70"/>
        <v>0</v>
      </c>
      <c r="II26" s="3488">
        <f t="shared" si="70"/>
        <v>0</v>
      </c>
    </row>
    <row r="27" spans="1:243" s="3473" customFormat="1" ht="21.95" customHeight="1">
      <c r="A27" s="3473" t="s">
        <v>3500</v>
      </c>
      <c r="B27" s="3474">
        <v>6</v>
      </c>
      <c r="C27" s="3475" t="s">
        <v>3482</v>
      </c>
      <c r="D27" s="3476" t="s">
        <v>3483</v>
      </c>
      <c r="E27" s="3477">
        <v>38.799999999999997</v>
      </c>
      <c r="F27" s="3478">
        <v>22.69</v>
      </c>
      <c r="G27" s="3474">
        <v>5</v>
      </c>
      <c r="H27" s="3474" t="s">
        <v>3484</v>
      </c>
      <c r="I27" s="3491">
        <v>44823</v>
      </c>
      <c r="J27" s="3491">
        <v>44926</v>
      </c>
      <c r="K27" s="3479">
        <f t="shared" si="6"/>
        <v>0</v>
      </c>
      <c r="L27" s="3480">
        <v>7275</v>
      </c>
      <c r="M27" s="3477">
        <v>24250</v>
      </c>
      <c r="N27" s="3480"/>
      <c r="O27" s="3480"/>
      <c r="P27" s="3480"/>
      <c r="Q27" s="3481"/>
      <c r="R27" s="3480"/>
      <c r="S27" s="3480"/>
      <c r="T27" s="3480"/>
      <c r="U27" s="3480"/>
      <c r="V27" s="3480"/>
      <c r="W27" s="3481"/>
      <c r="X27" s="3461">
        <f t="shared" si="7"/>
        <v>24250</v>
      </c>
      <c r="Y27" s="3461">
        <f t="shared" si="8"/>
        <v>24250</v>
      </c>
      <c r="Z27" s="3461">
        <f t="shared" si="9"/>
        <v>0</v>
      </c>
      <c r="AA27" s="3482"/>
      <c r="AB27" s="3482"/>
      <c r="AC27" s="3483">
        <f t="shared" si="10"/>
        <v>0</v>
      </c>
      <c r="AD27" s="3482"/>
      <c r="AE27" s="3482"/>
      <c r="AF27" s="3483">
        <f t="shared" si="11"/>
        <v>0</v>
      </c>
      <c r="AG27" s="3483">
        <f t="shared" si="11"/>
        <v>0</v>
      </c>
      <c r="AH27" s="3482"/>
      <c r="AI27" s="3482"/>
      <c r="AJ27" s="3483">
        <f t="shared" si="12"/>
        <v>0</v>
      </c>
      <c r="AK27" s="3482"/>
      <c r="AL27" s="3482"/>
      <c r="AM27" s="3483">
        <f t="shared" si="13"/>
        <v>0</v>
      </c>
      <c r="AN27" s="3483">
        <f t="shared" si="13"/>
        <v>0</v>
      </c>
      <c r="AO27" s="3482">
        <f>F27*G27*100</f>
        <v>11345</v>
      </c>
      <c r="AP27" s="3482"/>
      <c r="AQ27" s="3483">
        <f t="shared" si="14"/>
        <v>11345</v>
      </c>
      <c r="AR27" s="3482">
        <v>24250</v>
      </c>
      <c r="AS27" s="3482"/>
      <c r="AT27" s="3483">
        <f t="shared" si="15"/>
        <v>-12905</v>
      </c>
      <c r="AU27" s="3483">
        <f t="shared" si="15"/>
        <v>0</v>
      </c>
      <c r="AV27" s="3484">
        <f t="shared" si="16"/>
        <v>11345</v>
      </c>
      <c r="AW27" s="3484">
        <f t="shared" si="16"/>
        <v>0</v>
      </c>
      <c r="AX27" s="3484">
        <f t="shared" si="17"/>
        <v>11345</v>
      </c>
      <c r="AY27" s="3484">
        <f t="shared" si="16"/>
        <v>24250</v>
      </c>
      <c r="AZ27" s="3484">
        <f t="shared" si="16"/>
        <v>0</v>
      </c>
      <c r="BA27" s="3484">
        <f t="shared" si="16"/>
        <v>-12905</v>
      </c>
      <c r="BB27" s="3484">
        <f t="shared" si="16"/>
        <v>0</v>
      </c>
      <c r="BC27" s="3482"/>
      <c r="BD27" s="3482"/>
      <c r="BE27" s="3483">
        <f t="shared" si="18"/>
        <v>0</v>
      </c>
      <c r="BF27" s="3482"/>
      <c r="BG27" s="3482"/>
      <c r="BH27" s="3483">
        <f t="shared" si="19"/>
        <v>0</v>
      </c>
      <c r="BI27" s="3483">
        <f t="shared" si="19"/>
        <v>0</v>
      </c>
      <c r="BJ27" s="3482"/>
      <c r="BK27" s="3482"/>
      <c r="BL27" s="3483">
        <f t="shared" si="20"/>
        <v>0</v>
      </c>
      <c r="BM27" s="3482"/>
      <c r="BN27" s="3482"/>
      <c r="BO27" s="3483">
        <f t="shared" si="21"/>
        <v>0</v>
      </c>
      <c r="BP27" s="3483">
        <f t="shared" si="21"/>
        <v>0</v>
      </c>
      <c r="BQ27" s="3482"/>
      <c r="BR27" s="3482"/>
      <c r="BS27" s="3483">
        <f t="shared" si="22"/>
        <v>0</v>
      </c>
      <c r="BT27" s="3482"/>
      <c r="BU27" s="3482"/>
      <c r="BV27" s="3483">
        <f t="shared" si="23"/>
        <v>0</v>
      </c>
      <c r="BW27" s="3483">
        <f t="shared" si="23"/>
        <v>0</v>
      </c>
      <c r="BX27" s="3482"/>
      <c r="BY27" s="3482"/>
      <c r="BZ27" s="3483">
        <f t="shared" si="24"/>
        <v>0</v>
      </c>
      <c r="CA27" s="3482"/>
      <c r="CB27" s="3482"/>
      <c r="CC27" s="3483">
        <f t="shared" si="25"/>
        <v>0</v>
      </c>
      <c r="CD27" s="3483">
        <f t="shared" si="25"/>
        <v>0</v>
      </c>
      <c r="CE27" s="3482"/>
      <c r="CF27" s="3482"/>
      <c r="CG27" s="3483">
        <f t="shared" si="26"/>
        <v>0</v>
      </c>
      <c r="CH27" s="3482"/>
      <c r="CI27" s="3482"/>
      <c r="CJ27" s="3483">
        <f t="shared" si="27"/>
        <v>0</v>
      </c>
      <c r="CK27" s="3483">
        <f t="shared" si="27"/>
        <v>0</v>
      </c>
      <c r="CL27" s="3482"/>
      <c r="CM27" s="3482"/>
      <c r="CN27" s="3483">
        <f t="shared" si="28"/>
        <v>0</v>
      </c>
      <c r="CO27" s="3482"/>
      <c r="CP27" s="3482"/>
      <c r="CQ27" s="3483">
        <f t="shared" si="29"/>
        <v>0</v>
      </c>
      <c r="CR27" s="3483">
        <f t="shared" si="29"/>
        <v>0</v>
      </c>
      <c r="CS27" s="3482"/>
      <c r="CT27" s="3482"/>
      <c r="CU27" s="3483">
        <f t="shared" si="30"/>
        <v>0</v>
      </c>
      <c r="CV27" s="3482"/>
      <c r="CW27" s="3482"/>
      <c r="CX27" s="3483">
        <f t="shared" si="31"/>
        <v>0</v>
      </c>
      <c r="CY27" s="3483">
        <f t="shared" si="31"/>
        <v>0</v>
      </c>
      <c r="CZ27" s="3482"/>
      <c r="DA27" s="3482"/>
      <c r="DB27" s="3483">
        <f t="shared" si="32"/>
        <v>0</v>
      </c>
      <c r="DC27" s="3485"/>
      <c r="DD27" s="3485"/>
      <c r="DE27" s="3483">
        <f t="shared" si="33"/>
        <v>0</v>
      </c>
      <c r="DF27" s="3483">
        <f t="shared" si="33"/>
        <v>0</v>
      </c>
      <c r="DG27" s="3485"/>
      <c r="DH27" s="3485"/>
      <c r="DI27" s="3483">
        <f t="shared" si="34"/>
        <v>0</v>
      </c>
      <c r="DJ27" s="3485"/>
      <c r="DK27" s="3485"/>
      <c r="DL27" s="3483">
        <f t="shared" si="35"/>
        <v>0</v>
      </c>
      <c r="DM27" s="3483">
        <f t="shared" si="35"/>
        <v>0</v>
      </c>
      <c r="DN27" s="3485"/>
      <c r="DO27" s="3485"/>
      <c r="DP27" s="3483">
        <f t="shared" si="36"/>
        <v>0</v>
      </c>
      <c r="DQ27" s="3485"/>
      <c r="DR27" s="3485"/>
      <c r="DS27" s="3483">
        <f t="shared" si="37"/>
        <v>0</v>
      </c>
      <c r="DT27" s="3483">
        <f t="shared" si="37"/>
        <v>0</v>
      </c>
      <c r="DU27" s="3485"/>
      <c r="DV27" s="3485"/>
      <c r="DW27" s="3483">
        <f t="shared" si="38"/>
        <v>0</v>
      </c>
      <c r="DX27" s="3485"/>
      <c r="DY27" s="3485"/>
      <c r="DZ27" s="3483">
        <f t="shared" si="39"/>
        <v>0</v>
      </c>
      <c r="EA27" s="3483">
        <f t="shared" si="39"/>
        <v>0</v>
      </c>
      <c r="EB27" s="3485"/>
      <c r="EC27" s="3485"/>
      <c r="ED27" s="3483">
        <f t="shared" si="40"/>
        <v>0</v>
      </c>
      <c r="EE27" s="3485"/>
      <c r="EF27" s="3485"/>
      <c r="EG27" s="3483">
        <f t="shared" si="41"/>
        <v>0</v>
      </c>
      <c r="EH27" s="3483">
        <f t="shared" si="41"/>
        <v>0</v>
      </c>
      <c r="EI27" s="3486">
        <f t="shared" si="42"/>
        <v>0</v>
      </c>
      <c r="EJ27" s="3486">
        <f t="shared" si="42"/>
        <v>0</v>
      </c>
      <c r="EK27" s="3463">
        <f t="shared" si="43"/>
        <v>0</v>
      </c>
      <c r="EL27" s="3486">
        <f t="shared" si="42"/>
        <v>0</v>
      </c>
      <c r="EM27" s="3486">
        <f t="shared" si="42"/>
        <v>0</v>
      </c>
      <c r="EN27" s="3486">
        <f t="shared" si="42"/>
        <v>0</v>
      </c>
      <c r="EO27" s="3486">
        <f t="shared" si="42"/>
        <v>0</v>
      </c>
      <c r="EP27" s="3482"/>
      <c r="EQ27" s="3482"/>
      <c r="ER27" s="3483">
        <f t="shared" si="44"/>
        <v>0</v>
      </c>
      <c r="ES27" s="3482"/>
      <c r="ET27" s="3482"/>
      <c r="EU27" s="3483">
        <f t="shared" si="45"/>
        <v>0</v>
      </c>
      <c r="EV27" s="3483">
        <f t="shared" si="45"/>
        <v>0</v>
      </c>
      <c r="EW27" s="3482"/>
      <c r="EX27" s="3482"/>
      <c r="EY27" s="3483">
        <f t="shared" si="46"/>
        <v>0</v>
      </c>
      <c r="EZ27" s="3482"/>
      <c r="FA27" s="3482"/>
      <c r="FB27" s="3483">
        <f t="shared" si="47"/>
        <v>0</v>
      </c>
      <c r="FC27" s="3483">
        <f t="shared" si="47"/>
        <v>0</v>
      </c>
      <c r="FD27" s="3482"/>
      <c r="FE27" s="3482"/>
      <c r="FF27" s="3483">
        <f t="shared" si="48"/>
        <v>0</v>
      </c>
      <c r="FG27" s="3482"/>
      <c r="FH27" s="3482"/>
      <c r="FI27" s="3483">
        <f t="shared" si="49"/>
        <v>0</v>
      </c>
      <c r="FJ27" s="3483">
        <f t="shared" si="49"/>
        <v>0</v>
      </c>
      <c r="FK27" s="3482"/>
      <c r="FL27" s="3482"/>
      <c r="FM27" s="3483">
        <f t="shared" si="50"/>
        <v>0</v>
      </c>
      <c r="FN27" s="3482"/>
      <c r="FO27" s="3482"/>
      <c r="FP27" s="3483">
        <f t="shared" si="51"/>
        <v>0</v>
      </c>
      <c r="FQ27" s="3483">
        <f t="shared" si="51"/>
        <v>0</v>
      </c>
      <c r="FR27" s="3482"/>
      <c r="FS27" s="3482"/>
      <c r="FT27" s="3483">
        <f t="shared" si="52"/>
        <v>0</v>
      </c>
      <c r="FU27" s="3482"/>
      <c r="FV27" s="3482"/>
      <c r="FW27" s="3483">
        <f t="shared" si="53"/>
        <v>0</v>
      </c>
      <c r="FX27" s="3483">
        <f t="shared" si="53"/>
        <v>0</v>
      </c>
      <c r="FY27" s="3482"/>
      <c r="FZ27" s="3482"/>
      <c r="GA27" s="3483">
        <f t="shared" si="54"/>
        <v>0</v>
      </c>
      <c r="GB27" s="3482"/>
      <c r="GC27" s="3482"/>
      <c r="GD27" s="3483">
        <f t="shared" si="55"/>
        <v>0</v>
      </c>
      <c r="GE27" s="3483">
        <f t="shared" si="55"/>
        <v>0</v>
      </c>
      <c r="GF27" s="3482"/>
      <c r="GG27" s="3482"/>
      <c r="GH27" s="3483">
        <f t="shared" si="56"/>
        <v>0</v>
      </c>
      <c r="GI27" s="3482"/>
      <c r="GJ27" s="3482"/>
      <c r="GK27" s="3483">
        <f t="shared" si="57"/>
        <v>0</v>
      </c>
      <c r="GL27" s="3483">
        <f t="shared" si="57"/>
        <v>0</v>
      </c>
      <c r="GM27" s="3482"/>
      <c r="GN27" s="3482"/>
      <c r="GO27" s="3483">
        <f t="shared" si="58"/>
        <v>0</v>
      </c>
      <c r="GP27" s="3485"/>
      <c r="GQ27" s="3485"/>
      <c r="GR27" s="3483">
        <f t="shared" si="59"/>
        <v>0</v>
      </c>
      <c r="GS27" s="3483">
        <f t="shared" si="59"/>
        <v>0</v>
      </c>
      <c r="GT27" s="3485"/>
      <c r="GU27" s="3485"/>
      <c r="GV27" s="3483">
        <f t="shared" si="60"/>
        <v>0</v>
      </c>
      <c r="GW27" s="3485"/>
      <c r="GX27" s="3485"/>
      <c r="GY27" s="3483">
        <f t="shared" si="61"/>
        <v>0</v>
      </c>
      <c r="GZ27" s="3483">
        <f t="shared" si="61"/>
        <v>0</v>
      </c>
      <c r="HA27" s="3485"/>
      <c r="HB27" s="3485"/>
      <c r="HC27" s="3483">
        <f t="shared" si="62"/>
        <v>0</v>
      </c>
      <c r="HD27" s="3485"/>
      <c r="HE27" s="3485"/>
      <c r="HF27" s="3483">
        <f t="shared" si="63"/>
        <v>0</v>
      </c>
      <c r="HG27" s="3483">
        <f t="shared" si="63"/>
        <v>0</v>
      </c>
      <c r="HH27" s="3485"/>
      <c r="HI27" s="3485"/>
      <c r="HJ27" s="3483">
        <f t="shared" si="64"/>
        <v>0</v>
      </c>
      <c r="HK27" s="3485"/>
      <c r="HL27" s="3485"/>
      <c r="HM27" s="3483">
        <f t="shared" si="65"/>
        <v>0</v>
      </c>
      <c r="HN27" s="3483">
        <f t="shared" si="65"/>
        <v>0</v>
      </c>
      <c r="HO27" s="3485"/>
      <c r="HP27" s="3485"/>
      <c r="HQ27" s="3483">
        <f t="shared" si="66"/>
        <v>0</v>
      </c>
      <c r="HR27" s="3485"/>
      <c r="HS27" s="3485"/>
      <c r="HT27" s="3483">
        <f t="shared" si="67"/>
        <v>0</v>
      </c>
      <c r="HU27" s="3483">
        <f t="shared" si="67"/>
        <v>0</v>
      </c>
      <c r="HV27" s="3487">
        <f t="shared" si="68"/>
        <v>0</v>
      </c>
      <c r="HW27" s="3487">
        <f t="shared" si="68"/>
        <v>0</v>
      </c>
      <c r="HX27" s="3487">
        <f t="shared" si="69"/>
        <v>0</v>
      </c>
      <c r="HY27" s="3487">
        <f t="shared" si="68"/>
        <v>0</v>
      </c>
      <c r="HZ27" s="3487">
        <f t="shared" si="68"/>
        <v>0</v>
      </c>
      <c r="IA27" s="3487">
        <f t="shared" si="68"/>
        <v>0</v>
      </c>
      <c r="IB27" s="3487">
        <f t="shared" si="68"/>
        <v>0</v>
      </c>
      <c r="IC27" s="3488">
        <f t="shared" si="70"/>
        <v>11345</v>
      </c>
      <c r="ID27" s="3488">
        <f t="shared" si="70"/>
        <v>0</v>
      </c>
      <c r="IE27" s="3489">
        <f t="shared" si="71"/>
        <v>11345</v>
      </c>
      <c r="IF27" s="3488">
        <f t="shared" si="70"/>
        <v>24250</v>
      </c>
      <c r="IG27" s="3488">
        <f t="shared" si="70"/>
        <v>0</v>
      </c>
      <c r="IH27" s="3488">
        <f t="shared" si="70"/>
        <v>-12905</v>
      </c>
      <c r="II27" s="3488">
        <f t="shared" si="70"/>
        <v>0</v>
      </c>
    </row>
    <row r="28" spans="1:243" s="3473" customFormat="1" ht="21.95" customHeight="1">
      <c r="A28" s="3473" t="s">
        <v>3499</v>
      </c>
      <c r="B28" s="3474">
        <v>7</v>
      </c>
      <c r="C28" s="3475" t="s">
        <v>3485</v>
      </c>
      <c r="D28" s="3476" t="s">
        <v>3486</v>
      </c>
      <c r="E28" s="3477">
        <v>30.6</v>
      </c>
      <c r="F28" s="3478">
        <v>25</v>
      </c>
      <c r="G28" s="3474">
        <v>5</v>
      </c>
      <c r="H28" s="3474" t="s">
        <v>3484</v>
      </c>
      <c r="I28" s="3491">
        <v>44823</v>
      </c>
      <c r="J28" s="3491">
        <v>44926</v>
      </c>
      <c r="K28" s="3479">
        <f t="shared" si="6"/>
        <v>0</v>
      </c>
      <c r="L28" s="3480">
        <v>5737.5</v>
      </c>
      <c r="M28" s="3477">
        <v>19125</v>
      </c>
      <c r="N28" s="3480"/>
      <c r="O28" s="3480"/>
      <c r="P28" s="3480"/>
      <c r="Q28" s="3481"/>
      <c r="R28" s="3480"/>
      <c r="S28" s="3480"/>
      <c r="T28" s="3480"/>
      <c r="U28" s="3480"/>
      <c r="V28" s="3480"/>
      <c r="W28" s="3481"/>
      <c r="X28" s="3461">
        <f t="shared" si="7"/>
        <v>19125</v>
      </c>
      <c r="Y28" s="3461">
        <f t="shared" si="8"/>
        <v>19125</v>
      </c>
      <c r="Z28" s="3461">
        <f t="shared" si="9"/>
        <v>0</v>
      </c>
      <c r="AA28" s="3482"/>
      <c r="AB28" s="3482"/>
      <c r="AC28" s="3483">
        <f t="shared" si="10"/>
        <v>0</v>
      </c>
      <c r="AD28" s="3482"/>
      <c r="AE28" s="3482"/>
      <c r="AF28" s="3483">
        <f t="shared" si="11"/>
        <v>0</v>
      </c>
      <c r="AG28" s="3483">
        <f t="shared" si="11"/>
        <v>0</v>
      </c>
      <c r="AH28" s="3482"/>
      <c r="AI28" s="3482"/>
      <c r="AJ28" s="3483">
        <f t="shared" si="12"/>
        <v>0</v>
      </c>
      <c r="AK28" s="3482"/>
      <c r="AL28" s="3482"/>
      <c r="AM28" s="3483">
        <f t="shared" si="13"/>
        <v>0</v>
      </c>
      <c r="AN28" s="3483">
        <f t="shared" si="13"/>
        <v>0</v>
      </c>
      <c r="AO28" s="3482">
        <f>F28*G28*100</f>
        <v>12500</v>
      </c>
      <c r="AP28" s="3482"/>
      <c r="AQ28" s="3483">
        <f t="shared" si="14"/>
        <v>12500</v>
      </c>
      <c r="AR28" s="3482">
        <v>19125</v>
      </c>
      <c r="AS28" s="3482"/>
      <c r="AT28" s="3483">
        <f t="shared" si="15"/>
        <v>-6625</v>
      </c>
      <c r="AU28" s="3483">
        <f t="shared" si="15"/>
        <v>0</v>
      </c>
      <c r="AV28" s="3484">
        <f t="shared" si="16"/>
        <v>12500</v>
      </c>
      <c r="AW28" s="3484">
        <f t="shared" si="16"/>
        <v>0</v>
      </c>
      <c r="AX28" s="3484">
        <f t="shared" si="17"/>
        <v>12500</v>
      </c>
      <c r="AY28" s="3484">
        <f t="shared" si="16"/>
        <v>19125</v>
      </c>
      <c r="AZ28" s="3484">
        <f t="shared" si="16"/>
        <v>0</v>
      </c>
      <c r="BA28" s="3484">
        <f t="shared" si="16"/>
        <v>-6625</v>
      </c>
      <c r="BB28" s="3484">
        <f t="shared" si="16"/>
        <v>0</v>
      </c>
      <c r="BC28" s="3482"/>
      <c r="BD28" s="3482"/>
      <c r="BE28" s="3483">
        <f t="shared" si="18"/>
        <v>0</v>
      </c>
      <c r="BF28" s="3482"/>
      <c r="BG28" s="3482"/>
      <c r="BH28" s="3483">
        <f t="shared" si="19"/>
        <v>0</v>
      </c>
      <c r="BI28" s="3483">
        <f t="shared" si="19"/>
        <v>0</v>
      </c>
      <c r="BJ28" s="3482"/>
      <c r="BK28" s="3482"/>
      <c r="BL28" s="3483">
        <f t="shared" si="20"/>
        <v>0</v>
      </c>
      <c r="BM28" s="3482"/>
      <c r="BN28" s="3482"/>
      <c r="BO28" s="3483">
        <f t="shared" si="21"/>
        <v>0</v>
      </c>
      <c r="BP28" s="3483">
        <f t="shared" si="21"/>
        <v>0</v>
      </c>
      <c r="BQ28" s="3482"/>
      <c r="BR28" s="3482"/>
      <c r="BS28" s="3483">
        <f t="shared" si="22"/>
        <v>0</v>
      </c>
      <c r="BT28" s="3482"/>
      <c r="BU28" s="3482"/>
      <c r="BV28" s="3483">
        <f t="shared" si="23"/>
        <v>0</v>
      </c>
      <c r="BW28" s="3483">
        <f t="shared" si="23"/>
        <v>0</v>
      </c>
      <c r="BX28" s="3482"/>
      <c r="BY28" s="3482"/>
      <c r="BZ28" s="3483">
        <f t="shared" si="24"/>
        <v>0</v>
      </c>
      <c r="CA28" s="3482"/>
      <c r="CB28" s="3482"/>
      <c r="CC28" s="3483">
        <f t="shared" si="25"/>
        <v>0</v>
      </c>
      <c r="CD28" s="3483">
        <f t="shared" si="25"/>
        <v>0</v>
      </c>
      <c r="CE28" s="3482"/>
      <c r="CF28" s="3482"/>
      <c r="CG28" s="3483">
        <f t="shared" si="26"/>
        <v>0</v>
      </c>
      <c r="CH28" s="3482"/>
      <c r="CI28" s="3482"/>
      <c r="CJ28" s="3483">
        <f t="shared" si="27"/>
        <v>0</v>
      </c>
      <c r="CK28" s="3483">
        <f t="shared" si="27"/>
        <v>0</v>
      </c>
      <c r="CL28" s="3482"/>
      <c r="CM28" s="3482"/>
      <c r="CN28" s="3483">
        <f t="shared" si="28"/>
        <v>0</v>
      </c>
      <c r="CO28" s="3482"/>
      <c r="CP28" s="3482"/>
      <c r="CQ28" s="3483">
        <f t="shared" si="29"/>
        <v>0</v>
      </c>
      <c r="CR28" s="3483">
        <f t="shared" si="29"/>
        <v>0</v>
      </c>
      <c r="CS28" s="3482"/>
      <c r="CT28" s="3482"/>
      <c r="CU28" s="3483">
        <f t="shared" si="30"/>
        <v>0</v>
      </c>
      <c r="CV28" s="3482"/>
      <c r="CW28" s="3482"/>
      <c r="CX28" s="3483">
        <f t="shared" si="31"/>
        <v>0</v>
      </c>
      <c r="CY28" s="3483">
        <f t="shared" si="31"/>
        <v>0</v>
      </c>
      <c r="CZ28" s="3482"/>
      <c r="DA28" s="3482"/>
      <c r="DB28" s="3483">
        <f t="shared" si="32"/>
        <v>0</v>
      </c>
      <c r="DC28" s="3485"/>
      <c r="DD28" s="3485"/>
      <c r="DE28" s="3483">
        <f t="shared" si="33"/>
        <v>0</v>
      </c>
      <c r="DF28" s="3483">
        <f t="shared" si="33"/>
        <v>0</v>
      </c>
      <c r="DG28" s="3485"/>
      <c r="DH28" s="3485"/>
      <c r="DI28" s="3483">
        <f t="shared" si="34"/>
        <v>0</v>
      </c>
      <c r="DJ28" s="3485"/>
      <c r="DK28" s="3485"/>
      <c r="DL28" s="3483">
        <f t="shared" si="35"/>
        <v>0</v>
      </c>
      <c r="DM28" s="3483">
        <f t="shared" si="35"/>
        <v>0</v>
      </c>
      <c r="DN28" s="3485"/>
      <c r="DO28" s="3485"/>
      <c r="DP28" s="3483">
        <f t="shared" si="36"/>
        <v>0</v>
      </c>
      <c r="DQ28" s="3485"/>
      <c r="DR28" s="3485"/>
      <c r="DS28" s="3483">
        <f t="shared" si="37"/>
        <v>0</v>
      </c>
      <c r="DT28" s="3483">
        <f t="shared" si="37"/>
        <v>0</v>
      </c>
      <c r="DU28" s="3485"/>
      <c r="DV28" s="3485"/>
      <c r="DW28" s="3483">
        <f t="shared" si="38"/>
        <v>0</v>
      </c>
      <c r="DX28" s="3485"/>
      <c r="DY28" s="3485"/>
      <c r="DZ28" s="3483">
        <f t="shared" si="39"/>
        <v>0</v>
      </c>
      <c r="EA28" s="3483">
        <f t="shared" si="39"/>
        <v>0</v>
      </c>
      <c r="EB28" s="3485"/>
      <c r="EC28" s="3485"/>
      <c r="ED28" s="3483">
        <f t="shared" si="40"/>
        <v>0</v>
      </c>
      <c r="EE28" s="3485"/>
      <c r="EF28" s="3485"/>
      <c r="EG28" s="3483">
        <f t="shared" si="41"/>
        <v>0</v>
      </c>
      <c r="EH28" s="3483">
        <f t="shared" si="41"/>
        <v>0</v>
      </c>
      <c r="EI28" s="3486">
        <f t="shared" si="42"/>
        <v>0</v>
      </c>
      <c r="EJ28" s="3486">
        <f t="shared" si="42"/>
        <v>0</v>
      </c>
      <c r="EK28" s="3463">
        <f t="shared" si="43"/>
        <v>0</v>
      </c>
      <c r="EL28" s="3486">
        <f t="shared" si="42"/>
        <v>0</v>
      </c>
      <c r="EM28" s="3486">
        <f t="shared" si="42"/>
        <v>0</v>
      </c>
      <c r="EN28" s="3486">
        <f t="shared" si="42"/>
        <v>0</v>
      </c>
      <c r="EO28" s="3486">
        <f t="shared" si="42"/>
        <v>0</v>
      </c>
      <c r="EP28" s="3482"/>
      <c r="EQ28" s="3482"/>
      <c r="ER28" s="3483">
        <f t="shared" si="44"/>
        <v>0</v>
      </c>
      <c r="ES28" s="3482"/>
      <c r="ET28" s="3482"/>
      <c r="EU28" s="3483">
        <f t="shared" si="45"/>
        <v>0</v>
      </c>
      <c r="EV28" s="3483">
        <f t="shared" si="45"/>
        <v>0</v>
      </c>
      <c r="EW28" s="3482"/>
      <c r="EX28" s="3482"/>
      <c r="EY28" s="3483">
        <f t="shared" si="46"/>
        <v>0</v>
      </c>
      <c r="EZ28" s="3482"/>
      <c r="FA28" s="3482"/>
      <c r="FB28" s="3483">
        <f t="shared" si="47"/>
        <v>0</v>
      </c>
      <c r="FC28" s="3483">
        <f t="shared" si="47"/>
        <v>0</v>
      </c>
      <c r="FD28" s="3482"/>
      <c r="FE28" s="3482"/>
      <c r="FF28" s="3483">
        <f t="shared" si="48"/>
        <v>0</v>
      </c>
      <c r="FG28" s="3482"/>
      <c r="FH28" s="3482"/>
      <c r="FI28" s="3483">
        <f t="shared" si="49"/>
        <v>0</v>
      </c>
      <c r="FJ28" s="3483">
        <f t="shared" si="49"/>
        <v>0</v>
      </c>
      <c r="FK28" s="3482"/>
      <c r="FL28" s="3482"/>
      <c r="FM28" s="3483">
        <f t="shared" si="50"/>
        <v>0</v>
      </c>
      <c r="FN28" s="3482"/>
      <c r="FO28" s="3482"/>
      <c r="FP28" s="3483">
        <f t="shared" si="51"/>
        <v>0</v>
      </c>
      <c r="FQ28" s="3483">
        <f t="shared" si="51"/>
        <v>0</v>
      </c>
      <c r="FR28" s="3482"/>
      <c r="FS28" s="3482"/>
      <c r="FT28" s="3483">
        <f t="shared" si="52"/>
        <v>0</v>
      </c>
      <c r="FU28" s="3482"/>
      <c r="FV28" s="3482"/>
      <c r="FW28" s="3483">
        <f t="shared" si="53"/>
        <v>0</v>
      </c>
      <c r="FX28" s="3483">
        <f t="shared" si="53"/>
        <v>0</v>
      </c>
      <c r="FY28" s="3482"/>
      <c r="FZ28" s="3482"/>
      <c r="GA28" s="3483">
        <f t="shared" si="54"/>
        <v>0</v>
      </c>
      <c r="GB28" s="3482"/>
      <c r="GC28" s="3482"/>
      <c r="GD28" s="3483">
        <f t="shared" si="55"/>
        <v>0</v>
      </c>
      <c r="GE28" s="3483">
        <f t="shared" si="55"/>
        <v>0</v>
      </c>
      <c r="GF28" s="3482"/>
      <c r="GG28" s="3482"/>
      <c r="GH28" s="3483">
        <f t="shared" si="56"/>
        <v>0</v>
      </c>
      <c r="GI28" s="3482"/>
      <c r="GJ28" s="3482"/>
      <c r="GK28" s="3483">
        <f t="shared" si="57"/>
        <v>0</v>
      </c>
      <c r="GL28" s="3483">
        <f t="shared" si="57"/>
        <v>0</v>
      </c>
      <c r="GM28" s="3482"/>
      <c r="GN28" s="3482"/>
      <c r="GO28" s="3483">
        <f t="shared" si="58"/>
        <v>0</v>
      </c>
      <c r="GP28" s="3485"/>
      <c r="GQ28" s="3485"/>
      <c r="GR28" s="3483">
        <f t="shared" si="59"/>
        <v>0</v>
      </c>
      <c r="GS28" s="3483">
        <f t="shared" si="59"/>
        <v>0</v>
      </c>
      <c r="GT28" s="3485"/>
      <c r="GU28" s="3485"/>
      <c r="GV28" s="3483">
        <f t="shared" si="60"/>
        <v>0</v>
      </c>
      <c r="GW28" s="3485"/>
      <c r="GX28" s="3485"/>
      <c r="GY28" s="3483">
        <f t="shared" si="61"/>
        <v>0</v>
      </c>
      <c r="GZ28" s="3483">
        <f t="shared" si="61"/>
        <v>0</v>
      </c>
      <c r="HA28" s="3485"/>
      <c r="HB28" s="3485"/>
      <c r="HC28" s="3483">
        <f t="shared" si="62"/>
        <v>0</v>
      </c>
      <c r="HD28" s="3485"/>
      <c r="HE28" s="3485"/>
      <c r="HF28" s="3483">
        <f t="shared" si="63"/>
        <v>0</v>
      </c>
      <c r="HG28" s="3483">
        <f t="shared" si="63"/>
        <v>0</v>
      </c>
      <c r="HH28" s="3485"/>
      <c r="HI28" s="3485"/>
      <c r="HJ28" s="3483">
        <f t="shared" si="64"/>
        <v>0</v>
      </c>
      <c r="HK28" s="3485"/>
      <c r="HL28" s="3485"/>
      <c r="HM28" s="3483">
        <f t="shared" si="65"/>
        <v>0</v>
      </c>
      <c r="HN28" s="3483">
        <f t="shared" si="65"/>
        <v>0</v>
      </c>
      <c r="HO28" s="3485"/>
      <c r="HP28" s="3485"/>
      <c r="HQ28" s="3483">
        <f t="shared" si="66"/>
        <v>0</v>
      </c>
      <c r="HR28" s="3485"/>
      <c r="HS28" s="3485"/>
      <c r="HT28" s="3483">
        <f t="shared" si="67"/>
        <v>0</v>
      </c>
      <c r="HU28" s="3483">
        <f t="shared" si="67"/>
        <v>0</v>
      </c>
      <c r="HV28" s="3487">
        <f t="shared" si="68"/>
        <v>0</v>
      </c>
      <c r="HW28" s="3487">
        <f t="shared" si="68"/>
        <v>0</v>
      </c>
      <c r="HX28" s="3487">
        <f t="shared" si="69"/>
        <v>0</v>
      </c>
      <c r="HY28" s="3487">
        <f t="shared" si="68"/>
        <v>0</v>
      </c>
      <c r="HZ28" s="3487">
        <f t="shared" si="68"/>
        <v>0</v>
      </c>
      <c r="IA28" s="3487">
        <f t="shared" si="68"/>
        <v>0</v>
      </c>
      <c r="IB28" s="3487">
        <f t="shared" si="68"/>
        <v>0</v>
      </c>
      <c r="IC28" s="3488">
        <f t="shared" si="70"/>
        <v>12500</v>
      </c>
      <c r="ID28" s="3488">
        <f t="shared" si="70"/>
        <v>0</v>
      </c>
      <c r="IE28" s="3489">
        <f t="shared" si="71"/>
        <v>12500</v>
      </c>
      <c r="IF28" s="3488">
        <f t="shared" si="70"/>
        <v>19125</v>
      </c>
      <c r="IG28" s="3488">
        <f t="shared" si="70"/>
        <v>0</v>
      </c>
      <c r="IH28" s="3488">
        <f t="shared" si="70"/>
        <v>-6625</v>
      </c>
      <c r="II28" s="3488">
        <f t="shared" si="70"/>
        <v>0</v>
      </c>
    </row>
    <row r="29" spans="1:243" s="3473" customFormat="1" ht="21.95" customHeight="1">
      <c r="A29" s="3473" t="s">
        <v>3500</v>
      </c>
      <c r="B29" s="3474">
        <v>8</v>
      </c>
      <c r="C29" s="3492" t="s">
        <v>3487</v>
      </c>
      <c r="D29" s="3476" t="s">
        <v>3501</v>
      </c>
      <c r="E29" s="3477">
        <v>30.6</v>
      </c>
      <c r="F29" s="3493">
        <v>38.25</v>
      </c>
      <c r="G29" s="3474"/>
      <c r="H29" s="3474"/>
      <c r="I29" s="3491"/>
      <c r="J29" s="3491"/>
      <c r="K29" s="3479">
        <f t="shared" si="6"/>
        <v>0</v>
      </c>
      <c r="L29" s="3480"/>
      <c r="M29" s="3477"/>
      <c r="N29" s="3480"/>
      <c r="O29" s="3481"/>
      <c r="P29" s="3480"/>
      <c r="Q29" s="3481"/>
      <c r="R29" s="3480"/>
      <c r="S29" s="3480"/>
      <c r="T29" s="3480"/>
      <c r="U29" s="3480"/>
      <c r="V29" s="3480"/>
      <c r="W29" s="3494"/>
      <c r="X29" s="3461">
        <f t="shared" si="7"/>
        <v>0</v>
      </c>
      <c r="Y29" s="3461">
        <f t="shared" si="8"/>
        <v>0</v>
      </c>
      <c r="Z29" s="3461">
        <f t="shared" si="9"/>
        <v>0</v>
      </c>
      <c r="AA29" s="3482"/>
      <c r="AB29" s="3482"/>
      <c r="AC29" s="3483">
        <f t="shared" si="10"/>
        <v>0</v>
      </c>
      <c r="AD29" s="3482"/>
      <c r="AE29" s="3482"/>
      <c r="AF29" s="3483">
        <f t="shared" si="11"/>
        <v>0</v>
      </c>
      <c r="AG29" s="3483">
        <f t="shared" si="11"/>
        <v>0</v>
      </c>
      <c r="AH29" s="3482"/>
      <c r="AI29" s="3482"/>
      <c r="AJ29" s="3483">
        <f t="shared" si="12"/>
        <v>0</v>
      </c>
      <c r="AK29" s="3482"/>
      <c r="AL29" s="3482"/>
      <c r="AM29" s="3483">
        <f t="shared" si="13"/>
        <v>0</v>
      </c>
      <c r="AN29" s="3483">
        <f t="shared" si="13"/>
        <v>0</v>
      </c>
      <c r="AO29" s="3482"/>
      <c r="AP29" s="3482"/>
      <c r="AQ29" s="3483">
        <f t="shared" si="14"/>
        <v>0</v>
      </c>
      <c r="AR29" s="3482"/>
      <c r="AS29" s="3482"/>
      <c r="AT29" s="3483">
        <f t="shared" si="15"/>
        <v>0</v>
      </c>
      <c r="AU29" s="3483">
        <f t="shared" si="15"/>
        <v>0</v>
      </c>
      <c r="AV29" s="3484">
        <f t="shared" si="16"/>
        <v>0</v>
      </c>
      <c r="AW29" s="3484">
        <f t="shared" si="16"/>
        <v>0</v>
      </c>
      <c r="AX29" s="3484">
        <f t="shared" si="17"/>
        <v>0</v>
      </c>
      <c r="AY29" s="3484">
        <f t="shared" si="16"/>
        <v>0</v>
      </c>
      <c r="AZ29" s="3484">
        <f t="shared" si="16"/>
        <v>0</v>
      </c>
      <c r="BA29" s="3484">
        <f t="shared" si="16"/>
        <v>0</v>
      </c>
      <c r="BB29" s="3484">
        <f t="shared" si="16"/>
        <v>0</v>
      </c>
      <c r="BC29" s="3482"/>
      <c r="BD29" s="3482"/>
      <c r="BE29" s="3483">
        <f t="shared" si="18"/>
        <v>0</v>
      </c>
      <c r="BF29" s="3482"/>
      <c r="BG29" s="3482"/>
      <c r="BH29" s="3483">
        <f t="shared" si="19"/>
        <v>0</v>
      </c>
      <c r="BI29" s="3483">
        <f t="shared" si="19"/>
        <v>0</v>
      </c>
      <c r="BJ29" s="3482"/>
      <c r="BK29" s="3482"/>
      <c r="BL29" s="3483">
        <f t="shared" si="20"/>
        <v>0</v>
      </c>
      <c r="BM29" s="3482"/>
      <c r="BN29" s="3482"/>
      <c r="BO29" s="3483">
        <f t="shared" si="21"/>
        <v>0</v>
      </c>
      <c r="BP29" s="3483">
        <f t="shared" si="21"/>
        <v>0</v>
      </c>
      <c r="BQ29" s="3482"/>
      <c r="BR29" s="3482"/>
      <c r="BS29" s="3483">
        <f t="shared" si="22"/>
        <v>0</v>
      </c>
      <c r="BT29" s="3482"/>
      <c r="BU29" s="3482"/>
      <c r="BV29" s="3483">
        <f t="shared" si="23"/>
        <v>0</v>
      </c>
      <c r="BW29" s="3483">
        <f t="shared" si="23"/>
        <v>0</v>
      </c>
      <c r="BX29" s="3482"/>
      <c r="BY29" s="3482"/>
      <c r="BZ29" s="3483">
        <f t="shared" si="24"/>
        <v>0</v>
      </c>
      <c r="CA29" s="3482"/>
      <c r="CB29" s="3482"/>
      <c r="CC29" s="3483">
        <f t="shared" si="25"/>
        <v>0</v>
      </c>
      <c r="CD29" s="3483">
        <f t="shared" si="25"/>
        <v>0</v>
      </c>
      <c r="CE29" s="3482"/>
      <c r="CF29" s="3482"/>
      <c r="CG29" s="3483">
        <f t="shared" si="26"/>
        <v>0</v>
      </c>
      <c r="CH29" s="3482"/>
      <c r="CI29" s="3482"/>
      <c r="CJ29" s="3483">
        <f t="shared" si="27"/>
        <v>0</v>
      </c>
      <c r="CK29" s="3483">
        <f t="shared" si="27"/>
        <v>0</v>
      </c>
      <c r="CL29" s="3482"/>
      <c r="CM29" s="3482"/>
      <c r="CN29" s="3483">
        <f t="shared" si="28"/>
        <v>0</v>
      </c>
      <c r="CO29" s="3482"/>
      <c r="CP29" s="3482"/>
      <c r="CQ29" s="3483">
        <f t="shared" si="29"/>
        <v>0</v>
      </c>
      <c r="CR29" s="3483">
        <f t="shared" si="29"/>
        <v>0</v>
      </c>
      <c r="CS29" s="3482"/>
      <c r="CT29" s="3482"/>
      <c r="CU29" s="3483">
        <f t="shared" si="30"/>
        <v>0</v>
      </c>
      <c r="CV29" s="3482"/>
      <c r="CW29" s="3482"/>
      <c r="CX29" s="3483">
        <f t="shared" si="31"/>
        <v>0</v>
      </c>
      <c r="CY29" s="3483">
        <f t="shared" si="31"/>
        <v>0</v>
      </c>
      <c r="CZ29" s="3482"/>
      <c r="DA29" s="3482"/>
      <c r="DB29" s="3483">
        <f t="shared" si="32"/>
        <v>0</v>
      </c>
      <c r="DC29" s="3485"/>
      <c r="DD29" s="3485"/>
      <c r="DE29" s="3483">
        <f t="shared" si="33"/>
        <v>0</v>
      </c>
      <c r="DF29" s="3483">
        <f t="shared" si="33"/>
        <v>0</v>
      </c>
      <c r="DG29" s="3485"/>
      <c r="DH29" s="3485"/>
      <c r="DI29" s="3483">
        <f t="shared" si="34"/>
        <v>0</v>
      </c>
      <c r="DJ29" s="3485"/>
      <c r="DK29" s="3485"/>
      <c r="DL29" s="3483">
        <f t="shared" si="35"/>
        <v>0</v>
      </c>
      <c r="DM29" s="3483">
        <f t="shared" si="35"/>
        <v>0</v>
      </c>
      <c r="DN29" s="3485"/>
      <c r="DO29" s="3485"/>
      <c r="DP29" s="3483">
        <f t="shared" si="36"/>
        <v>0</v>
      </c>
      <c r="DQ29" s="3485"/>
      <c r="DR29" s="3485"/>
      <c r="DS29" s="3483">
        <f t="shared" si="37"/>
        <v>0</v>
      </c>
      <c r="DT29" s="3483">
        <f t="shared" si="37"/>
        <v>0</v>
      </c>
      <c r="DU29" s="3485"/>
      <c r="DV29" s="3485"/>
      <c r="DW29" s="3483">
        <f t="shared" si="38"/>
        <v>0</v>
      </c>
      <c r="DX29" s="3485"/>
      <c r="DY29" s="3485"/>
      <c r="DZ29" s="3483">
        <f t="shared" si="39"/>
        <v>0</v>
      </c>
      <c r="EA29" s="3483">
        <f t="shared" si="39"/>
        <v>0</v>
      </c>
      <c r="EB29" s="3485"/>
      <c r="EC29" s="3485"/>
      <c r="ED29" s="3483">
        <f t="shared" si="40"/>
        <v>0</v>
      </c>
      <c r="EE29" s="3485"/>
      <c r="EF29" s="3485"/>
      <c r="EG29" s="3483">
        <f t="shared" si="41"/>
        <v>0</v>
      </c>
      <c r="EH29" s="3483">
        <f t="shared" si="41"/>
        <v>0</v>
      </c>
      <c r="EI29" s="3486">
        <f t="shared" si="42"/>
        <v>0</v>
      </c>
      <c r="EJ29" s="3486">
        <f t="shared" si="42"/>
        <v>0</v>
      </c>
      <c r="EK29" s="3463">
        <f t="shared" si="43"/>
        <v>0</v>
      </c>
      <c r="EL29" s="3486">
        <f t="shared" si="42"/>
        <v>0</v>
      </c>
      <c r="EM29" s="3486">
        <f t="shared" si="42"/>
        <v>0</v>
      </c>
      <c r="EN29" s="3486">
        <f t="shared" si="42"/>
        <v>0</v>
      </c>
      <c r="EO29" s="3486">
        <f t="shared" si="42"/>
        <v>0</v>
      </c>
      <c r="EP29" s="3482"/>
      <c r="EQ29" s="3482"/>
      <c r="ER29" s="3483">
        <f t="shared" si="44"/>
        <v>0</v>
      </c>
      <c r="ES29" s="3482"/>
      <c r="ET29" s="3482"/>
      <c r="EU29" s="3483">
        <f t="shared" si="45"/>
        <v>0</v>
      </c>
      <c r="EV29" s="3483">
        <f t="shared" si="45"/>
        <v>0</v>
      </c>
      <c r="EW29" s="3482"/>
      <c r="EX29" s="3482"/>
      <c r="EY29" s="3483">
        <f t="shared" si="46"/>
        <v>0</v>
      </c>
      <c r="EZ29" s="3482"/>
      <c r="FA29" s="3482"/>
      <c r="FB29" s="3483">
        <f t="shared" si="47"/>
        <v>0</v>
      </c>
      <c r="FC29" s="3483">
        <f t="shared" si="47"/>
        <v>0</v>
      </c>
      <c r="FD29" s="3482"/>
      <c r="FE29" s="3482"/>
      <c r="FF29" s="3483">
        <f t="shared" si="48"/>
        <v>0</v>
      </c>
      <c r="FG29" s="3482"/>
      <c r="FH29" s="3482"/>
      <c r="FI29" s="3483">
        <f t="shared" si="49"/>
        <v>0</v>
      </c>
      <c r="FJ29" s="3483">
        <f t="shared" si="49"/>
        <v>0</v>
      </c>
      <c r="FK29" s="3482"/>
      <c r="FL29" s="3482"/>
      <c r="FM29" s="3483">
        <f t="shared" si="50"/>
        <v>0</v>
      </c>
      <c r="FN29" s="3482"/>
      <c r="FO29" s="3482"/>
      <c r="FP29" s="3483">
        <f t="shared" si="51"/>
        <v>0</v>
      </c>
      <c r="FQ29" s="3483">
        <f t="shared" si="51"/>
        <v>0</v>
      </c>
      <c r="FR29" s="3482"/>
      <c r="FS29" s="3482"/>
      <c r="FT29" s="3483">
        <f t="shared" si="52"/>
        <v>0</v>
      </c>
      <c r="FU29" s="3482"/>
      <c r="FV29" s="3482"/>
      <c r="FW29" s="3483">
        <f t="shared" si="53"/>
        <v>0</v>
      </c>
      <c r="FX29" s="3483">
        <f t="shared" si="53"/>
        <v>0</v>
      </c>
      <c r="FY29" s="3482"/>
      <c r="FZ29" s="3482"/>
      <c r="GA29" s="3483">
        <f t="shared" si="54"/>
        <v>0</v>
      </c>
      <c r="GB29" s="3482"/>
      <c r="GC29" s="3482"/>
      <c r="GD29" s="3483">
        <f t="shared" si="55"/>
        <v>0</v>
      </c>
      <c r="GE29" s="3483">
        <f t="shared" si="55"/>
        <v>0</v>
      </c>
      <c r="GF29" s="3482"/>
      <c r="GG29" s="3482"/>
      <c r="GH29" s="3483">
        <f t="shared" si="56"/>
        <v>0</v>
      </c>
      <c r="GI29" s="3482"/>
      <c r="GJ29" s="3482"/>
      <c r="GK29" s="3483">
        <f t="shared" si="57"/>
        <v>0</v>
      </c>
      <c r="GL29" s="3483">
        <f t="shared" si="57"/>
        <v>0</v>
      </c>
      <c r="GM29" s="3482"/>
      <c r="GN29" s="3482"/>
      <c r="GO29" s="3483">
        <f t="shared" si="58"/>
        <v>0</v>
      </c>
      <c r="GP29" s="3485"/>
      <c r="GQ29" s="3485"/>
      <c r="GR29" s="3483">
        <f t="shared" si="59"/>
        <v>0</v>
      </c>
      <c r="GS29" s="3483">
        <f t="shared" si="59"/>
        <v>0</v>
      </c>
      <c r="GT29" s="3485"/>
      <c r="GU29" s="3485"/>
      <c r="GV29" s="3483">
        <f t="shared" si="60"/>
        <v>0</v>
      </c>
      <c r="GW29" s="3485"/>
      <c r="GX29" s="3485"/>
      <c r="GY29" s="3483">
        <f t="shared" si="61"/>
        <v>0</v>
      </c>
      <c r="GZ29" s="3483">
        <f t="shared" si="61"/>
        <v>0</v>
      </c>
      <c r="HA29" s="3485"/>
      <c r="HB29" s="3485"/>
      <c r="HC29" s="3483">
        <f t="shared" si="62"/>
        <v>0</v>
      </c>
      <c r="HD29" s="3485"/>
      <c r="HE29" s="3485"/>
      <c r="HF29" s="3483">
        <f t="shared" si="63"/>
        <v>0</v>
      </c>
      <c r="HG29" s="3483">
        <f t="shared" si="63"/>
        <v>0</v>
      </c>
      <c r="HH29" s="3485"/>
      <c r="HI29" s="3485"/>
      <c r="HJ29" s="3483">
        <f t="shared" si="64"/>
        <v>0</v>
      </c>
      <c r="HK29" s="3485"/>
      <c r="HL29" s="3485"/>
      <c r="HM29" s="3483">
        <f t="shared" si="65"/>
        <v>0</v>
      </c>
      <c r="HN29" s="3483">
        <f t="shared" si="65"/>
        <v>0</v>
      </c>
      <c r="HO29" s="3485"/>
      <c r="HP29" s="3485"/>
      <c r="HQ29" s="3483">
        <f t="shared" si="66"/>
        <v>0</v>
      </c>
      <c r="HR29" s="3485"/>
      <c r="HS29" s="3485"/>
      <c r="HT29" s="3483">
        <f t="shared" si="67"/>
        <v>0</v>
      </c>
      <c r="HU29" s="3483">
        <f t="shared" si="67"/>
        <v>0</v>
      </c>
      <c r="HV29" s="3487">
        <f t="shared" si="68"/>
        <v>0</v>
      </c>
      <c r="HW29" s="3487">
        <f t="shared" si="68"/>
        <v>0</v>
      </c>
      <c r="HX29" s="3487">
        <f t="shared" si="69"/>
        <v>0</v>
      </c>
      <c r="HY29" s="3487">
        <f t="shared" si="68"/>
        <v>0</v>
      </c>
      <c r="HZ29" s="3487">
        <f t="shared" si="68"/>
        <v>0</v>
      </c>
      <c r="IA29" s="3487">
        <f t="shared" si="68"/>
        <v>0</v>
      </c>
      <c r="IB29" s="3487">
        <f t="shared" si="68"/>
        <v>0</v>
      </c>
      <c r="IC29" s="3488">
        <f t="shared" si="70"/>
        <v>0</v>
      </c>
      <c r="ID29" s="3488">
        <f t="shared" si="70"/>
        <v>0</v>
      </c>
      <c r="IE29" s="3489">
        <f t="shared" si="71"/>
        <v>0</v>
      </c>
      <c r="IF29" s="3488">
        <f t="shared" si="70"/>
        <v>0</v>
      </c>
      <c r="IG29" s="3488">
        <f t="shared" si="70"/>
        <v>0</v>
      </c>
      <c r="IH29" s="3488">
        <f t="shared" si="70"/>
        <v>0</v>
      </c>
      <c r="II29" s="3488">
        <f t="shared" si="70"/>
        <v>0</v>
      </c>
    </row>
    <row r="30" spans="1:243" s="3473" customFormat="1" ht="20.100000000000001" customHeight="1">
      <c r="A30" s="3473" t="s">
        <v>3500</v>
      </c>
      <c r="B30" s="3480">
        <v>9</v>
      </c>
      <c r="C30" s="3490" t="s">
        <v>3488</v>
      </c>
      <c r="D30" s="3476" t="s">
        <v>3489</v>
      </c>
      <c r="E30" s="3477">
        <v>30.6</v>
      </c>
      <c r="F30" s="3493">
        <v>38.25</v>
      </c>
      <c r="G30" s="3474">
        <v>6</v>
      </c>
      <c r="H30" s="3474" t="s">
        <v>3490</v>
      </c>
      <c r="I30" s="3491">
        <v>44896</v>
      </c>
      <c r="J30" s="3491">
        <v>47117</v>
      </c>
      <c r="K30" s="3479">
        <f t="shared" si="6"/>
        <v>6</v>
      </c>
      <c r="L30" s="3480">
        <v>6980.6</v>
      </c>
      <c r="M30" s="3477">
        <v>76786.880000000005</v>
      </c>
      <c r="N30" s="3480">
        <v>6980.6</v>
      </c>
      <c r="O30" s="3481">
        <v>76786.880000000005</v>
      </c>
      <c r="P30" s="3480">
        <v>7329.6</v>
      </c>
      <c r="Q30" s="3481">
        <v>80626.210000000006</v>
      </c>
      <c r="R30" s="3480">
        <v>7329.6</v>
      </c>
      <c r="S30" s="3480">
        <v>87955.88</v>
      </c>
      <c r="T30" s="3480">
        <v>7701.9</v>
      </c>
      <c r="U30" s="3480">
        <v>92423.48</v>
      </c>
      <c r="V30" s="3480">
        <v>7701.9</v>
      </c>
      <c r="W30" s="3494">
        <v>92423.48</v>
      </c>
      <c r="X30" s="3461">
        <f t="shared" si="7"/>
        <v>507002.81</v>
      </c>
      <c r="Y30" s="3461">
        <f t="shared" si="8"/>
        <v>76786.880000000005</v>
      </c>
      <c r="Z30" s="3461">
        <f t="shared" si="9"/>
        <v>430215.93</v>
      </c>
      <c r="AA30" s="3482"/>
      <c r="AB30" s="3482"/>
      <c r="AC30" s="3483">
        <f t="shared" si="10"/>
        <v>0</v>
      </c>
      <c r="AD30" s="3482"/>
      <c r="AE30" s="3482"/>
      <c r="AF30" s="3483">
        <f t="shared" si="11"/>
        <v>0</v>
      </c>
      <c r="AG30" s="3483">
        <f t="shared" si="11"/>
        <v>0</v>
      </c>
      <c r="AH30" s="3482"/>
      <c r="AI30" s="3482"/>
      <c r="AJ30" s="3483">
        <f t="shared" si="12"/>
        <v>0</v>
      </c>
      <c r="AK30" s="3482"/>
      <c r="AL30" s="3482"/>
      <c r="AM30" s="3483">
        <f t="shared" si="13"/>
        <v>0</v>
      </c>
      <c r="AN30" s="3483">
        <f t="shared" si="13"/>
        <v>0</v>
      </c>
      <c r="AO30" s="3482">
        <v>76786.880000000005</v>
      </c>
      <c r="AP30" s="3482">
        <v>6980.6</v>
      </c>
      <c r="AQ30" s="3483">
        <f t="shared" si="14"/>
        <v>69806.28</v>
      </c>
      <c r="AR30" s="3482">
        <v>76786.880000000005</v>
      </c>
      <c r="AS30" s="3482">
        <v>6980.6</v>
      </c>
      <c r="AT30" s="3483">
        <f t="shared" si="15"/>
        <v>0</v>
      </c>
      <c r="AU30" s="3483">
        <f t="shared" si="15"/>
        <v>0</v>
      </c>
      <c r="AV30" s="3484">
        <f t="shared" si="16"/>
        <v>76786.880000000005</v>
      </c>
      <c r="AW30" s="3484">
        <f t="shared" si="16"/>
        <v>6980.6</v>
      </c>
      <c r="AX30" s="3484">
        <f t="shared" si="17"/>
        <v>69806.28</v>
      </c>
      <c r="AY30" s="3484">
        <f t="shared" si="16"/>
        <v>76786.880000000005</v>
      </c>
      <c r="AZ30" s="3484">
        <f t="shared" si="16"/>
        <v>6980.6</v>
      </c>
      <c r="BA30" s="3484">
        <f t="shared" si="16"/>
        <v>0</v>
      </c>
      <c r="BB30" s="3484">
        <f t="shared" si="16"/>
        <v>0</v>
      </c>
      <c r="BC30" s="3482"/>
      <c r="BD30" s="3482"/>
      <c r="BE30" s="3483">
        <f t="shared" si="18"/>
        <v>0</v>
      </c>
      <c r="BF30" s="3482"/>
      <c r="BG30" s="3482"/>
      <c r="BH30" s="3483">
        <f t="shared" si="19"/>
        <v>0</v>
      </c>
      <c r="BI30" s="3483">
        <f t="shared" si="19"/>
        <v>0</v>
      </c>
      <c r="BJ30" s="3482"/>
      <c r="BK30" s="3482"/>
      <c r="BL30" s="3483">
        <f t="shared" si="20"/>
        <v>0</v>
      </c>
      <c r="BM30" s="3482"/>
      <c r="BN30" s="3482"/>
      <c r="BO30" s="3483">
        <f t="shared" si="21"/>
        <v>0</v>
      </c>
      <c r="BP30" s="3483">
        <f t="shared" si="21"/>
        <v>0</v>
      </c>
      <c r="BQ30" s="3482"/>
      <c r="BR30" s="3482"/>
      <c r="BS30" s="3483">
        <f t="shared" si="22"/>
        <v>0</v>
      </c>
      <c r="BT30" s="3482"/>
      <c r="BU30" s="3482"/>
      <c r="BV30" s="3483">
        <f t="shared" si="23"/>
        <v>0</v>
      </c>
      <c r="BW30" s="3483">
        <f t="shared" si="23"/>
        <v>0</v>
      </c>
      <c r="BX30" s="3482"/>
      <c r="BY30" s="3482"/>
      <c r="BZ30" s="3483">
        <f t="shared" si="24"/>
        <v>0</v>
      </c>
      <c r="CA30" s="3482"/>
      <c r="CB30" s="3482"/>
      <c r="CC30" s="3483">
        <f t="shared" si="25"/>
        <v>0</v>
      </c>
      <c r="CD30" s="3483">
        <f t="shared" si="25"/>
        <v>0</v>
      </c>
      <c r="CE30" s="3482"/>
      <c r="CF30" s="3482"/>
      <c r="CG30" s="3483">
        <f t="shared" si="26"/>
        <v>0</v>
      </c>
      <c r="CH30" s="3482"/>
      <c r="CI30" s="3482"/>
      <c r="CJ30" s="3483">
        <f t="shared" si="27"/>
        <v>0</v>
      </c>
      <c r="CK30" s="3483">
        <f t="shared" si="27"/>
        <v>0</v>
      </c>
      <c r="CL30" s="3482"/>
      <c r="CM30" s="3482"/>
      <c r="CN30" s="3483">
        <f t="shared" si="28"/>
        <v>0</v>
      </c>
      <c r="CO30" s="3482"/>
      <c r="CP30" s="3482"/>
      <c r="CQ30" s="3483">
        <f t="shared" si="29"/>
        <v>0</v>
      </c>
      <c r="CR30" s="3483">
        <f t="shared" si="29"/>
        <v>0</v>
      </c>
      <c r="CS30" s="3482"/>
      <c r="CT30" s="3482"/>
      <c r="CU30" s="3483">
        <f t="shared" si="30"/>
        <v>0</v>
      </c>
      <c r="CV30" s="3482"/>
      <c r="CW30" s="3482"/>
      <c r="CX30" s="3483">
        <f t="shared" si="31"/>
        <v>0</v>
      </c>
      <c r="CY30" s="3483">
        <f t="shared" si="31"/>
        <v>0</v>
      </c>
      <c r="CZ30" s="3482"/>
      <c r="DA30" s="3482"/>
      <c r="DB30" s="3483">
        <f t="shared" si="32"/>
        <v>0</v>
      </c>
      <c r="DC30" s="3485"/>
      <c r="DD30" s="3485"/>
      <c r="DE30" s="3483">
        <f t="shared" si="33"/>
        <v>0</v>
      </c>
      <c r="DF30" s="3483">
        <f t="shared" si="33"/>
        <v>0</v>
      </c>
      <c r="DG30" s="3485"/>
      <c r="DH30" s="3485"/>
      <c r="DI30" s="3483">
        <f t="shared" si="34"/>
        <v>0</v>
      </c>
      <c r="DJ30" s="3485"/>
      <c r="DK30" s="3485"/>
      <c r="DL30" s="3483">
        <f t="shared" si="35"/>
        <v>0</v>
      </c>
      <c r="DM30" s="3483">
        <f t="shared" si="35"/>
        <v>0</v>
      </c>
      <c r="DN30" s="3485"/>
      <c r="DO30" s="3485"/>
      <c r="DP30" s="3483">
        <f t="shared" si="36"/>
        <v>0</v>
      </c>
      <c r="DQ30" s="3485"/>
      <c r="DR30" s="3485"/>
      <c r="DS30" s="3483">
        <f t="shared" si="37"/>
        <v>0</v>
      </c>
      <c r="DT30" s="3483">
        <f t="shared" si="37"/>
        <v>0</v>
      </c>
      <c r="DU30" s="3485"/>
      <c r="DV30" s="3485"/>
      <c r="DW30" s="3483">
        <f t="shared" si="38"/>
        <v>0</v>
      </c>
      <c r="DX30" s="3485"/>
      <c r="DY30" s="3485"/>
      <c r="DZ30" s="3483">
        <f t="shared" si="39"/>
        <v>0</v>
      </c>
      <c r="EA30" s="3483">
        <f t="shared" si="39"/>
        <v>0</v>
      </c>
      <c r="EB30" s="3485"/>
      <c r="EC30" s="3485"/>
      <c r="ED30" s="3483">
        <f t="shared" si="40"/>
        <v>0</v>
      </c>
      <c r="EE30" s="3485"/>
      <c r="EF30" s="3485"/>
      <c r="EG30" s="3483">
        <f t="shared" si="41"/>
        <v>0</v>
      </c>
      <c r="EH30" s="3483">
        <f t="shared" si="41"/>
        <v>0</v>
      </c>
      <c r="EI30" s="3486">
        <f t="shared" si="42"/>
        <v>0</v>
      </c>
      <c r="EJ30" s="3486">
        <f t="shared" si="42"/>
        <v>0</v>
      </c>
      <c r="EK30" s="3463">
        <f t="shared" si="43"/>
        <v>0</v>
      </c>
      <c r="EL30" s="3486">
        <f t="shared" si="42"/>
        <v>0</v>
      </c>
      <c r="EM30" s="3486">
        <f t="shared" si="42"/>
        <v>0</v>
      </c>
      <c r="EN30" s="3486">
        <f t="shared" si="42"/>
        <v>0</v>
      </c>
      <c r="EO30" s="3486">
        <f t="shared" si="42"/>
        <v>0</v>
      </c>
      <c r="EP30" s="3482"/>
      <c r="EQ30" s="3482"/>
      <c r="ER30" s="3483">
        <f t="shared" si="44"/>
        <v>0</v>
      </c>
      <c r="ES30" s="3482"/>
      <c r="ET30" s="3482"/>
      <c r="EU30" s="3483">
        <f t="shared" si="45"/>
        <v>0</v>
      </c>
      <c r="EV30" s="3483">
        <f t="shared" si="45"/>
        <v>0</v>
      </c>
      <c r="EW30" s="3482"/>
      <c r="EX30" s="3482"/>
      <c r="EY30" s="3483">
        <f t="shared" si="46"/>
        <v>0</v>
      </c>
      <c r="EZ30" s="3482"/>
      <c r="FA30" s="3482"/>
      <c r="FB30" s="3483">
        <f t="shared" si="47"/>
        <v>0</v>
      </c>
      <c r="FC30" s="3483">
        <f t="shared" si="47"/>
        <v>0</v>
      </c>
      <c r="FD30" s="3482"/>
      <c r="FE30" s="3482"/>
      <c r="FF30" s="3483">
        <f t="shared" si="48"/>
        <v>0</v>
      </c>
      <c r="FG30" s="3482"/>
      <c r="FH30" s="3482"/>
      <c r="FI30" s="3483">
        <f t="shared" si="49"/>
        <v>0</v>
      </c>
      <c r="FJ30" s="3483">
        <f t="shared" si="49"/>
        <v>0</v>
      </c>
      <c r="FK30" s="3482"/>
      <c r="FL30" s="3482"/>
      <c r="FM30" s="3483">
        <f t="shared" si="50"/>
        <v>0</v>
      </c>
      <c r="FN30" s="3482"/>
      <c r="FO30" s="3482"/>
      <c r="FP30" s="3483">
        <f t="shared" si="51"/>
        <v>0</v>
      </c>
      <c r="FQ30" s="3483">
        <f t="shared" si="51"/>
        <v>0</v>
      </c>
      <c r="FR30" s="3482"/>
      <c r="FS30" s="3482"/>
      <c r="FT30" s="3483">
        <f t="shared" si="52"/>
        <v>0</v>
      </c>
      <c r="FU30" s="3482"/>
      <c r="FV30" s="3482"/>
      <c r="FW30" s="3483">
        <f t="shared" si="53"/>
        <v>0</v>
      </c>
      <c r="FX30" s="3483">
        <f t="shared" si="53"/>
        <v>0</v>
      </c>
      <c r="FY30" s="3482"/>
      <c r="FZ30" s="3482"/>
      <c r="GA30" s="3483">
        <f t="shared" si="54"/>
        <v>0</v>
      </c>
      <c r="GB30" s="3482"/>
      <c r="GC30" s="3482"/>
      <c r="GD30" s="3483">
        <f t="shared" si="55"/>
        <v>0</v>
      </c>
      <c r="GE30" s="3483">
        <f t="shared" si="55"/>
        <v>0</v>
      </c>
      <c r="GF30" s="3482"/>
      <c r="GG30" s="3482"/>
      <c r="GH30" s="3483">
        <f t="shared" si="56"/>
        <v>0</v>
      </c>
      <c r="GI30" s="3482"/>
      <c r="GJ30" s="3482"/>
      <c r="GK30" s="3483">
        <f t="shared" si="57"/>
        <v>0</v>
      </c>
      <c r="GL30" s="3483">
        <f t="shared" si="57"/>
        <v>0</v>
      </c>
      <c r="GM30" s="3482"/>
      <c r="GN30" s="3482"/>
      <c r="GO30" s="3483">
        <f t="shared" si="58"/>
        <v>0</v>
      </c>
      <c r="GP30" s="3485"/>
      <c r="GQ30" s="3485"/>
      <c r="GR30" s="3483">
        <f t="shared" si="59"/>
        <v>0</v>
      </c>
      <c r="GS30" s="3483">
        <f t="shared" si="59"/>
        <v>0</v>
      </c>
      <c r="GT30" s="3485"/>
      <c r="GU30" s="3485"/>
      <c r="GV30" s="3483">
        <f t="shared" si="60"/>
        <v>0</v>
      </c>
      <c r="GW30" s="3485"/>
      <c r="GX30" s="3485"/>
      <c r="GY30" s="3483">
        <f t="shared" si="61"/>
        <v>0</v>
      </c>
      <c r="GZ30" s="3483">
        <f t="shared" si="61"/>
        <v>0</v>
      </c>
      <c r="HA30" s="3485"/>
      <c r="HB30" s="3485"/>
      <c r="HC30" s="3483">
        <f t="shared" si="62"/>
        <v>0</v>
      </c>
      <c r="HD30" s="3485"/>
      <c r="HE30" s="3485"/>
      <c r="HF30" s="3483">
        <f t="shared" si="63"/>
        <v>0</v>
      </c>
      <c r="HG30" s="3483">
        <f t="shared" si="63"/>
        <v>0</v>
      </c>
      <c r="HH30" s="3485"/>
      <c r="HI30" s="3485"/>
      <c r="HJ30" s="3483">
        <f t="shared" si="64"/>
        <v>0</v>
      </c>
      <c r="HK30" s="3485"/>
      <c r="HL30" s="3485"/>
      <c r="HM30" s="3483">
        <f t="shared" si="65"/>
        <v>0</v>
      </c>
      <c r="HN30" s="3483">
        <f t="shared" si="65"/>
        <v>0</v>
      </c>
      <c r="HO30" s="3485"/>
      <c r="HP30" s="3485"/>
      <c r="HQ30" s="3483">
        <f t="shared" si="66"/>
        <v>0</v>
      </c>
      <c r="HR30" s="3485"/>
      <c r="HS30" s="3485"/>
      <c r="HT30" s="3483">
        <f t="shared" si="67"/>
        <v>0</v>
      </c>
      <c r="HU30" s="3483">
        <f t="shared" si="67"/>
        <v>0</v>
      </c>
      <c r="HV30" s="3487">
        <f t="shared" si="68"/>
        <v>0</v>
      </c>
      <c r="HW30" s="3487">
        <f t="shared" si="68"/>
        <v>0</v>
      </c>
      <c r="HX30" s="3487">
        <f t="shared" si="69"/>
        <v>0</v>
      </c>
      <c r="HY30" s="3487">
        <f t="shared" si="68"/>
        <v>0</v>
      </c>
      <c r="HZ30" s="3487">
        <f t="shared" si="68"/>
        <v>0</v>
      </c>
      <c r="IA30" s="3487">
        <f t="shared" si="68"/>
        <v>0</v>
      </c>
      <c r="IB30" s="3487">
        <f t="shared" si="68"/>
        <v>0</v>
      </c>
      <c r="IC30" s="3488">
        <f t="shared" si="70"/>
        <v>76786.880000000005</v>
      </c>
      <c r="ID30" s="3488">
        <f t="shared" si="70"/>
        <v>6980.6</v>
      </c>
      <c r="IE30" s="3489">
        <f t="shared" si="71"/>
        <v>69806.28</v>
      </c>
      <c r="IF30" s="3488">
        <f t="shared" si="70"/>
        <v>76786.880000000005</v>
      </c>
      <c r="IG30" s="3488">
        <f t="shared" si="70"/>
        <v>6980.6</v>
      </c>
      <c r="IH30" s="3488">
        <f t="shared" si="70"/>
        <v>0</v>
      </c>
      <c r="II30" s="3488">
        <f t="shared" si="70"/>
        <v>0</v>
      </c>
    </row>
    <row r="31" spans="1:243" s="3473" customFormat="1" ht="21.95" customHeight="1">
      <c r="A31" s="3473" t="s">
        <v>3500</v>
      </c>
      <c r="B31" s="3474">
        <v>10</v>
      </c>
      <c r="C31" s="3490" t="s">
        <v>3491</v>
      </c>
      <c r="D31" s="3476" t="s">
        <v>3492</v>
      </c>
      <c r="E31" s="3477">
        <v>30.6</v>
      </c>
      <c r="F31" s="3493">
        <v>38.25</v>
      </c>
      <c r="G31" s="3474">
        <v>4.7300000000000004</v>
      </c>
      <c r="H31" s="3474" t="s">
        <v>3493</v>
      </c>
      <c r="I31" s="3491">
        <v>45047</v>
      </c>
      <c r="J31" s="3491">
        <v>47238</v>
      </c>
      <c r="K31" s="3479">
        <f t="shared" si="6"/>
        <v>6</v>
      </c>
      <c r="L31" s="3480">
        <f t="shared" ref="L31:P31" si="72">M31/11</f>
        <v>5507.0002840909092</v>
      </c>
      <c r="M31" s="3477">
        <v>60577.003125000003</v>
      </c>
      <c r="N31" s="3480">
        <f t="shared" si="72"/>
        <v>5507.0002840909092</v>
      </c>
      <c r="O31" s="3481">
        <v>60577.003125000003</v>
      </c>
      <c r="P31" s="3480">
        <f t="shared" si="72"/>
        <v>5672.2102926136367</v>
      </c>
      <c r="Q31" s="3481">
        <v>62394.313218750001</v>
      </c>
      <c r="R31" s="3480">
        <f t="shared" ref="R31:V31" si="73">S31/12</f>
        <v>5835.1099638281257</v>
      </c>
      <c r="S31" s="3480">
        <v>70021.319565937505</v>
      </c>
      <c r="T31" s="3480">
        <f t="shared" si="73"/>
        <v>6010.1632627429672</v>
      </c>
      <c r="U31" s="3480">
        <v>72121.959152915602</v>
      </c>
      <c r="V31" s="3480">
        <f t="shared" si="73"/>
        <v>6190.4681606252589</v>
      </c>
      <c r="W31" s="3481">
        <v>74285.617927503103</v>
      </c>
      <c r="X31" s="3461">
        <f t="shared" si="7"/>
        <v>399977.21611510625</v>
      </c>
      <c r="Y31" s="3461">
        <f t="shared" si="8"/>
        <v>22000.45</v>
      </c>
      <c r="Z31" s="3461">
        <f t="shared" si="9"/>
        <v>377976.76611510623</v>
      </c>
      <c r="AA31" s="3482"/>
      <c r="AB31" s="3482"/>
      <c r="AC31" s="3483">
        <f t="shared" si="10"/>
        <v>0</v>
      </c>
      <c r="AD31" s="3482"/>
      <c r="AE31" s="3482"/>
      <c r="AF31" s="3483">
        <f t="shared" si="11"/>
        <v>0</v>
      </c>
      <c r="AG31" s="3483">
        <f t="shared" si="11"/>
        <v>0</v>
      </c>
      <c r="AH31" s="3482"/>
      <c r="AI31" s="3482"/>
      <c r="AJ31" s="3483">
        <f t="shared" si="12"/>
        <v>0</v>
      </c>
      <c r="AK31" s="3482"/>
      <c r="AL31" s="3482"/>
      <c r="AM31" s="3483">
        <f t="shared" si="13"/>
        <v>0</v>
      </c>
      <c r="AN31" s="3483">
        <f t="shared" si="13"/>
        <v>0</v>
      </c>
      <c r="AO31" s="3482">
        <v>16500.45</v>
      </c>
      <c r="AP31" s="3482"/>
      <c r="AQ31" s="3483">
        <f t="shared" si="14"/>
        <v>16500.45</v>
      </c>
      <c r="AR31" s="3482"/>
      <c r="AS31" s="3482"/>
      <c r="AT31" s="3483">
        <f t="shared" si="15"/>
        <v>16500.45</v>
      </c>
      <c r="AU31" s="3483">
        <f t="shared" si="15"/>
        <v>0</v>
      </c>
      <c r="AV31" s="3484">
        <f t="shared" si="16"/>
        <v>16500.45</v>
      </c>
      <c r="AW31" s="3484">
        <f t="shared" si="16"/>
        <v>0</v>
      </c>
      <c r="AX31" s="3484">
        <f t="shared" si="17"/>
        <v>16500.45</v>
      </c>
      <c r="AY31" s="3484">
        <f t="shared" si="16"/>
        <v>0</v>
      </c>
      <c r="AZ31" s="3484">
        <f t="shared" si="16"/>
        <v>0</v>
      </c>
      <c r="BA31" s="3484">
        <f t="shared" si="16"/>
        <v>16500.45</v>
      </c>
      <c r="BB31" s="3484">
        <f t="shared" si="16"/>
        <v>0</v>
      </c>
      <c r="BC31" s="3482"/>
      <c r="BD31" s="3482"/>
      <c r="BE31" s="3483">
        <f t="shared" si="18"/>
        <v>0</v>
      </c>
      <c r="BF31" s="3482"/>
      <c r="BG31" s="3482"/>
      <c r="BH31" s="3483">
        <f t="shared" si="19"/>
        <v>0</v>
      </c>
      <c r="BI31" s="3483">
        <f t="shared" si="19"/>
        <v>0</v>
      </c>
      <c r="BJ31" s="3482"/>
      <c r="BK31" s="3482"/>
      <c r="BL31" s="3483">
        <f t="shared" si="20"/>
        <v>0</v>
      </c>
      <c r="BM31" s="3482"/>
      <c r="BN31" s="3482"/>
      <c r="BO31" s="3483">
        <f t="shared" si="21"/>
        <v>0</v>
      </c>
      <c r="BP31" s="3483">
        <f t="shared" si="21"/>
        <v>0</v>
      </c>
      <c r="BQ31" s="3482"/>
      <c r="BR31" s="3482"/>
      <c r="BS31" s="3483">
        <f t="shared" si="22"/>
        <v>0</v>
      </c>
      <c r="BT31" s="3482"/>
      <c r="BU31" s="3482"/>
      <c r="BV31" s="3483">
        <f t="shared" si="23"/>
        <v>0</v>
      </c>
      <c r="BW31" s="3483">
        <f t="shared" si="23"/>
        <v>0</v>
      </c>
      <c r="BX31" s="3482">
        <v>22000.45</v>
      </c>
      <c r="BY31" s="3482"/>
      <c r="BZ31" s="3483">
        <f t="shared" si="24"/>
        <v>22000.45</v>
      </c>
      <c r="CA31" s="3482">
        <v>22000.45</v>
      </c>
      <c r="CB31" s="3482"/>
      <c r="CC31" s="3483">
        <f t="shared" si="25"/>
        <v>0</v>
      </c>
      <c r="CD31" s="3483">
        <f t="shared" si="25"/>
        <v>0</v>
      </c>
      <c r="CE31" s="3482"/>
      <c r="CF31" s="3482"/>
      <c r="CG31" s="3483">
        <f t="shared" si="26"/>
        <v>0</v>
      </c>
      <c r="CH31" s="3482"/>
      <c r="CI31" s="3482"/>
      <c r="CJ31" s="3483">
        <f t="shared" si="27"/>
        <v>0</v>
      </c>
      <c r="CK31" s="3483">
        <f t="shared" si="27"/>
        <v>0</v>
      </c>
      <c r="CL31" s="3482"/>
      <c r="CM31" s="3482"/>
      <c r="CN31" s="3483">
        <f t="shared" si="28"/>
        <v>0</v>
      </c>
      <c r="CO31" s="3482"/>
      <c r="CP31" s="3482"/>
      <c r="CQ31" s="3483">
        <f t="shared" si="29"/>
        <v>0</v>
      </c>
      <c r="CR31" s="3483">
        <f t="shared" si="29"/>
        <v>0</v>
      </c>
      <c r="CS31" s="3482"/>
      <c r="CT31" s="3482"/>
      <c r="CU31" s="3483">
        <f t="shared" si="30"/>
        <v>0</v>
      </c>
      <c r="CV31" s="3482"/>
      <c r="CW31" s="3482"/>
      <c r="CX31" s="3483">
        <f t="shared" si="31"/>
        <v>0</v>
      </c>
      <c r="CY31" s="3483">
        <f t="shared" si="31"/>
        <v>0</v>
      </c>
      <c r="CZ31" s="3482"/>
      <c r="DA31" s="3482"/>
      <c r="DB31" s="3483">
        <f t="shared" si="32"/>
        <v>0</v>
      </c>
      <c r="DC31" s="3485"/>
      <c r="DD31" s="3485"/>
      <c r="DE31" s="3483">
        <f t="shared" si="33"/>
        <v>0</v>
      </c>
      <c r="DF31" s="3483">
        <f t="shared" si="33"/>
        <v>0</v>
      </c>
      <c r="DG31" s="3485"/>
      <c r="DH31" s="3485"/>
      <c r="DI31" s="3483">
        <f t="shared" si="34"/>
        <v>0</v>
      </c>
      <c r="DJ31" s="3485"/>
      <c r="DK31" s="3485"/>
      <c r="DL31" s="3483">
        <f t="shared" si="35"/>
        <v>0</v>
      </c>
      <c r="DM31" s="3483">
        <f t="shared" si="35"/>
        <v>0</v>
      </c>
      <c r="DN31" s="3485"/>
      <c r="DO31" s="3485"/>
      <c r="DP31" s="3483">
        <f t="shared" si="36"/>
        <v>0</v>
      </c>
      <c r="DQ31" s="3485"/>
      <c r="DR31" s="3485"/>
      <c r="DS31" s="3483">
        <f t="shared" si="37"/>
        <v>0</v>
      </c>
      <c r="DT31" s="3483">
        <f t="shared" si="37"/>
        <v>0</v>
      </c>
      <c r="DU31" s="3485"/>
      <c r="DV31" s="3485"/>
      <c r="DW31" s="3483">
        <f t="shared" si="38"/>
        <v>0</v>
      </c>
      <c r="DX31" s="3485"/>
      <c r="DY31" s="3485"/>
      <c r="DZ31" s="3483">
        <f t="shared" si="39"/>
        <v>0</v>
      </c>
      <c r="EA31" s="3483">
        <f t="shared" si="39"/>
        <v>0</v>
      </c>
      <c r="EB31" s="3485"/>
      <c r="EC31" s="3485"/>
      <c r="ED31" s="3483">
        <f t="shared" si="40"/>
        <v>0</v>
      </c>
      <c r="EE31" s="3485"/>
      <c r="EF31" s="3485"/>
      <c r="EG31" s="3483">
        <f t="shared" si="41"/>
        <v>0</v>
      </c>
      <c r="EH31" s="3483">
        <f t="shared" si="41"/>
        <v>0</v>
      </c>
      <c r="EI31" s="3486">
        <f t="shared" si="42"/>
        <v>22000.45</v>
      </c>
      <c r="EJ31" s="3486">
        <f t="shared" si="42"/>
        <v>0</v>
      </c>
      <c r="EK31" s="3463">
        <f t="shared" si="43"/>
        <v>22000.45</v>
      </c>
      <c r="EL31" s="3486">
        <f t="shared" si="42"/>
        <v>22000.45</v>
      </c>
      <c r="EM31" s="3486">
        <f t="shared" si="42"/>
        <v>0</v>
      </c>
      <c r="EN31" s="3486">
        <f t="shared" si="42"/>
        <v>0</v>
      </c>
      <c r="EO31" s="3486">
        <f t="shared" si="42"/>
        <v>0</v>
      </c>
      <c r="EP31" s="3482"/>
      <c r="EQ31" s="3482"/>
      <c r="ER31" s="3483">
        <f t="shared" si="44"/>
        <v>0</v>
      </c>
      <c r="ES31" s="3482"/>
      <c r="ET31" s="3482"/>
      <c r="EU31" s="3483">
        <f t="shared" si="45"/>
        <v>0</v>
      </c>
      <c r="EV31" s="3483">
        <f t="shared" si="45"/>
        <v>0</v>
      </c>
      <c r="EW31" s="3482"/>
      <c r="EX31" s="3482"/>
      <c r="EY31" s="3483">
        <f t="shared" si="46"/>
        <v>0</v>
      </c>
      <c r="EZ31" s="3482"/>
      <c r="FA31" s="3482"/>
      <c r="FB31" s="3483">
        <f t="shared" si="47"/>
        <v>0</v>
      </c>
      <c r="FC31" s="3483">
        <f t="shared" si="47"/>
        <v>0</v>
      </c>
      <c r="FD31" s="3482"/>
      <c r="FE31" s="3482"/>
      <c r="FF31" s="3483">
        <f t="shared" si="48"/>
        <v>0</v>
      </c>
      <c r="FG31" s="3482"/>
      <c r="FH31" s="3482"/>
      <c r="FI31" s="3483">
        <f t="shared" si="49"/>
        <v>0</v>
      </c>
      <c r="FJ31" s="3483">
        <f t="shared" si="49"/>
        <v>0</v>
      </c>
      <c r="FK31" s="3482"/>
      <c r="FL31" s="3482"/>
      <c r="FM31" s="3483">
        <f t="shared" si="50"/>
        <v>0</v>
      </c>
      <c r="FN31" s="3482"/>
      <c r="FO31" s="3482"/>
      <c r="FP31" s="3483">
        <f t="shared" si="51"/>
        <v>0</v>
      </c>
      <c r="FQ31" s="3483">
        <f t="shared" si="51"/>
        <v>0</v>
      </c>
      <c r="FR31" s="3482"/>
      <c r="FS31" s="3482"/>
      <c r="FT31" s="3483">
        <f t="shared" si="52"/>
        <v>0</v>
      </c>
      <c r="FU31" s="3482"/>
      <c r="FV31" s="3482"/>
      <c r="FW31" s="3483">
        <f t="shared" si="53"/>
        <v>0</v>
      </c>
      <c r="FX31" s="3483">
        <f t="shared" si="53"/>
        <v>0</v>
      </c>
      <c r="FY31" s="3482"/>
      <c r="FZ31" s="3482"/>
      <c r="GA31" s="3483">
        <f t="shared" si="54"/>
        <v>0</v>
      </c>
      <c r="GB31" s="3482"/>
      <c r="GC31" s="3482"/>
      <c r="GD31" s="3483">
        <f t="shared" si="55"/>
        <v>0</v>
      </c>
      <c r="GE31" s="3483">
        <f t="shared" si="55"/>
        <v>0</v>
      </c>
      <c r="GF31" s="3482"/>
      <c r="GG31" s="3482"/>
      <c r="GH31" s="3483">
        <f t="shared" si="56"/>
        <v>0</v>
      </c>
      <c r="GI31" s="3482"/>
      <c r="GJ31" s="3482"/>
      <c r="GK31" s="3483">
        <f t="shared" si="57"/>
        <v>0</v>
      </c>
      <c r="GL31" s="3483">
        <f t="shared" si="57"/>
        <v>0</v>
      </c>
      <c r="GM31" s="3482"/>
      <c r="GN31" s="3482"/>
      <c r="GO31" s="3483">
        <f t="shared" si="58"/>
        <v>0</v>
      </c>
      <c r="GP31" s="3485"/>
      <c r="GQ31" s="3485"/>
      <c r="GR31" s="3483">
        <f t="shared" si="59"/>
        <v>0</v>
      </c>
      <c r="GS31" s="3483">
        <f t="shared" si="59"/>
        <v>0</v>
      </c>
      <c r="GT31" s="3485"/>
      <c r="GU31" s="3485"/>
      <c r="GV31" s="3483">
        <f t="shared" si="60"/>
        <v>0</v>
      </c>
      <c r="GW31" s="3485"/>
      <c r="GX31" s="3485"/>
      <c r="GY31" s="3483">
        <f t="shared" si="61"/>
        <v>0</v>
      </c>
      <c r="GZ31" s="3483">
        <f t="shared" si="61"/>
        <v>0</v>
      </c>
      <c r="HA31" s="3485"/>
      <c r="HB31" s="3485"/>
      <c r="HC31" s="3483">
        <f t="shared" si="62"/>
        <v>0</v>
      </c>
      <c r="HD31" s="3485"/>
      <c r="HE31" s="3485"/>
      <c r="HF31" s="3483">
        <f t="shared" si="63"/>
        <v>0</v>
      </c>
      <c r="HG31" s="3483">
        <f t="shared" si="63"/>
        <v>0</v>
      </c>
      <c r="HH31" s="3485"/>
      <c r="HI31" s="3485"/>
      <c r="HJ31" s="3483">
        <f t="shared" si="64"/>
        <v>0</v>
      </c>
      <c r="HK31" s="3485"/>
      <c r="HL31" s="3485"/>
      <c r="HM31" s="3483">
        <f t="shared" si="65"/>
        <v>0</v>
      </c>
      <c r="HN31" s="3483">
        <f t="shared" si="65"/>
        <v>0</v>
      </c>
      <c r="HO31" s="3485"/>
      <c r="HP31" s="3485"/>
      <c r="HQ31" s="3483">
        <f t="shared" si="66"/>
        <v>0</v>
      </c>
      <c r="HR31" s="3485"/>
      <c r="HS31" s="3485"/>
      <c r="HT31" s="3483">
        <f t="shared" si="67"/>
        <v>0</v>
      </c>
      <c r="HU31" s="3483">
        <f t="shared" si="67"/>
        <v>0</v>
      </c>
      <c r="HV31" s="3487">
        <f t="shared" si="68"/>
        <v>0</v>
      </c>
      <c r="HW31" s="3487">
        <f t="shared" si="68"/>
        <v>0</v>
      </c>
      <c r="HX31" s="3487">
        <f t="shared" si="69"/>
        <v>0</v>
      </c>
      <c r="HY31" s="3487">
        <f t="shared" si="68"/>
        <v>0</v>
      </c>
      <c r="HZ31" s="3487">
        <f t="shared" si="68"/>
        <v>0</v>
      </c>
      <c r="IA31" s="3487">
        <f t="shared" si="68"/>
        <v>0</v>
      </c>
      <c r="IB31" s="3487">
        <f t="shared" si="68"/>
        <v>0</v>
      </c>
      <c r="IC31" s="3488">
        <f t="shared" si="70"/>
        <v>38500.9</v>
      </c>
      <c r="ID31" s="3488">
        <f t="shared" si="70"/>
        <v>0</v>
      </c>
      <c r="IE31" s="3489">
        <f t="shared" si="71"/>
        <v>38500.9</v>
      </c>
      <c r="IF31" s="3488">
        <f t="shared" si="70"/>
        <v>22000.45</v>
      </c>
      <c r="IG31" s="3488">
        <f t="shared" si="70"/>
        <v>0</v>
      </c>
      <c r="IH31" s="3488">
        <f t="shared" si="70"/>
        <v>16500.45</v>
      </c>
      <c r="II31" s="3488">
        <f t="shared" si="70"/>
        <v>0</v>
      </c>
    </row>
    <row r="32" spans="1:243" s="3473" customFormat="1" ht="21.95" customHeight="1">
      <c r="A32" s="3473" t="s">
        <v>3500</v>
      </c>
      <c r="B32" s="3474">
        <v>11</v>
      </c>
      <c r="C32" s="3475" t="s">
        <v>3494</v>
      </c>
      <c r="D32" s="3476" t="s">
        <v>3495</v>
      </c>
      <c r="E32" s="3477">
        <v>38.799999999999997</v>
      </c>
      <c r="F32" s="3478">
        <v>48.5</v>
      </c>
      <c r="G32" s="3474"/>
      <c r="H32" s="3495"/>
      <c r="I32" s="3474"/>
      <c r="J32" s="3474"/>
      <c r="K32" s="3479">
        <f t="shared" si="6"/>
        <v>0</v>
      </c>
      <c r="L32" s="3480"/>
      <c r="M32" s="3477"/>
      <c r="N32" s="3480"/>
      <c r="O32" s="3480"/>
      <c r="P32" s="3480"/>
      <c r="Q32" s="3481"/>
      <c r="R32" s="3480"/>
      <c r="S32" s="3480"/>
      <c r="T32" s="3480"/>
      <c r="U32" s="3480"/>
      <c r="V32" s="3480"/>
      <c r="W32" s="3481"/>
      <c r="X32" s="3461">
        <f t="shared" si="7"/>
        <v>0</v>
      </c>
      <c r="Y32" s="3461">
        <f t="shared" si="8"/>
        <v>0</v>
      </c>
      <c r="Z32" s="3461">
        <f t="shared" si="9"/>
        <v>0</v>
      </c>
      <c r="AA32" s="3482"/>
      <c r="AB32" s="3482"/>
      <c r="AC32" s="3483">
        <f t="shared" si="10"/>
        <v>0</v>
      </c>
      <c r="AD32" s="3482"/>
      <c r="AE32" s="3482"/>
      <c r="AF32" s="3483">
        <f t="shared" si="11"/>
        <v>0</v>
      </c>
      <c r="AG32" s="3483">
        <f t="shared" si="11"/>
        <v>0</v>
      </c>
      <c r="AH32" s="3482"/>
      <c r="AI32" s="3482"/>
      <c r="AJ32" s="3483">
        <f t="shared" si="12"/>
        <v>0</v>
      </c>
      <c r="AK32" s="3482"/>
      <c r="AL32" s="3482"/>
      <c r="AM32" s="3483">
        <f t="shared" si="13"/>
        <v>0</v>
      </c>
      <c r="AN32" s="3483">
        <f t="shared" si="13"/>
        <v>0</v>
      </c>
      <c r="AO32" s="3482"/>
      <c r="AP32" s="3482"/>
      <c r="AQ32" s="3483">
        <f t="shared" si="14"/>
        <v>0</v>
      </c>
      <c r="AR32" s="3482"/>
      <c r="AS32" s="3482"/>
      <c r="AT32" s="3483">
        <f t="shared" si="15"/>
        <v>0</v>
      </c>
      <c r="AU32" s="3483">
        <f t="shared" si="15"/>
        <v>0</v>
      </c>
      <c r="AV32" s="3484">
        <f t="shared" si="16"/>
        <v>0</v>
      </c>
      <c r="AW32" s="3484">
        <f t="shared" si="16"/>
        <v>0</v>
      </c>
      <c r="AX32" s="3484">
        <f t="shared" si="17"/>
        <v>0</v>
      </c>
      <c r="AY32" s="3484">
        <f t="shared" si="16"/>
        <v>0</v>
      </c>
      <c r="AZ32" s="3484">
        <f t="shared" si="16"/>
        <v>0</v>
      </c>
      <c r="BA32" s="3484">
        <f t="shared" si="16"/>
        <v>0</v>
      </c>
      <c r="BB32" s="3484">
        <f t="shared" si="16"/>
        <v>0</v>
      </c>
      <c r="BC32" s="3482"/>
      <c r="BD32" s="3482"/>
      <c r="BE32" s="3483">
        <f t="shared" si="18"/>
        <v>0</v>
      </c>
      <c r="BF32" s="3482"/>
      <c r="BG32" s="3482"/>
      <c r="BH32" s="3483">
        <f t="shared" si="19"/>
        <v>0</v>
      </c>
      <c r="BI32" s="3483">
        <f t="shared" si="19"/>
        <v>0</v>
      </c>
      <c r="BJ32" s="3482"/>
      <c r="BK32" s="3482"/>
      <c r="BL32" s="3483">
        <f t="shared" si="20"/>
        <v>0</v>
      </c>
      <c r="BM32" s="3482"/>
      <c r="BN32" s="3482"/>
      <c r="BO32" s="3483">
        <f t="shared" si="21"/>
        <v>0</v>
      </c>
      <c r="BP32" s="3483">
        <f t="shared" si="21"/>
        <v>0</v>
      </c>
      <c r="BQ32" s="3482"/>
      <c r="BR32" s="3482"/>
      <c r="BS32" s="3483">
        <f t="shared" si="22"/>
        <v>0</v>
      </c>
      <c r="BT32" s="3482"/>
      <c r="BU32" s="3482"/>
      <c r="BV32" s="3483">
        <f t="shared" si="23"/>
        <v>0</v>
      </c>
      <c r="BW32" s="3483">
        <f t="shared" si="23"/>
        <v>0</v>
      </c>
      <c r="BX32" s="3482"/>
      <c r="BY32" s="3482"/>
      <c r="BZ32" s="3483">
        <f t="shared" si="24"/>
        <v>0</v>
      </c>
      <c r="CA32" s="3482"/>
      <c r="CB32" s="3482"/>
      <c r="CC32" s="3483">
        <f t="shared" si="25"/>
        <v>0</v>
      </c>
      <c r="CD32" s="3483">
        <f t="shared" si="25"/>
        <v>0</v>
      </c>
      <c r="CE32" s="3482"/>
      <c r="CF32" s="3482"/>
      <c r="CG32" s="3483">
        <f t="shared" si="26"/>
        <v>0</v>
      </c>
      <c r="CH32" s="3482"/>
      <c r="CI32" s="3482"/>
      <c r="CJ32" s="3483">
        <f t="shared" si="27"/>
        <v>0</v>
      </c>
      <c r="CK32" s="3483">
        <f t="shared" si="27"/>
        <v>0</v>
      </c>
      <c r="CL32" s="3482"/>
      <c r="CM32" s="3482"/>
      <c r="CN32" s="3483">
        <f t="shared" si="28"/>
        <v>0</v>
      </c>
      <c r="CO32" s="3482"/>
      <c r="CP32" s="3482"/>
      <c r="CQ32" s="3483">
        <f t="shared" si="29"/>
        <v>0</v>
      </c>
      <c r="CR32" s="3483">
        <f t="shared" si="29"/>
        <v>0</v>
      </c>
      <c r="CS32" s="3482"/>
      <c r="CT32" s="3482"/>
      <c r="CU32" s="3483">
        <f t="shared" si="30"/>
        <v>0</v>
      </c>
      <c r="CV32" s="3482"/>
      <c r="CW32" s="3482"/>
      <c r="CX32" s="3483">
        <f t="shared" si="31"/>
        <v>0</v>
      </c>
      <c r="CY32" s="3483">
        <f t="shared" si="31"/>
        <v>0</v>
      </c>
      <c r="CZ32" s="3482"/>
      <c r="DA32" s="3482"/>
      <c r="DB32" s="3483">
        <f t="shared" si="32"/>
        <v>0</v>
      </c>
      <c r="DC32" s="3485"/>
      <c r="DD32" s="3485"/>
      <c r="DE32" s="3483">
        <f t="shared" si="33"/>
        <v>0</v>
      </c>
      <c r="DF32" s="3483">
        <f t="shared" si="33"/>
        <v>0</v>
      </c>
      <c r="DG32" s="3485"/>
      <c r="DH32" s="3485"/>
      <c r="DI32" s="3483">
        <f t="shared" si="34"/>
        <v>0</v>
      </c>
      <c r="DJ32" s="3485"/>
      <c r="DK32" s="3485"/>
      <c r="DL32" s="3483">
        <f t="shared" si="35"/>
        <v>0</v>
      </c>
      <c r="DM32" s="3483">
        <f t="shared" si="35"/>
        <v>0</v>
      </c>
      <c r="DN32" s="3485"/>
      <c r="DO32" s="3485"/>
      <c r="DP32" s="3483">
        <f t="shared" si="36"/>
        <v>0</v>
      </c>
      <c r="DQ32" s="3485"/>
      <c r="DR32" s="3485"/>
      <c r="DS32" s="3483">
        <f t="shared" si="37"/>
        <v>0</v>
      </c>
      <c r="DT32" s="3483">
        <f t="shared" si="37"/>
        <v>0</v>
      </c>
      <c r="DU32" s="3485"/>
      <c r="DV32" s="3485"/>
      <c r="DW32" s="3483">
        <f t="shared" si="38"/>
        <v>0</v>
      </c>
      <c r="DX32" s="3485"/>
      <c r="DY32" s="3485"/>
      <c r="DZ32" s="3483">
        <f t="shared" si="39"/>
        <v>0</v>
      </c>
      <c r="EA32" s="3483">
        <f t="shared" si="39"/>
        <v>0</v>
      </c>
      <c r="EB32" s="3485"/>
      <c r="EC32" s="3485"/>
      <c r="ED32" s="3483">
        <f t="shared" si="40"/>
        <v>0</v>
      </c>
      <c r="EE32" s="3485"/>
      <c r="EF32" s="3485"/>
      <c r="EG32" s="3483">
        <f t="shared" si="41"/>
        <v>0</v>
      </c>
      <c r="EH32" s="3483">
        <f t="shared" si="41"/>
        <v>0</v>
      </c>
      <c r="EI32" s="3486">
        <f t="shared" si="42"/>
        <v>0</v>
      </c>
      <c r="EJ32" s="3486">
        <f t="shared" si="42"/>
        <v>0</v>
      </c>
      <c r="EK32" s="3463">
        <f t="shared" si="43"/>
        <v>0</v>
      </c>
      <c r="EL32" s="3486">
        <f t="shared" si="42"/>
        <v>0</v>
      </c>
      <c r="EM32" s="3486">
        <f t="shared" si="42"/>
        <v>0</v>
      </c>
      <c r="EN32" s="3486">
        <f t="shared" si="42"/>
        <v>0</v>
      </c>
      <c r="EO32" s="3486">
        <f t="shared" si="42"/>
        <v>0</v>
      </c>
      <c r="EP32" s="3482"/>
      <c r="EQ32" s="3482"/>
      <c r="ER32" s="3483">
        <f t="shared" si="44"/>
        <v>0</v>
      </c>
      <c r="ES32" s="3482"/>
      <c r="ET32" s="3482"/>
      <c r="EU32" s="3483">
        <f t="shared" si="45"/>
        <v>0</v>
      </c>
      <c r="EV32" s="3483">
        <f t="shared" si="45"/>
        <v>0</v>
      </c>
      <c r="EW32" s="3482"/>
      <c r="EX32" s="3482"/>
      <c r="EY32" s="3483">
        <f t="shared" si="46"/>
        <v>0</v>
      </c>
      <c r="EZ32" s="3482"/>
      <c r="FA32" s="3482"/>
      <c r="FB32" s="3483">
        <f t="shared" si="47"/>
        <v>0</v>
      </c>
      <c r="FC32" s="3483">
        <f t="shared" si="47"/>
        <v>0</v>
      </c>
      <c r="FD32" s="3482"/>
      <c r="FE32" s="3482"/>
      <c r="FF32" s="3483">
        <f t="shared" si="48"/>
        <v>0</v>
      </c>
      <c r="FG32" s="3482"/>
      <c r="FH32" s="3482"/>
      <c r="FI32" s="3483">
        <f t="shared" si="49"/>
        <v>0</v>
      </c>
      <c r="FJ32" s="3483">
        <f t="shared" si="49"/>
        <v>0</v>
      </c>
      <c r="FK32" s="3482"/>
      <c r="FL32" s="3482"/>
      <c r="FM32" s="3483">
        <f t="shared" si="50"/>
        <v>0</v>
      </c>
      <c r="FN32" s="3482"/>
      <c r="FO32" s="3482"/>
      <c r="FP32" s="3483">
        <f t="shared" si="51"/>
        <v>0</v>
      </c>
      <c r="FQ32" s="3483">
        <f t="shared" si="51"/>
        <v>0</v>
      </c>
      <c r="FR32" s="3482"/>
      <c r="FS32" s="3482"/>
      <c r="FT32" s="3483">
        <f t="shared" si="52"/>
        <v>0</v>
      </c>
      <c r="FU32" s="3482"/>
      <c r="FV32" s="3482"/>
      <c r="FW32" s="3483">
        <f t="shared" si="53"/>
        <v>0</v>
      </c>
      <c r="FX32" s="3483">
        <f t="shared" si="53"/>
        <v>0</v>
      </c>
      <c r="FY32" s="3482"/>
      <c r="FZ32" s="3482"/>
      <c r="GA32" s="3483">
        <f t="shared" si="54"/>
        <v>0</v>
      </c>
      <c r="GB32" s="3482"/>
      <c r="GC32" s="3482"/>
      <c r="GD32" s="3483">
        <f t="shared" si="55"/>
        <v>0</v>
      </c>
      <c r="GE32" s="3483">
        <f t="shared" si="55"/>
        <v>0</v>
      </c>
      <c r="GF32" s="3482"/>
      <c r="GG32" s="3482"/>
      <c r="GH32" s="3483">
        <f t="shared" si="56"/>
        <v>0</v>
      </c>
      <c r="GI32" s="3482"/>
      <c r="GJ32" s="3482"/>
      <c r="GK32" s="3483">
        <f t="shared" si="57"/>
        <v>0</v>
      </c>
      <c r="GL32" s="3483">
        <f t="shared" si="57"/>
        <v>0</v>
      </c>
      <c r="GM32" s="3482"/>
      <c r="GN32" s="3482"/>
      <c r="GO32" s="3483">
        <f t="shared" si="58"/>
        <v>0</v>
      </c>
      <c r="GP32" s="3485"/>
      <c r="GQ32" s="3485"/>
      <c r="GR32" s="3483">
        <f t="shared" si="59"/>
        <v>0</v>
      </c>
      <c r="GS32" s="3483">
        <f t="shared" si="59"/>
        <v>0</v>
      </c>
      <c r="GT32" s="3485"/>
      <c r="GU32" s="3485"/>
      <c r="GV32" s="3483">
        <f t="shared" si="60"/>
        <v>0</v>
      </c>
      <c r="GW32" s="3485"/>
      <c r="GX32" s="3485"/>
      <c r="GY32" s="3483">
        <f t="shared" si="61"/>
        <v>0</v>
      </c>
      <c r="GZ32" s="3483">
        <f t="shared" si="61"/>
        <v>0</v>
      </c>
      <c r="HA32" s="3485"/>
      <c r="HB32" s="3485"/>
      <c r="HC32" s="3483">
        <f t="shared" si="62"/>
        <v>0</v>
      </c>
      <c r="HD32" s="3485"/>
      <c r="HE32" s="3485"/>
      <c r="HF32" s="3483">
        <f t="shared" si="63"/>
        <v>0</v>
      </c>
      <c r="HG32" s="3483">
        <f t="shared" si="63"/>
        <v>0</v>
      </c>
      <c r="HH32" s="3485"/>
      <c r="HI32" s="3485"/>
      <c r="HJ32" s="3483">
        <f t="shared" si="64"/>
        <v>0</v>
      </c>
      <c r="HK32" s="3485"/>
      <c r="HL32" s="3485"/>
      <c r="HM32" s="3483">
        <f t="shared" si="65"/>
        <v>0</v>
      </c>
      <c r="HN32" s="3483">
        <f t="shared" si="65"/>
        <v>0</v>
      </c>
      <c r="HO32" s="3485"/>
      <c r="HP32" s="3485"/>
      <c r="HQ32" s="3483">
        <f t="shared" si="66"/>
        <v>0</v>
      </c>
      <c r="HR32" s="3485"/>
      <c r="HS32" s="3485"/>
      <c r="HT32" s="3483">
        <f t="shared" si="67"/>
        <v>0</v>
      </c>
      <c r="HU32" s="3483">
        <f t="shared" si="67"/>
        <v>0</v>
      </c>
      <c r="HV32" s="3487">
        <f t="shared" si="68"/>
        <v>0</v>
      </c>
      <c r="HW32" s="3487">
        <f t="shared" si="68"/>
        <v>0</v>
      </c>
      <c r="HX32" s="3487">
        <f t="shared" si="69"/>
        <v>0</v>
      </c>
      <c r="HY32" s="3487">
        <f t="shared" si="68"/>
        <v>0</v>
      </c>
      <c r="HZ32" s="3487">
        <f t="shared" si="68"/>
        <v>0</v>
      </c>
      <c r="IA32" s="3487">
        <f t="shared" si="68"/>
        <v>0</v>
      </c>
      <c r="IB32" s="3487">
        <f t="shared" si="68"/>
        <v>0</v>
      </c>
      <c r="IC32" s="3488">
        <f t="shared" si="70"/>
        <v>0</v>
      </c>
      <c r="ID32" s="3488">
        <f t="shared" si="70"/>
        <v>0</v>
      </c>
      <c r="IE32" s="3489">
        <f t="shared" si="71"/>
        <v>0</v>
      </c>
      <c r="IF32" s="3488">
        <f t="shared" si="70"/>
        <v>0</v>
      </c>
      <c r="IG32" s="3488">
        <f t="shared" si="70"/>
        <v>0</v>
      </c>
      <c r="IH32" s="3488">
        <f t="shared" si="70"/>
        <v>0</v>
      </c>
      <c r="II32" s="3488">
        <f t="shared" si="70"/>
        <v>0</v>
      </c>
    </row>
    <row r="33" spans="1:243" s="3473" customFormat="1" ht="21.95" customHeight="1">
      <c r="A33" s="3473" t="s">
        <v>3500</v>
      </c>
      <c r="B33" s="3474">
        <v>12</v>
      </c>
      <c r="C33" s="3490" t="s">
        <v>3496</v>
      </c>
      <c r="D33" s="3476" t="s">
        <v>3497</v>
      </c>
      <c r="E33" s="3477">
        <v>37</v>
      </c>
      <c r="F33" s="3478">
        <v>46.25</v>
      </c>
      <c r="G33" s="3474">
        <v>4.46</v>
      </c>
      <c r="H33" s="3474" t="s">
        <v>3498</v>
      </c>
      <c r="I33" s="3491">
        <v>44983</v>
      </c>
      <c r="J33" s="3491">
        <v>47174</v>
      </c>
      <c r="K33" s="3479">
        <f t="shared" si="6"/>
        <v>6</v>
      </c>
      <c r="L33" s="3481">
        <f t="shared" ref="L33:P33" si="74">M33/11</f>
        <v>6282.0118181818189</v>
      </c>
      <c r="M33" s="3477">
        <v>69102.13</v>
      </c>
      <c r="N33" s="3481">
        <f t="shared" si="74"/>
        <v>6282.0118181818189</v>
      </c>
      <c r="O33" s="3481">
        <v>69102.13</v>
      </c>
      <c r="P33" s="3481">
        <f t="shared" si="74"/>
        <v>6470.471818181818</v>
      </c>
      <c r="Q33" s="3481">
        <v>71175.19</v>
      </c>
      <c r="R33" s="3481">
        <f t="shared" ref="R33:V33" si="75">S33/12</f>
        <v>6656.2966666666662</v>
      </c>
      <c r="S33" s="3481">
        <v>79875.56</v>
      </c>
      <c r="T33" s="3481">
        <f t="shared" si="75"/>
        <v>6855.9858333333332</v>
      </c>
      <c r="U33" s="3481">
        <v>82271.83</v>
      </c>
      <c r="V33" s="3481">
        <f t="shared" si="75"/>
        <v>7061.665</v>
      </c>
      <c r="W33" s="3481">
        <v>84739.98</v>
      </c>
      <c r="X33" s="3461">
        <f t="shared" si="7"/>
        <v>456266.82</v>
      </c>
      <c r="Y33" s="3461">
        <f t="shared" si="8"/>
        <v>31370.99</v>
      </c>
      <c r="Z33" s="3461">
        <f t="shared" si="9"/>
        <v>424895.83</v>
      </c>
      <c r="AA33" s="3482"/>
      <c r="AB33" s="3482"/>
      <c r="AC33" s="3483">
        <f t="shared" si="10"/>
        <v>0</v>
      </c>
      <c r="AD33" s="3482"/>
      <c r="AE33" s="3482"/>
      <c r="AF33" s="3483">
        <f t="shared" si="11"/>
        <v>0</v>
      </c>
      <c r="AG33" s="3483">
        <f t="shared" si="11"/>
        <v>0</v>
      </c>
      <c r="AH33" s="3482"/>
      <c r="AI33" s="3482"/>
      <c r="AJ33" s="3483">
        <f t="shared" si="12"/>
        <v>0</v>
      </c>
      <c r="AK33" s="3482"/>
      <c r="AL33" s="3482"/>
      <c r="AM33" s="3483">
        <f t="shared" si="13"/>
        <v>0</v>
      </c>
      <c r="AN33" s="3483">
        <f t="shared" si="13"/>
        <v>0</v>
      </c>
      <c r="AO33" s="3482"/>
      <c r="AP33" s="3482"/>
      <c r="AQ33" s="3483">
        <f t="shared" si="14"/>
        <v>0</v>
      </c>
      <c r="AR33" s="3482"/>
      <c r="AS33" s="3482"/>
      <c r="AT33" s="3483">
        <f t="shared" si="15"/>
        <v>0</v>
      </c>
      <c r="AU33" s="3483">
        <f t="shared" si="15"/>
        <v>0</v>
      </c>
      <c r="AV33" s="3484">
        <f t="shared" si="16"/>
        <v>0</v>
      </c>
      <c r="AW33" s="3484">
        <f t="shared" si="16"/>
        <v>0</v>
      </c>
      <c r="AX33" s="3484">
        <f t="shared" si="17"/>
        <v>0</v>
      </c>
      <c r="AY33" s="3484">
        <f t="shared" si="16"/>
        <v>0</v>
      </c>
      <c r="AZ33" s="3484">
        <f t="shared" si="16"/>
        <v>0</v>
      </c>
      <c r="BA33" s="3484">
        <f t="shared" si="16"/>
        <v>0</v>
      </c>
      <c r="BB33" s="3484">
        <f t="shared" si="16"/>
        <v>0</v>
      </c>
      <c r="BC33" s="3482">
        <v>31370.99</v>
      </c>
      <c r="BD33" s="3482">
        <f>ROUND(L33/2,0)</f>
        <v>3141</v>
      </c>
      <c r="BE33" s="3483">
        <f t="shared" si="18"/>
        <v>28229.99</v>
      </c>
      <c r="BF33" s="3482">
        <v>31370.99</v>
      </c>
      <c r="BG33" s="3482">
        <v>3141</v>
      </c>
      <c r="BH33" s="3483">
        <f t="shared" si="19"/>
        <v>0</v>
      </c>
      <c r="BI33" s="3483">
        <f t="shared" si="19"/>
        <v>0</v>
      </c>
      <c r="BJ33" s="3482"/>
      <c r="BK33" s="3482"/>
      <c r="BL33" s="3483">
        <f t="shared" si="20"/>
        <v>0</v>
      </c>
      <c r="BM33" s="3482"/>
      <c r="BN33" s="3482"/>
      <c r="BO33" s="3483">
        <f t="shared" si="21"/>
        <v>0</v>
      </c>
      <c r="BP33" s="3483">
        <f t="shared" si="21"/>
        <v>0</v>
      </c>
      <c r="BQ33" s="3482"/>
      <c r="BR33" s="3482"/>
      <c r="BS33" s="3483">
        <f t="shared" si="22"/>
        <v>0</v>
      </c>
      <c r="BT33" s="3482"/>
      <c r="BU33" s="3482"/>
      <c r="BV33" s="3483">
        <f t="shared" si="23"/>
        <v>0</v>
      </c>
      <c r="BW33" s="3483">
        <f t="shared" si="23"/>
        <v>0</v>
      </c>
      <c r="BX33" s="3482"/>
      <c r="BY33" s="3482"/>
      <c r="BZ33" s="3483">
        <f t="shared" si="24"/>
        <v>0</v>
      </c>
      <c r="CA33" s="3482"/>
      <c r="CB33" s="3482"/>
      <c r="CC33" s="3483">
        <f t="shared" si="25"/>
        <v>0</v>
      </c>
      <c r="CD33" s="3483">
        <f t="shared" si="25"/>
        <v>0</v>
      </c>
      <c r="CE33" s="3482"/>
      <c r="CF33" s="3482"/>
      <c r="CG33" s="3483">
        <f t="shared" si="26"/>
        <v>0</v>
      </c>
      <c r="CH33" s="3482"/>
      <c r="CI33" s="3482"/>
      <c r="CJ33" s="3483">
        <f t="shared" si="27"/>
        <v>0</v>
      </c>
      <c r="CK33" s="3483">
        <f t="shared" si="27"/>
        <v>0</v>
      </c>
      <c r="CL33" s="3482"/>
      <c r="CM33" s="3482"/>
      <c r="CN33" s="3483">
        <f t="shared" si="28"/>
        <v>0</v>
      </c>
      <c r="CO33" s="3482"/>
      <c r="CP33" s="3482"/>
      <c r="CQ33" s="3483">
        <f t="shared" si="29"/>
        <v>0</v>
      </c>
      <c r="CR33" s="3483">
        <f t="shared" si="29"/>
        <v>0</v>
      </c>
      <c r="CS33" s="3482"/>
      <c r="CT33" s="3482"/>
      <c r="CU33" s="3483">
        <f t="shared" si="30"/>
        <v>0</v>
      </c>
      <c r="CV33" s="3482"/>
      <c r="CW33" s="3482"/>
      <c r="CX33" s="3483">
        <f t="shared" si="31"/>
        <v>0</v>
      </c>
      <c r="CY33" s="3483">
        <f t="shared" si="31"/>
        <v>0</v>
      </c>
      <c r="CZ33" s="3482"/>
      <c r="DA33" s="3482"/>
      <c r="DB33" s="3483">
        <f t="shared" si="32"/>
        <v>0</v>
      </c>
      <c r="DC33" s="3485"/>
      <c r="DD33" s="3485"/>
      <c r="DE33" s="3483">
        <f t="shared" si="33"/>
        <v>0</v>
      </c>
      <c r="DF33" s="3483">
        <f t="shared" si="33"/>
        <v>0</v>
      </c>
      <c r="DG33" s="3485"/>
      <c r="DH33" s="3485"/>
      <c r="DI33" s="3483">
        <f t="shared" si="34"/>
        <v>0</v>
      </c>
      <c r="DJ33" s="3485"/>
      <c r="DK33" s="3485"/>
      <c r="DL33" s="3483">
        <f t="shared" si="35"/>
        <v>0</v>
      </c>
      <c r="DM33" s="3483">
        <f t="shared" si="35"/>
        <v>0</v>
      </c>
      <c r="DN33" s="3485"/>
      <c r="DO33" s="3485"/>
      <c r="DP33" s="3483">
        <f t="shared" si="36"/>
        <v>0</v>
      </c>
      <c r="DQ33" s="3485"/>
      <c r="DR33" s="3485"/>
      <c r="DS33" s="3483">
        <f t="shared" si="37"/>
        <v>0</v>
      </c>
      <c r="DT33" s="3483">
        <f t="shared" si="37"/>
        <v>0</v>
      </c>
      <c r="DU33" s="3485"/>
      <c r="DV33" s="3485"/>
      <c r="DW33" s="3483">
        <f t="shared" si="38"/>
        <v>0</v>
      </c>
      <c r="DX33" s="3485"/>
      <c r="DY33" s="3485"/>
      <c r="DZ33" s="3483">
        <f t="shared" si="39"/>
        <v>0</v>
      </c>
      <c r="EA33" s="3483">
        <f t="shared" si="39"/>
        <v>0</v>
      </c>
      <c r="EB33" s="3485"/>
      <c r="EC33" s="3485"/>
      <c r="ED33" s="3483">
        <f t="shared" si="40"/>
        <v>0</v>
      </c>
      <c r="EE33" s="3485"/>
      <c r="EF33" s="3485"/>
      <c r="EG33" s="3483">
        <f t="shared" si="41"/>
        <v>0</v>
      </c>
      <c r="EH33" s="3483">
        <f t="shared" si="41"/>
        <v>0</v>
      </c>
      <c r="EI33" s="3486">
        <f t="shared" si="42"/>
        <v>31370.99</v>
      </c>
      <c r="EJ33" s="3486">
        <f t="shared" si="42"/>
        <v>3141</v>
      </c>
      <c r="EK33" s="3463">
        <f t="shared" si="43"/>
        <v>28229.99</v>
      </c>
      <c r="EL33" s="3486">
        <f t="shared" si="42"/>
        <v>31370.99</v>
      </c>
      <c r="EM33" s="3486">
        <f t="shared" si="42"/>
        <v>3141</v>
      </c>
      <c r="EN33" s="3486">
        <f t="shared" si="42"/>
        <v>0</v>
      </c>
      <c r="EO33" s="3486">
        <f t="shared" si="42"/>
        <v>0</v>
      </c>
      <c r="EP33" s="3482"/>
      <c r="EQ33" s="3482"/>
      <c r="ER33" s="3483">
        <f t="shared" si="44"/>
        <v>0</v>
      </c>
      <c r="ES33" s="3482"/>
      <c r="ET33" s="3482"/>
      <c r="EU33" s="3483">
        <f t="shared" si="45"/>
        <v>0</v>
      </c>
      <c r="EV33" s="3483">
        <f t="shared" si="45"/>
        <v>0</v>
      </c>
      <c r="EW33" s="3482"/>
      <c r="EX33" s="3482"/>
      <c r="EY33" s="3483">
        <f t="shared" si="46"/>
        <v>0</v>
      </c>
      <c r="EZ33" s="3482"/>
      <c r="FA33" s="3482"/>
      <c r="FB33" s="3483">
        <f t="shared" si="47"/>
        <v>0</v>
      </c>
      <c r="FC33" s="3483">
        <f t="shared" si="47"/>
        <v>0</v>
      </c>
      <c r="FD33" s="3482"/>
      <c r="FE33" s="3482"/>
      <c r="FF33" s="3483">
        <f t="shared" si="48"/>
        <v>0</v>
      </c>
      <c r="FG33" s="3482"/>
      <c r="FH33" s="3482"/>
      <c r="FI33" s="3483">
        <f t="shared" si="49"/>
        <v>0</v>
      </c>
      <c r="FJ33" s="3483">
        <f t="shared" si="49"/>
        <v>0</v>
      </c>
      <c r="FK33" s="3482"/>
      <c r="FL33" s="3482"/>
      <c r="FM33" s="3483">
        <f t="shared" si="50"/>
        <v>0</v>
      </c>
      <c r="FN33" s="3482"/>
      <c r="FO33" s="3482"/>
      <c r="FP33" s="3483">
        <f t="shared" si="51"/>
        <v>0</v>
      </c>
      <c r="FQ33" s="3483">
        <f t="shared" si="51"/>
        <v>0</v>
      </c>
      <c r="FR33" s="3482"/>
      <c r="FS33" s="3482"/>
      <c r="FT33" s="3483">
        <f t="shared" si="52"/>
        <v>0</v>
      </c>
      <c r="FU33" s="3482"/>
      <c r="FV33" s="3482"/>
      <c r="FW33" s="3483">
        <f t="shared" si="53"/>
        <v>0</v>
      </c>
      <c r="FX33" s="3483">
        <f t="shared" si="53"/>
        <v>0</v>
      </c>
      <c r="FY33" s="3482"/>
      <c r="FZ33" s="3482"/>
      <c r="GA33" s="3483">
        <f t="shared" si="54"/>
        <v>0</v>
      </c>
      <c r="GB33" s="3482"/>
      <c r="GC33" s="3482"/>
      <c r="GD33" s="3483">
        <f t="shared" si="55"/>
        <v>0</v>
      </c>
      <c r="GE33" s="3483">
        <f t="shared" si="55"/>
        <v>0</v>
      </c>
      <c r="GF33" s="3482"/>
      <c r="GG33" s="3482"/>
      <c r="GH33" s="3483">
        <f t="shared" si="56"/>
        <v>0</v>
      </c>
      <c r="GI33" s="3482"/>
      <c r="GJ33" s="3482"/>
      <c r="GK33" s="3483">
        <f t="shared" si="57"/>
        <v>0</v>
      </c>
      <c r="GL33" s="3483">
        <f t="shared" si="57"/>
        <v>0</v>
      </c>
      <c r="GM33" s="3482"/>
      <c r="GN33" s="3482"/>
      <c r="GO33" s="3483">
        <f t="shared" si="58"/>
        <v>0</v>
      </c>
      <c r="GP33" s="3485"/>
      <c r="GQ33" s="3485"/>
      <c r="GR33" s="3483">
        <f t="shared" si="59"/>
        <v>0</v>
      </c>
      <c r="GS33" s="3483">
        <f t="shared" si="59"/>
        <v>0</v>
      </c>
      <c r="GT33" s="3485"/>
      <c r="GU33" s="3485"/>
      <c r="GV33" s="3483">
        <f t="shared" si="60"/>
        <v>0</v>
      </c>
      <c r="GW33" s="3485"/>
      <c r="GX33" s="3485"/>
      <c r="GY33" s="3483">
        <f t="shared" si="61"/>
        <v>0</v>
      </c>
      <c r="GZ33" s="3483">
        <f t="shared" si="61"/>
        <v>0</v>
      </c>
      <c r="HA33" s="3485"/>
      <c r="HB33" s="3485"/>
      <c r="HC33" s="3483">
        <f t="shared" si="62"/>
        <v>0</v>
      </c>
      <c r="HD33" s="3485"/>
      <c r="HE33" s="3485"/>
      <c r="HF33" s="3483">
        <f t="shared" si="63"/>
        <v>0</v>
      </c>
      <c r="HG33" s="3483">
        <f t="shared" si="63"/>
        <v>0</v>
      </c>
      <c r="HH33" s="3485"/>
      <c r="HI33" s="3485"/>
      <c r="HJ33" s="3483">
        <f t="shared" si="64"/>
        <v>0</v>
      </c>
      <c r="HK33" s="3485"/>
      <c r="HL33" s="3485"/>
      <c r="HM33" s="3483">
        <f t="shared" si="65"/>
        <v>0</v>
      </c>
      <c r="HN33" s="3483">
        <f t="shared" si="65"/>
        <v>0</v>
      </c>
      <c r="HO33" s="3485"/>
      <c r="HP33" s="3485"/>
      <c r="HQ33" s="3483">
        <f t="shared" si="66"/>
        <v>0</v>
      </c>
      <c r="HR33" s="3485"/>
      <c r="HS33" s="3485"/>
      <c r="HT33" s="3483">
        <f t="shared" si="67"/>
        <v>0</v>
      </c>
      <c r="HU33" s="3483">
        <f t="shared" si="67"/>
        <v>0</v>
      </c>
      <c r="HV33" s="3487">
        <f t="shared" si="68"/>
        <v>0</v>
      </c>
      <c r="HW33" s="3487">
        <f t="shared" si="68"/>
        <v>0</v>
      </c>
      <c r="HX33" s="3487">
        <f t="shared" si="69"/>
        <v>0</v>
      </c>
      <c r="HY33" s="3487">
        <f t="shared" si="68"/>
        <v>0</v>
      </c>
      <c r="HZ33" s="3487">
        <f t="shared" si="68"/>
        <v>0</v>
      </c>
      <c r="IA33" s="3487">
        <f t="shared" si="68"/>
        <v>0</v>
      </c>
      <c r="IB33" s="3487">
        <f t="shared" si="68"/>
        <v>0</v>
      </c>
      <c r="IC33" s="3488">
        <f t="shared" si="70"/>
        <v>31370.99</v>
      </c>
      <c r="ID33" s="3488">
        <f t="shared" si="70"/>
        <v>3141</v>
      </c>
      <c r="IE33" s="3489">
        <f t="shared" si="71"/>
        <v>28229.99</v>
      </c>
      <c r="IF33" s="3488">
        <f t="shared" si="70"/>
        <v>31370.99</v>
      </c>
      <c r="IG33" s="3488">
        <f t="shared" si="70"/>
        <v>3141</v>
      </c>
      <c r="IH33" s="3488">
        <f t="shared" si="70"/>
        <v>0</v>
      </c>
      <c r="II33" s="3488">
        <f t="shared" si="70"/>
        <v>0</v>
      </c>
    </row>
  </sheetData>
  <mergeCells count="54">
    <mergeCell ref="IC20:II20"/>
    <mergeCell ref="GM20:GS20"/>
    <mergeCell ref="GT20:GZ20"/>
    <mergeCell ref="HA20:HG20"/>
    <mergeCell ref="HH20:HN20"/>
    <mergeCell ref="HO20:HU20"/>
    <mergeCell ref="HV20:IB20"/>
    <mergeCell ref="CE20:CK20"/>
    <mergeCell ref="CL20:CR20"/>
    <mergeCell ref="CS20:CY20"/>
    <mergeCell ref="GF20:GL20"/>
    <mergeCell ref="DG20:DM20"/>
    <mergeCell ref="DN20:DT20"/>
    <mergeCell ref="DU20:EA20"/>
    <mergeCell ref="EB20:EH20"/>
    <mergeCell ref="EI20:EO20"/>
    <mergeCell ref="EP20:EV20"/>
    <mergeCell ref="EW20:FC20"/>
    <mergeCell ref="FD20:FJ20"/>
    <mergeCell ref="FK20:FQ20"/>
    <mergeCell ref="FR20:FX20"/>
    <mergeCell ref="FY20:GE20"/>
    <mergeCell ref="AV20:BB20"/>
    <mergeCell ref="BC20:BI20"/>
    <mergeCell ref="BJ20:BP20"/>
    <mergeCell ref="BQ20:BW20"/>
    <mergeCell ref="BX20:CD20"/>
    <mergeCell ref="AA19:AN19"/>
    <mergeCell ref="BC19:IB19"/>
    <mergeCell ref="L20:M20"/>
    <mergeCell ref="N20:O20"/>
    <mergeCell ref="P20:Q20"/>
    <mergeCell ref="R20:S20"/>
    <mergeCell ref="T20:U20"/>
    <mergeCell ref="V20:W20"/>
    <mergeCell ref="X20:X21"/>
    <mergeCell ref="Y20:Y21"/>
    <mergeCell ref="L19:Z19"/>
    <mergeCell ref="Z20:Z21"/>
    <mergeCell ref="CZ20:DF20"/>
    <mergeCell ref="AA20:AG20"/>
    <mergeCell ref="AH20:AN20"/>
    <mergeCell ref="AO20:AU20"/>
    <mergeCell ref="G19:G21"/>
    <mergeCell ref="H19:H21"/>
    <mergeCell ref="I19:I21"/>
    <mergeCell ref="J19:J21"/>
    <mergeCell ref="K19:K21"/>
    <mergeCell ref="F19:F21"/>
    <mergeCell ref="B18:D18"/>
    <mergeCell ref="B19:B21"/>
    <mergeCell ref="C19:C21"/>
    <mergeCell ref="D19:D21"/>
    <mergeCell ref="E19:E21"/>
  </mergeCells>
  <phoneticPr fontId="134" type="noConversion"/>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13" zoomScale="90" zoomScaleNormal="70" zoomScaleSheetLayoutView="90" workbookViewId="0">
      <selection activeCell="L37" sqref="L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3396</v>
      </c>
      <c r="D1" s="1362" t="s">
        <v>43</v>
      </c>
      <c r="E1" s="1363" t="s">
        <v>678</v>
      </c>
      <c r="F1" s="1062">
        <f ca="1">J53</f>
        <v>31.67</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1099.4549999999999</v>
      </c>
      <c r="C2" s="1387" t="s">
        <v>879</v>
      </c>
      <c r="D2" s="1471">
        <f ca="1">C40+J29+L46</f>
        <v>10994550</v>
      </c>
      <c r="E2" s="1388" t="s">
        <v>880</v>
      </c>
      <c r="F2" s="1389"/>
      <c r="G2" s="2704"/>
      <c r="H2" s="2693"/>
      <c r="I2" s="2693"/>
      <c r="J2" s="2693"/>
      <c r="K2" s="2694"/>
      <c r="L2" s="2693"/>
      <c r="M2" s="2693"/>
    </row>
    <row r="3" spans="1:37" ht="18" customHeight="1" thickBot="1">
      <c r="A3" s="1390" t="s">
        <v>881</v>
      </c>
      <c r="B3" s="1391">
        <f ca="1">IF(ISERROR(D2/F43),0,ROUND(D2/F43,0))</f>
        <v>22010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794120</v>
      </c>
      <c r="D5" s="1364" t="s">
        <v>889</v>
      </c>
      <c r="E5" s="1071"/>
      <c r="F5" s="1072"/>
      <c r="G5" s="1384"/>
      <c r="H5" s="299">
        <v>1</v>
      </c>
      <c r="I5" s="300" t="s">
        <v>888</v>
      </c>
      <c r="J5" s="1070">
        <f ca="1">J6+J10+J12</f>
        <v>0</v>
      </c>
      <c r="K5" s="1364" t="s">
        <v>889</v>
      </c>
      <c r="L5" s="1071"/>
      <c r="M5" s="1072"/>
    </row>
    <row r="6" spans="1:37" ht="18" customHeight="1">
      <c r="A6" s="1069" t="s">
        <v>398</v>
      </c>
      <c r="B6" s="3697" t="s">
        <v>694</v>
      </c>
      <c r="C6" s="1074">
        <f ca="1">ROUND(F6*F8*F7*(1-F9),0)</f>
        <v>793129</v>
      </c>
      <c r="D6" s="155" t="s">
        <v>2104</v>
      </c>
      <c r="E6" s="302" t="s">
        <v>696</v>
      </c>
      <c r="F6" s="303">
        <f ca="1">INDIRECT("'数据-取费表'!u"&amp;$G$1)</f>
        <v>5</v>
      </c>
      <c r="G6" s="1384"/>
      <c r="H6" s="1069" t="s">
        <v>398</v>
      </c>
      <c r="I6" s="3697" t="s">
        <v>694</v>
      </c>
      <c r="J6" s="301">
        <f ca="1">ROUND(M6*M8*M7*(1-M9),0)</f>
        <v>0</v>
      </c>
      <c r="K6" s="1376" t="s">
        <v>2105</v>
      </c>
      <c r="L6" s="302" t="s">
        <v>696</v>
      </c>
      <c r="M6" s="303">
        <f ca="1">INDIRECT("'数据-取费表'!z"&amp;$G$1)</f>
        <v>0</v>
      </c>
    </row>
    <row r="7" spans="1:37" ht="18" customHeight="1">
      <c r="A7" s="1073"/>
      <c r="B7" s="3698"/>
      <c r="C7" s="1075"/>
      <c r="D7" s="307"/>
      <c r="E7" s="1076" t="s">
        <v>697</v>
      </c>
      <c r="F7" s="303">
        <f ca="1">IF(INDIRECT("'数据-取费表'!ah"&amp;$G$1)="",INDIRECT("'数据-取费表'!k"&amp;$G$1),INDIRECT("'数据-取费表'!ah"&amp;$G$1))</f>
        <v>499.53</v>
      </c>
      <c r="G7" s="1384"/>
      <c r="H7" s="304"/>
      <c r="I7" s="3698"/>
      <c r="J7" s="306"/>
      <c r="K7" s="307"/>
      <c r="L7" s="302" t="s">
        <v>697</v>
      </c>
      <c r="M7" s="303">
        <f ca="1">F7</f>
        <v>499.53</v>
      </c>
    </row>
    <row r="8" spans="1:37" ht="18" customHeight="1">
      <c r="A8" s="304"/>
      <c r="B8" s="3698"/>
      <c r="C8" s="306"/>
      <c r="D8" s="307"/>
      <c r="E8" s="302" t="s">
        <v>698</v>
      </c>
      <c r="F8" s="303">
        <f ca="1">INDIRECT("'数据-取费表'!ai"&amp;$G$1)</f>
        <v>365</v>
      </c>
      <c r="G8" s="1384"/>
      <c r="H8" s="304"/>
      <c r="I8" s="3698"/>
      <c r="J8" s="306"/>
      <c r="K8" s="307"/>
      <c r="L8" s="302" t="s">
        <v>698</v>
      </c>
      <c r="M8" s="303">
        <f ca="1">INDIRECT("'数据-取费表'!ai"&amp;$G$1)</f>
        <v>365</v>
      </c>
    </row>
    <row r="9" spans="1:37" ht="18" customHeight="1">
      <c r="A9" s="304"/>
      <c r="B9" s="3699"/>
      <c r="C9" s="306"/>
      <c r="D9" s="307"/>
      <c r="E9" s="302" t="s">
        <v>699</v>
      </c>
      <c r="F9" s="312">
        <f ca="1">INDIRECT("'数据-取费表'!w"&amp;$G$1)</f>
        <v>0.13</v>
      </c>
      <c r="G9" s="1384"/>
      <c r="H9" s="304"/>
      <c r="I9" s="3699"/>
      <c r="J9" s="306"/>
      <c r="K9" s="307"/>
      <c r="L9" s="313" t="s">
        <v>699</v>
      </c>
      <c r="M9" s="314">
        <f ca="1">INDIRECT("'数据-取费表'!ab"&amp;$G$1)</f>
        <v>0</v>
      </c>
    </row>
    <row r="10" spans="1:37" ht="18" customHeight="1">
      <c r="A10" s="1069" t="s">
        <v>402</v>
      </c>
      <c r="B10" s="1365" t="s">
        <v>700</v>
      </c>
      <c r="C10" s="316">
        <f ca="1">ROUND(IF(F10="押一",C6/12*F11,IF(F10="押二",C6/12*2*F11,IF(F10="押三",C6/12*3*F11,C11*F11))),0)</f>
        <v>991</v>
      </c>
      <c r="D10" s="1366" t="s">
        <v>2114</v>
      </c>
      <c r="E10" s="313" t="s">
        <v>701</v>
      </c>
      <c r="F10" s="1116" t="s">
        <v>3419</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3112032</v>
      </c>
      <c r="D13" s="1081" t="s">
        <v>705</v>
      </c>
      <c r="E13" s="1081" t="s">
        <v>706</v>
      </c>
      <c r="F13" s="1082">
        <f ca="1">INDIRECT("'数据-取费表'!y"&amp;$G$1)</f>
        <v>0.93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2247885</v>
      </c>
      <c r="D14" s="1345" t="s">
        <v>708</v>
      </c>
      <c r="E14" s="1342"/>
      <c r="F14" s="319"/>
      <c r="G14" s="1384"/>
      <c r="H14" s="982" t="s">
        <v>398</v>
      </c>
      <c r="I14" s="302" t="s">
        <v>709</v>
      </c>
      <c r="J14" s="21">
        <f ca="1">C29</f>
        <v>3346271</v>
      </c>
      <c r="K14" s="12"/>
      <c r="L14" s="807"/>
      <c r="M14" s="808"/>
    </row>
    <row r="15" spans="1:37" s="1397" customFormat="1" ht="18" customHeight="1" thickBot="1">
      <c r="A15" s="982" t="s">
        <v>399</v>
      </c>
      <c r="B15" s="302" t="s">
        <v>710</v>
      </c>
      <c r="C15" s="21">
        <f ca="1">ROUND(C14*F15,0)</f>
        <v>67437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33463</v>
      </c>
      <c r="K16" s="1087" t="s">
        <v>715</v>
      </c>
      <c r="L16" s="1088"/>
      <c r="M16" s="1072"/>
    </row>
    <row r="17" spans="1:37" s="1397" customFormat="1" ht="18" customHeight="1">
      <c r="A17" s="982" t="s">
        <v>681</v>
      </c>
      <c r="B17" s="302" t="s">
        <v>716</v>
      </c>
      <c r="C17" s="21">
        <f ca="1">ROUND(F17*(F43+INDIRECT("'数据-取费表'!S"&amp;$G$1)),0)</f>
        <v>89915</v>
      </c>
      <c r="D17" s="302" t="s">
        <v>717</v>
      </c>
      <c r="E17" s="302" t="s">
        <v>718</v>
      </c>
      <c r="F17" s="23">
        <f>'数据-取费表'!B35</f>
        <v>180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44958</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2450195</v>
      </c>
      <c r="D19" s="131" t="s">
        <v>726</v>
      </c>
      <c r="E19" s="1360"/>
      <c r="F19" s="23"/>
      <c r="G19" s="1384"/>
      <c r="H19" s="982" t="s">
        <v>399</v>
      </c>
      <c r="I19" s="302" t="s">
        <v>727</v>
      </c>
      <c r="J19" s="21">
        <f ca="1">IF(K19="按租金收入计税",ROUND(J6*M19/(1+'数据-取费表'!C42),0),ROUND(C29*M19*0.7,0))</f>
        <v>0</v>
      </c>
      <c r="K19" s="1370" t="s">
        <v>3329</v>
      </c>
      <c r="L19" s="302" t="s">
        <v>712</v>
      </c>
      <c r="M19" s="322">
        <f>IF(K19="按租金收入计税",'数据-取费表'!B51,'数据-取费表'!B50)</f>
        <v>0.12</v>
      </c>
    </row>
    <row r="20" spans="1:37" s="1397" customFormat="1" ht="18" customHeight="1">
      <c r="A20" s="982" t="s">
        <v>402</v>
      </c>
      <c r="B20" s="302" t="s">
        <v>728</v>
      </c>
      <c r="C20" s="21">
        <f ca="1">ROUND(C19*F20,0)</f>
        <v>49004</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33463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86223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-33463</v>
      </c>
      <c r="K25" s="1095" t="s">
        <v>753</v>
      </c>
      <c r="L25" s="1096"/>
      <c r="M25" s="1097"/>
    </row>
    <row r="26" spans="1:37" ht="18" customHeight="1">
      <c r="A26" s="982" t="s">
        <v>397</v>
      </c>
      <c r="B26" s="302" t="s">
        <v>754</v>
      </c>
      <c r="C26" s="21">
        <f ca="1">ROUND((C19+C20)*F26,0)</f>
        <v>499840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3346271</v>
      </c>
      <c r="D29" s="1092"/>
      <c r="E29" s="1090"/>
      <c r="F29" s="1093"/>
      <c r="G29" s="1396"/>
      <c r="H29" s="334" t="s">
        <v>396</v>
      </c>
      <c r="I29" s="335" t="s">
        <v>768</v>
      </c>
      <c r="J29" s="336">
        <f ca="1">ROUND(J26/(1+F40)^F41,0)</f>
        <v>0</v>
      </c>
      <c r="K29" s="337" t="s">
        <v>769</v>
      </c>
      <c r="L29" s="338"/>
      <c r="M29" s="339">
        <f ca="1">INDIRECT("'数据-取费表'!k"&amp;$G$1)</f>
        <v>499.53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177459</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132943</v>
      </c>
      <c r="D31" s="1345" t="s">
        <v>720</v>
      </c>
      <c r="E31" s="1344" t="s">
        <v>770</v>
      </c>
      <c r="F31" s="2315" t="str">
        <f>IF(项目基本情况!B11="企业","——",IF(M47="住宅",IF(F6*F7*F8/12/(1+'数据-取费表'!F30)&gt;100000,4%,2.5%),IF(F6*F7*F8/12/(1+'数据-取费表'!F30)&gt;100000,12%,7%)))</f>
        <v>——</v>
      </c>
      <c r="G31" s="1384"/>
      <c r="H31" s="2806" t="s">
        <v>2301</v>
      </c>
      <c r="I31" s="1398"/>
      <c r="J31" s="1399"/>
      <c r="K31" s="2473"/>
      <c r="L31" s="2696"/>
      <c r="M31" s="2697"/>
    </row>
    <row r="32" spans="1:37" ht="18" customHeight="1">
      <c r="A32" s="982" t="s">
        <v>397</v>
      </c>
      <c r="B32" s="302" t="s">
        <v>723</v>
      </c>
      <c r="C32" s="21">
        <f ca="1">IF(项目基本情况!B11="自然人","——",ROUND(C6*F32/(1+'数据-取费表'!C42),0))</f>
        <v>42300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90643</v>
      </c>
      <c r="D33" s="1370" t="s">
        <v>3329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33463</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ROUND(C13*F37,0)</f>
        <v>3112</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7941</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616661</v>
      </c>
      <c r="D39" s="1095" t="s">
        <v>773</v>
      </c>
      <c r="E39" s="1096"/>
      <c r="F39" s="1097"/>
      <c r="G39" s="1384"/>
      <c r="H39" s="2698">
        <f ca="1">C39/C5</f>
        <v>0.77653377323326445</v>
      </c>
      <c r="I39" s="1398"/>
      <c r="J39" s="1399"/>
      <c r="K39" s="2702"/>
      <c r="L39" s="2698"/>
      <c r="M39" s="2698"/>
    </row>
    <row r="40" spans="1:18" ht="18" customHeight="1">
      <c r="A40" s="299" t="s">
        <v>395</v>
      </c>
      <c r="B40" s="300" t="s">
        <v>774</v>
      </c>
      <c r="C40" s="301">
        <f ca="1">ROUND(C39*(1-((1+F42)/(1+F40))^F41)/(F40-F42),0)</f>
        <v>10857025</v>
      </c>
      <c r="D40" s="324" t="s">
        <v>758</v>
      </c>
      <c r="E40" s="302" t="s">
        <v>759</v>
      </c>
      <c r="F40" s="312">
        <f ca="1">INDIRECT("'数据-取费表'!I"&amp;$G$1)</f>
        <v>0.06</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31.67</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ROUND(C40/F43,0)</f>
        <v>21734</v>
      </c>
      <c r="D43" s="337" t="s">
        <v>777</v>
      </c>
      <c r="E43" s="338" t="s">
        <v>778</v>
      </c>
      <c r="F43" s="339">
        <f ca="1">INDIRECT("'数据-取费表'!k"&amp;$G$1)</f>
        <v>499.53</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3345</v>
      </c>
      <c r="B45" s="1400"/>
      <c r="C45" s="1472">
        <f ca="1">ROUND((C68-C40)/10000,4)</f>
        <v>-1137.0315000000001</v>
      </c>
      <c r="D45" s="3430" t="s">
        <v>3346</v>
      </c>
      <c r="E45" s="1400"/>
      <c r="F45" s="1400"/>
      <c r="O45" s="1403" t="s">
        <v>808</v>
      </c>
      <c r="P45" s="1461"/>
      <c r="Q45" s="1461"/>
      <c r="R45" s="1461"/>
    </row>
    <row r="46" spans="1:18" s="1384" customFormat="1" ht="13.5" thickBot="1">
      <c r="A46" s="1404" t="s">
        <v>809</v>
      </c>
      <c r="C46" s="1405">
        <f ca="1">ROUND(C45,0)</f>
        <v>-1137</v>
      </c>
      <c r="D46" s="1406" t="str">
        <f>C2</f>
        <v>万元</v>
      </c>
      <c r="I46" s="1407" t="s">
        <v>810</v>
      </c>
      <c r="J46" s="1408"/>
      <c r="K46" s="1409"/>
      <c r="L46" s="1410">
        <f ca="1">IF(M47="住宅",0,IF(L48&gt;J51,L60,J60))</f>
        <v>137525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3420</v>
      </c>
      <c r="K47" s="1416" t="s">
        <v>816</v>
      </c>
      <c r="L47" s="1417">
        <f ca="1">INDIRECT("'数据-取费表'!d"&amp;$G$1)</f>
        <v>40</v>
      </c>
      <c r="M47" s="1380" t="str">
        <f>IF(ISNUMBER(FIND("住宅",C1)),"住宅","非住宅")</f>
        <v>非住宅</v>
      </c>
      <c r="O47" s="1418" t="s">
        <v>403</v>
      </c>
      <c r="P47" s="1419" t="s">
        <v>817</v>
      </c>
      <c r="Q47" s="1420">
        <f ca="1">C40+J29</f>
        <v>10857025</v>
      </c>
      <c r="R47" s="1420" t="s">
        <v>818</v>
      </c>
    </row>
    <row r="48" spans="1:18" s="1384" customFormat="1" ht="28.5" thickBot="1">
      <c r="A48" s="1110" t="s">
        <v>438</v>
      </c>
      <c r="B48" s="300" t="s">
        <v>692</v>
      </c>
      <c r="C48" s="1359">
        <f ca="1">C49+C53+C55</f>
        <v>0</v>
      </c>
      <c r="D48" s="1112"/>
      <c r="E48" s="1113"/>
      <c r="F48" s="962"/>
      <c r="G48" s="722"/>
      <c r="H48" s="723"/>
      <c r="I48" s="1421" t="s">
        <v>819</v>
      </c>
      <c r="J48" s="1422" t="s">
        <v>3421</v>
      </c>
      <c r="K48" s="1423" t="s">
        <v>820</v>
      </c>
      <c r="L48" s="1424">
        <f ca="1">INDIRECT("'数据-取费表'!f"&amp;$G$1)</f>
        <v>31.67</v>
      </c>
      <c r="O48" s="1418" t="s">
        <v>404</v>
      </c>
      <c r="P48" s="1419" t="s">
        <v>821</v>
      </c>
      <c r="Q48" s="1420">
        <f ca="1">J60</f>
        <v>137525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2020</v>
      </c>
      <c r="K49" s="1423" t="s">
        <v>824</v>
      </c>
      <c r="L49" s="1427"/>
      <c r="O49" s="1428" t="s">
        <v>405</v>
      </c>
      <c r="P49" s="1419" t="s">
        <v>825</v>
      </c>
      <c r="Q49" s="1420">
        <f ca="1">C29</f>
        <v>3346271</v>
      </c>
      <c r="R49" s="1420" t="s">
        <v>818</v>
      </c>
    </row>
    <row r="50" spans="1:18" s="1384" customFormat="1" ht="13.5" thickBot="1">
      <c r="A50" s="976"/>
      <c r="B50" s="979"/>
      <c r="C50" s="980"/>
      <c r="D50" s="953"/>
      <c r="E50" s="1056" t="s">
        <v>697</v>
      </c>
      <c r="F50" s="1057">
        <f ca="1">F7</f>
        <v>499.53</v>
      </c>
      <c r="H50" s="723"/>
      <c r="I50" s="1421" t="s">
        <v>826</v>
      </c>
      <c r="J50" s="1429">
        <f>SUMPRODUCT((I63:I65=J47)*(J62:L62=J48)*(J63:L65))</f>
        <v>60</v>
      </c>
      <c r="K50" s="1423" t="s">
        <v>827</v>
      </c>
      <c r="L50" s="1427"/>
      <c r="M50" s="1430"/>
      <c r="O50" s="1428" t="s">
        <v>406</v>
      </c>
      <c r="P50" s="1419" t="s">
        <v>828</v>
      </c>
      <c r="Q50" s="1431">
        <f ca="1">J58</f>
        <v>0.40600000000000003</v>
      </c>
      <c r="R50" s="1420"/>
    </row>
    <row r="51" spans="1:18" s="1384" customFormat="1" ht="13.5" thickBot="1">
      <c r="A51" s="977"/>
      <c r="B51" s="979"/>
      <c r="C51" s="980"/>
      <c r="D51" s="953"/>
      <c r="E51" s="981" t="s">
        <v>698</v>
      </c>
      <c r="F51" s="303">
        <f ca="1">F8</f>
        <v>365</v>
      </c>
      <c r="I51" s="1432" t="s">
        <v>829</v>
      </c>
      <c r="J51" s="1433">
        <f>IF(J49="",J50,J49+J50-YEAR('数据-取费表'!B2))</f>
        <v>56</v>
      </c>
      <c r="K51" s="1434" t="s">
        <v>830</v>
      </c>
      <c r="L51" s="1435">
        <f ca="1">ROUND(-PV(INDIRECT("'数据-取费表'!h"&amp;$G$1),J51,(C39-C13*C76),0),0)</f>
        <v>6889611</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31.67</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31.67</v>
      </c>
      <c r="K53" s="3695" t="s">
        <v>837</v>
      </c>
      <c r="L53" s="3696"/>
      <c r="O53" s="1418" t="s">
        <v>409</v>
      </c>
      <c r="P53" s="1419" t="s">
        <v>838</v>
      </c>
      <c r="Q53" s="1420">
        <f ca="1">Q47+Q48</f>
        <v>10994550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0.40600000000000003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3112032</v>
      </c>
      <c r="D56" s="1447"/>
      <c r="E56" s="1448"/>
      <c r="F56" s="1440"/>
      <c r="I56" s="1449" t="s">
        <v>842</v>
      </c>
      <c r="J56" s="1450" t="s">
        <v>3384</v>
      </c>
      <c r="K56" s="1421" t="s">
        <v>843</v>
      </c>
      <c r="L56" s="1424" t="str">
        <f ca="1">IF(L48&lt;J51,"——",L48-J51)</f>
        <v>——</v>
      </c>
      <c r="O56" s="1418" t="s">
        <v>403</v>
      </c>
      <c r="P56" s="1419" t="s">
        <v>817</v>
      </c>
      <c r="Q56" s="1420">
        <f ca="1">C40+J29</f>
        <v>10857025</v>
      </c>
      <c r="R56" s="1420" t="s">
        <v>818</v>
      </c>
    </row>
    <row r="57" spans="1:18" s="1384" customFormat="1" ht="24.75" thickBot="1">
      <c r="A57" s="1451"/>
      <c r="B57" s="950" t="s">
        <v>767</v>
      </c>
      <c r="C57" s="238">
        <f ca="1">C29</f>
        <v>3346271</v>
      </c>
      <c r="D57" s="1452"/>
      <c r="E57" s="1453"/>
      <c r="F57" s="1454"/>
      <c r="I57" s="1455" t="s">
        <v>844</v>
      </c>
      <c r="J57" s="1456">
        <f ca="1">IF(OR(M47="住宅",J51&lt;L48,J56="是"),"——",J51-L48)</f>
        <v>24.33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36575</v>
      </c>
      <c r="D58" s="960" t="s">
        <v>715</v>
      </c>
      <c r="E58" s="961"/>
      <c r="F58" s="962"/>
      <c r="I58" s="1455" t="s">
        <v>848</v>
      </c>
      <c r="J58" s="1457">
        <f ca="1">IF(J55&lt;0.4,0.4,J55)</f>
        <v>0.40600000000000003</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1358586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137525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10857025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33463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3112</v>
      </c>
      <c r="D65" s="964" t="s">
        <v>743</v>
      </c>
      <c r="E65" s="950" t="s">
        <v>744</v>
      </c>
      <c r="F65" s="330">
        <f t="shared" ca="1" si="0"/>
        <v>1E-3</v>
      </c>
      <c r="I65" s="1462" t="s">
        <v>867</v>
      </c>
      <c r="J65" s="1463">
        <v>40</v>
      </c>
      <c r="K65" s="1463">
        <v>30</v>
      </c>
      <c r="L65" s="1463">
        <v>50</v>
      </c>
      <c r="M65" s="1465">
        <v>0.02</v>
      </c>
      <c r="O65" s="1418" t="s">
        <v>403</v>
      </c>
      <c r="P65" s="1419" t="s">
        <v>868</v>
      </c>
      <c r="Q65" s="1420">
        <f ca="1">C40+J29</f>
        <v>10857025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-36575</v>
      </c>
      <c r="D67" s="963" t="s">
        <v>753</v>
      </c>
      <c r="E67" s="968"/>
      <c r="F67" s="969"/>
      <c r="O67" s="1428" t="s">
        <v>405</v>
      </c>
      <c r="P67" s="1419" t="s">
        <v>850</v>
      </c>
      <c r="Q67" s="1466">
        <f ca="1">L51</f>
        <v>6889611</v>
      </c>
      <c r="R67" s="1420" t="s">
        <v>870</v>
      </c>
    </row>
    <row r="68" spans="1:18" s="1384" customFormat="1" ht="16.5" thickBot="1">
      <c r="A68" s="947" t="s">
        <v>395</v>
      </c>
      <c r="B68" s="948" t="s">
        <v>774</v>
      </c>
      <c r="C68" s="301">
        <f ca="1">ROUND(C67*(1-((1+F70)/(1+F68))^F69)/(F68-F70),0)</f>
        <v>-513290</v>
      </c>
      <c r="D68" s="965" t="s">
        <v>758</v>
      </c>
      <c r="E68" s="950" t="s">
        <v>759</v>
      </c>
      <c r="F68" s="312">
        <f ca="1">F40</f>
        <v>0.06</v>
      </c>
      <c r="O68" s="1428" t="s">
        <v>406</v>
      </c>
      <c r="P68" s="1467" t="s">
        <v>871</v>
      </c>
      <c r="Q68" s="1420">
        <f ca="1">ROUND(Q69-Q70*Q71,0)</f>
        <v>398819</v>
      </c>
      <c r="R68" s="1420" t="s">
        <v>414</v>
      </c>
    </row>
    <row r="69" spans="1:18" s="1384" customFormat="1" ht="13.5" thickBot="1">
      <c r="A69" s="951"/>
      <c r="B69" s="952"/>
      <c r="C69" s="306"/>
      <c r="D69" s="970" t="s">
        <v>762</v>
      </c>
      <c r="E69" s="950" t="s">
        <v>763</v>
      </c>
      <c r="F69" s="333">
        <f ca="1">F41</f>
        <v>31.67</v>
      </c>
      <c r="O69" s="1428" t="s">
        <v>411</v>
      </c>
      <c r="P69" s="1467" t="s">
        <v>872</v>
      </c>
      <c r="Q69" s="1420">
        <f ca="1">C39</f>
        <v>616661</v>
      </c>
      <c r="R69" s="1420" t="s">
        <v>818</v>
      </c>
    </row>
    <row r="70" spans="1:18" s="1384" customFormat="1" ht="13.5" thickBot="1">
      <c r="A70" s="954"/>
      <c r="B70" s="955"/>
      <c r="C70" s="310"/>
      <c r="D70" s="966"/>
      <c r="E70" s="950" t="s">
        <v>766</v>
      </c>
      <c r="F70" s="1054"/>
      <c r="O70" s="1428" t="s">
        <v>412</v>
      </c>
      <c r="P70" s="1467" t="s">
        <v>873</v>
      </c>
      <c r="Q70" s="1420">
        <f ca="1">C13</f>
        <v>3112032</v>
      </c>
      <c r="R70" s="1420" t="s">
        <v>818</v>
      </c>
    </row>
    <row r="71" spans="1:18" s="1384" customFormat="1" ht="13.5" thickBot="1">
      <c r="A71" s="971" t="s">
        <v>396</v>
      </c>
      <c r="B71" s="972" t="s">
        <v>776</v>
      </c>
      <c r="C71" s="336">
        <f ca="1">ROUND(C68/F71,0)</f>
        <v>-1028</v>
      </c>
      <c r="D71" s="973" t="s">
        <v>777</v>
      </c>
      <c r="E71" s="974" t="s">
        <v>778</v>
      </c>
      <c r="F71" s="339">
        <f ca="1">F43</f>
        <v>499.53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217842</v>
      </c>
      <c r="D75" s="1384"/>
      <c r="E75" s="1384"/>
      <c r="F75" s="1384"/>
      <c r="K75" s="1402"/>
      <c r="L75" s="1384"/>
      <c r="O75" s="1418" t="s">
        <v>409</v>
      </c>
      <c r="P75" s="1419" t="s">
        <v>838</v>
      </c>
      <c r="Q75" s="1420">
        <f ca="1">Q65+Q66</f>
        <v>10857025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0.64700000000000002</v>
      </c>
    </row>
    <row r="80" spans="1:18">
      <c r="B80" s="340" t="s">
        <v>800</v>
      </c>
      <c r="C80" s="274">
        <f ca="1">ROUND(C75/C39,3)</f>
        <v>0.35299999999999998</v>
      </c>
    </row>
    <row r="81" spans="2:3">
      <c r="B81" s="270" t="s">
        <v>801</v>
      </c>
      <c r="C81" s="238"/>
    </row>
    <row r="82" spans="2:3">
      <c r="B82" s="273" t="s">
        <v>802</v>
      </c>
      <c r="C82" s="275">
        <f ca="1">1-C83</f>
        <v>0.71300000000000008</v>
      </c>
    </row>
    <row r="83" spans="2:3">
      <c r="B83" s="273" t="s">
        <v>803</v>
      </c>
      <c r="C83" s="274">
        <f ca="1">ROUND(C13/C40,3)</f>
        <v>0.28699999999999998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2430</v>
      </c>
      <c r="B1" s="2830"/>
      <c r="C1" s="2842"/>
      <c r="D1" s="2842"/>
      <c r="E1" s="2831"/>
      <c r="F1" s="2832"/>
      <c r="G1" s="2833"/>
      <c r="J1" s="2836" t="s">
        <v>2309</v>
      </c>
      <c r="K1" s="2837"/>
      <c r="L1" s="2837"/>
      <c r="M1" s="2837"/>
      <c r="N1" s="2837"/>
      <c r="O1" s="2837"/>
      <c r="P1" s="2837"/>
      <c r="Q1" s="2837"/>
      <c r="R1" s="2838"/>
      <c r="S1" s="2839"/>
      <c r="T1" s="2839"/>
      <c r="U1" s="2839"/>
    </row>
    <row r="2" spans="1:22" s="2851" customFormat="1" ht="13.15" customHeight="1">
      <c r="A2" s="1385" t="s">
        <v>2310</v>
      </c>
      <c r="B2" s="2841" t="e">
        <f>IF(D2="——",C40,C40+E2)</f>
        <v>#DIV/0!</v>
      </c>
      <c r="C2" s="2842" t="s">
        <v>2311</v>
      </c>
      <c r="D2" s="3441" t="s">
        <v>3352</v>
      </c>
      <c r="E2" s="3442"/>
      <c r="F2" s="2844"/>
      <c r="G2" s="2845"/>
      <c r="H2" s="2846"/>
      <c r="I2" s="2847"/>
      <c r="J2" s="3797" t="s">
        <v>2312</v>
      </c>
      <c r="K2" s="3798"/>
      <c r="L2" s="2848" t="s">
        <v>2313</v>
      </c>
      <c r="M2" s="2848" t="s">
        <v>2314</v>
      </c>
      <c r="N2" s="2848" t="s">
        <v>2315</v>
      </c>
      <c r="O2" s="2848" t="s">
        <v>2316</v>
      </c>
      <c r="P2" s="2848" t="s">
        <v>2317</v>
      </c>
      <c r="Q2" s="2849" t="s">
        <v>2318</v>
      </c>
      <c r="R2" s="2850" t="s">
        <v>2319</v>
      </c>
      <c r="S2" s="2839"/>
      <c r="T2" s="2839"/>
      <c r="U2" s="2839"/>
      <c r="V2" s="2847"/>
    </row>
    <row r="3" spans="1:22" s="2851" customFormat="1" ht="13.15" customHeight="1">
      <c r="A3" s="2852" t="s">
        <v>2320</v>
      </c>
      <c r="B3" s="2853" t="e">
        <f>ROUND(B2*10000/B4,0)</f>
        <v>#DIV/0!</v>
      </c>
      <c r="C3" s="2842" t="s">
        <v>2321</v>
      </c>
      <c r="D3" s="2842"/>
      <c r="E3" s="2843"/>
      <c r="F3" s="2844"/>
      <c r="G3" s="2845"/>
      <c r="H3" s="2846"/>
      <c r="I3" s="2847"/>
      <c r="J3" s="3799" t="s">
        <v>2322</v>
      </c>
      <c r="K3" s="3800"/>
      <c r="L3" s="2854"/>
      <c r="M3" s="2854"/>
      <c r="N3" s="2854"/>
      <c r="O3" s="2854"/>
      <c r="P3" s="2854"/>
      <c r="Q3" s="2855"/>
      <c r="R3" s="2856">
        <f>SUM(L3:Q3)</f>
        <v>0</v>
      </c>
      <c r="S3" s="2839"/>
      <c r="T3" s="2839"/>
      <c r="U3" s="2839"/>
      <c r="V3" s="2847"/>
    </row>
    <row r="4" spans="1:22" s="2851" customFormat="1" ht="13.15" customHeight="1">
      <c r="A4" s="2857" t="s">
        <v>2323</v>
      </c>
      <c r="B4" s="2858"/>
      <c r="C4" s="2842"/>
      <c r="D4" s="2842"/>
      <c r="E4" s="2843"/>
      <c r="F4" s="2844"/>
      <c r="G4" s="2845"/>
      <c r="H4" s="2846"/>
      <c r="I4" s="2847"/>
      <c r="J4" s="3799" t="s">
        <v>2324</v>
      </c>
      <c r="K4" s="3800"/>
      <c r="L4" s="2859"/>
      <c r="M4" s="2859"/>
      <c r="N4" s="2859"/>
      <c r="O4" s="2859"/>
      <c r="P4" s="2859"/>
      <c r="Q4" s="2860"/>
      <c r="R4" s="2861">
        <f>SUM(L4:Q4)</f>
        <v>0</v>
      </c>
      <c r="S4" s="2839"/>
      <c r="T4" s="2839"/>
      <c r="U4" s="2839"/>
      <c r="V4" s="2847"/>
    </row>
    <row r="5" spans="1:22" s="2851" customFormat="1" ht="13.15" customHeight="1" thickBot="1">
      <c r="A5" s="2862" t="s">
        <v>2325</v>
      </c>
      <c r="B5" s="2863"/>
      <c r="C5" s="2842"/>
      <c r="D5" s="2864"/>
      <c r="E5" s="2844"/>
      <c r="F5" s="2844"/>
      <c r="G5" s="2845"/>
      <c r="H5" s="2846"/>
      <c r="I5" s="2847"/>
      <c r="J5" s="2865" t="s">
        <v>2326</v>
      </c>
      <c r="K5" s="2866"/>
      <c r="L5" s="2866"/>
      <c r="M5" s="2867"/>
      <c r="N5" s="2867"/>
      <c r="O5" s="2867"/>
      <c r="P5" s="2867"/>
      <c r="Q5" s="2867"/>
      <c r="R5" s="2850">
        <f>SUM(R14,R19,R24,R25,R27,R28)</f>
        <v>0</v>
      </c>
      <c r="S5" s="2839"/>
      <c r="T5" s="2839" t="s">
        <v>2327</v>
      </c>
      <c r="U5" s="2839" t="e">
        <f>ROUND(R5*10000/365/R3,1)</f>
        <v>#DIV/0!</v>
      </c>
      <c r="V5" s="2847"/>
    </row>
    <row r="6" spans="1:22" s="2851" customFormat="1" ht="13.15" customHeight="1" thickBot="1">
      <c r="A6" s="3805" t="s">
        <v>2328</v>
      </c>
      <c r="B6" s="3806"/>
      <c r="C6" s="3807"/>
      <c r="D6" s="2868"/>
      <c r="E6" s="2869"/>
      <c r="F6" s="2870"/>
      <c r="G6" s="2871"/>
      <c r="H6" s="2846"/>
      <c r="I6" s="2847"/>
      <c r="J6" s="3791">
        <v>1</v>
      </c>
      <c r="K6" s="3792" t="s">
        <v>2329</v>
      </c>
      <c r="L6" s="2872" t="s">
        <v>2330</v>
      </c>
      <c r="M6" s="2873" t="s">
        <v>2331</v>
      </c>
      <c r="N6" s="2873" t="s">
        <v>2332</v>
      </c>
      <c r="O6" s="2873" t="s">
        <v>2333</v>
      </c>
      <c r="P6" s="2873" t="s">
        <v>2334</v>
      </c>
      <c r="Q6" s="2873" t="s">
        <v>2335</v>
      </c>
      <c r="R6" s="2856" t="s">
        <v>2336</v>
      </c>
      <c r="S6" s="2839"/>
      <c r="T6" s="2839" t="s">
        <v>2337</v>
      </c>
      <c r="U6" s="2839"/>
      <c r="V6" s="2847"/>
    </row>
    <row r="7" spans="1:22" s="2851" customFormat="1" ht="13.15" customHeight="1">
      <c r="A7" s="2874" t="s">
        <v>2338</v>
      </c>
      <c r="B7" s="2875"/>
      <c r="C7" s="2876"/>
      <c r="D7" s="2877">
        <f>SUM(D9,D10,D11,D17,0)</f>
        <v>0</v>
      </c>
      <c r="E7" s="2878" t="e">
        <f>E9+E10+E11+E17</f>
        <v>#DIV/0!</v>
      </c>
      <c r="F7" s="2879"/>
      <c r="G7" s="2880"/>
      <c r="H7" s="2846"/>
      <c r="I7" s="2847"/>
      <c r="J7" s="3791"/>
      <c r="K7" s="3793"/>
      <c r="L7" s="2881" t="s">
        <v>2339</v>
      </c>
      <c r="M7" s="2882"/>
      <c r="N7" s="2858"/>
      <c r="O7" s="2883"/>
      <c r="P7" s="2883"/>
      <c r="Q7" s="2884">
        <v>365</v>
      </c>
      <c r="R7" s="2885">
        <f>ROUND(M7*N7*O7*P7*Q7/10000,0)</f>
        <v>0</v>
      </c>
      <c r="S7" s="2839"/>
      <c r="T7" s="2839" t="s">
        <v>2340</v>
      </c>
      <c r="U7" s="2839"/>
      <c r="V7" s="2847"/>
    </row>
    <row r="8" spans="1:22" s="2851" customFormat="1" ht="13.15" customHeight="1">
      <c r="A8" s="2886" t="s">
        <v>2341</v>
      </c>
      <c r="B8" s="3808" t="s">
        <v>2342</v>
      </c>
      <c r="C8" s="3809"/>
      <c r="D8" s="2887" t="s">
        <v>2343</v>
      </c>
      <c r="E8" s="2888" t="s">
        <v>2344</v>
      </c>
      <c r="F8" s="2889" t="s">
        <v>2345</v>
      </c>
      <c r="G8" s="2890"/>
      <c r="H8" s="2846"/>
      <c r="I8" s="2847"/>
      <c r="J8" s="3791"/>
      <c r="K8" s="3793"/>
      <c r="L8" s="2881" t="s">
        <v>2346</v>
      </c>
      <c r="M8" s="2882"/>
      <c r="N8" s="2858"/>
      <c r="O8" s="2883"/>
      <c r="P8" s="2883"/>
      <c r="Q8" s="2884">
        <v>365</v>
      </c>
      <c r="R8" s="2885">
        <f t="shared" ref="R8:R13" si="0">ROUND(M8*N8*O8*P8*Q8/10000,0)</f>
        <v>0</v>
      </c>
      <c r="S8" s="2839"/>
      <c r="T8" s="2839" t="s">
        <v>2347</v>
      </c>
      <c r="U8" s="2839"/>
      <c r="V8" s="2847"/>
    </row>
    <row r="9" spans="1:22" s="2851" customFormat="1" ht="13.15" customHeight="1">
      <c r="A9" s="2886">
        <v>1</v>
      </c>
      <c r="B9" s="3808" t="s">
        <v>2348</v>
      </c>
      <c r="C9" s="3809"/>
      <c r="D9" s="2887">
        <f>ROUND(D6*E9,0)</f>
        <v>0</v>
      </c>
      <c r="E9" s="2891"/>
      <c r="F9" s="2892" t="s">
        <v>2349</v>
      </c>
      <c r="G9" s="2871"/>
      <c r="H9" s="2846"/>
      <c r="I9" s="2847"/>
      <c r="J9" s="3791"/>
      <c r="K9" s="3793"/>
      <c r="L9" s="2881" t="s">
        <v>2350</v>
      </c>
      <c r="M9" s="2882"/>
      <c r="N9" s="2858"/>
      <c r="O9" s="2883"/>
      <c r="P9" s="2883"/>
      <c r="Q9" s="2884">
        <v>365</v>
      </c>
      <c r="R9" s="2885">
        <f t="shared" si="0"/>
        <v>0</v>
      </c>
      <c r="S9" s="2839"/>
      <c r="T9" s="2839"/>
      <c r="U9" s="2839"/>
      <c r="V9" s="2847"/>
    </row>
    <row r="10" spans="1:22" s="2851" customFormat="1" ht="13.15" customHeight="1">
      <c r="A10" s="2886">
        <v>2</v>
      </c>
      <c r="B10" s="3808" t="s">
        <v>2351</v>
      </c>
      <c r="C10" s="3809"/>
      <c r="D10" s="2887">
        <f>ROUND(D6*E10,0)</f>
        <v>0</v>
      </c>
      <c r="E10" s="2891"/>
      <c r="F10" s="2892" t="s">
        <v>2352</v>
      </c>
      <c r="G10" s="2871"/>
      <c r="H10" s="2846"/>
      <c r="I10" s="2847"/>
      <c r="J10" s="3791"/>
      <c r="K10" s="3793"/>
      <c r="L10" s="2881" t="s">
        <v>2353</v>
      </c>
      <c r="M10" s="2882"/>
      <c r="N10" s="2858"/>
      <c r="O10" s="2883"/>
      <c r="P10" s="2883"/>
      <c r="Q10" s="2884">
        <v>365</v>
      </c>
      <c r="R10" s="2885">
        <f t="shared" si="0"/>
        <v>0</v>
      </c>
      <c r="S10" s="2839"/>
      <c r="T10" s="2839"/>
      <c r="U10" s="2839"/>
      <c r="V10" s="2847"/>
    </row>
    <row r="11" spans="1:22" s="2851" customFormat="1" ht="13.15" customHeight="1">
      <c r="A11" s="2886">
        <v>3</v>
      </c>
      <c r="B11" s="3808" t="s">
        <v>2354</v>
      </c>
      <c r="C11" s="3809"/>
      <c r="D11" s="2887">
        <f>D12+D14+D15+D16</f>
        <v>0</v>
      </c>
      <c r="E11" s="2893" t="e">
        <f>D11/D6</f>
        <v>#DIV/0!</v>
      </c>
      <c r="F11" s="2889"/>
      <c r="G11" s="2890"/>
      <c r="H11" s="2846"/>
      <c r="I11" s="2847"/>
      <c r="J11" s="3791"/>
      <c r="K11" s="3793"/>
      <c r="L11" s="2881" t="s">
        <v>2355</v>
      </c>
      <c r="M11" s="2882"/>
      <c r="N11" s="2858"/>
      <c r="O11" s="2883"/>
      <c r="P11" s="2883"/>
      <c r="Q11" s="2884">
        <v>365</v>
      </c>
      <c r="R11" s="2885">
        <f t="shared" si="0"/>
        <v>0</v>
      </c>
      <c r="S11" s="2839"/>
      <c r="T11" s="2839"/>
      <c r="U11" s="2839"/>
      <c r="V11" s="2847"/>
    </row>
    <row r="12" spans="1:22" s="2851" customFormat="1" ht="13.15" customHeight="1">
      <c r="A12" s="2894" t="s">
        <v>2356</v>
      </c>
      <c r="B12" s="3801" t="s">
        <v>2357</v>
      </c>
      <c r="C12" s="3802"/>
      <c r="D12" s="2895">
        <f>ROUND(D13*1.2%*(1-30%),0)</f>
        <v>0</v>
      </c>
      <c r="E12" s="2896">
        <v>1.2E-2</v>
      </c>
      <c r="F12" s="2889" t="s">
        <v>2358</v>
      </c>
      <c r="G12" s="2890"/>
      <c r="H12" s="2846"/>
      <c r="I12" s="2847"/>
      <c r="J12" s="3791"/>
      <c r="K12" s="3793"/>
      <c r="L12" s="2881" t="s">
        <v>2359</v>
      </c>
      <c r="M12" s="2882"/>
      <c r="N12" s="2858"/>
      <c r="O12" s="2883"/>
      <c r="P12" s="2883"/>
      <c r="Q12" s="2884">
        <v>365</v>
      </c>
      <c r="R12" s="2885">
        <f t="shared" si="0"/>
        <v>0</v>
      </c>
      <c r="S12" s="2839"/>
      <c r="T12" s="2839"/>
      <c r="U12" s="2839"/>
      <c r="V12" s="2847"/>
    </row>
    <row r="13" spans="1:22" s="2851" customFormat="1" ht="13.15" customHeight="1">
      <c r="A13" s="2894"/>
      <c r="B13" s="2897"/>
      <c r="C13" s="2898" t="s">
        <v>2360</v>
      </c>
      <c r="D13" s="2899"/>
      <c r="E13" s="2900"/>
      <c r="F13" s="2889"/>
      <c r="G13" s="2890"/>
      <c r="H13" s="2846"/>
      <c r="I13" s="2847"/>
      <c r="J13" s="3791"/>
      <c r="K13" s="3793"/>
      <c r="L13" s="2881" t="s">
        <v>2361</v>
      </c>
      <c r="M13" s="2882"/>
      <c r="N13" s="2858"/>
      <c r="O13" s="2883"/>
      <c r="P13" s="2883"/>
      <c r="Q13" s="2884">
        <v>365</v>
      </c>
      <c r="R13" s="2885">
        <f t="shared" si="0"/>
        <v>0</v>
      </c>
      <c r="S13" s="2839"/>
      <c r="T13" s="2839"/>
      <c r="U13" s="2839"/>
      <c r="V13" s="2847"/>
    </row>
    <row r="14" spans="1:22" s="2851" customFormat="1" ht="13.15" customHeight="1">
      <c r="A14" s="2894" t="s">
        <v>2362</v>
      </c>
      <c r="B14" s="3801" t="s">
        <v>2363</v>
      </c>
      <c r="C14" s="3802"/>
      <c r="D14" s="2895">
        <f>ROUND(E14*B5/10000,0)</f>
        <v>0</v>
      </c>
      <c r="E14" s="2884"/>
      <c r="F14" s="2889" t="s">
        <v>2364</v>
      </c>
      <c r="G14" s="2890"/>
      <c r="H14" s="2846"/>
      <c r="I14" s="2847"/>
      <c r="J14" s="3791"/>
      <c r="K14" s="3794"/>
      <c r="L14" s="2901" t="s">
        <v>2365</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2366</v>
      </c>
      <c r="B15" s="3801" t="s">
        <v>2367</v>
      </c>
      <c r="C15" s="3802"/>
      <c r="D15" s="2895">
        <f>ROUND(D6*E15,0)</f>
        <v>0</v>
      </c>
      <c r="E15" s="2896">
        <v>5.5E-2</v>
      </c>
      <c r="F15" s="2889" t="s">
        <v>2368</v>
      </c>
      <c r="G15" s="2871"/>
      <c r="H15" s="2846"/>
      <c r="I15" s="2847"/>
      <c r="J15" s="3791">
        <v>2</v>
      </c>
      <c r="K15" s="3792" t="s">
        <v>2369</v>
      </c>
      <c r="L15" s="2881" t="s">
        <v>2370</v>
      </c>
      <c r="M15" s="2882" t="s">
        <v>2371</v>
      </c>
      <c r="N15" s="2882" t="s">
        <v>2372</v>
      </c>
      <c r="O15" s="2883" t="s">
        <v>2373</v>
      </c>
      <c r="P15" s="2883" t="s">
        <v>2335</v>
      </c>
      <c r="Q15" s="2858" t="s">
        <v>2374</v>
      </c>
      <c r="R15" s="2905" t="s">
        <v>2336</v>
      </c>
      <c r="S15" s="2839"/>
      <c r="T15" s="2839"/>
      <c r="U15" s="2839"/>
      <c r="V15" s="2847"/>
    </row>
    <row r="16" spans="1:22" s="2851" customFormat="1" ht="13.15" customHeight="1">
      <c r="A16" s="2894" t="s">
        <v>2375</v>
      </c>
      <c r="B16" s="3801" t="s">
        <v>2376</v>
      </c>
      <c r="C16" s="3802"/>
      <c r="D16" s="2906">
        <f>D6*E16</f>
        <v>0</v>
      </c>
      <c r="E16" s="2907"/>
      <c r="F16" s="2892" t="s">
        <v>2377</v>
      </c>
      <c r="G16" s="2871"/>
      <c r="H16" s="2846"/>
      <c r="I16" s="2847"/>
      <c r="J16" s="3791"/>
      <c r="K16" s="3793"/>
      <c r="L16" s="2881" t="s">
        <v>2378</v>
      </c>
      <c r="M16" s="2882"/>
      <c r="N16" s="2882"/>
      <c r="O16" s="2883"/>
      <c r="P16" s="2884">
        <v>365</v>
      </c>
      <c r="Q16" s="2858"/>
      <c r="R16" s="2905">
        <f>ROUND(M16*N16*O16*P16/10000,0)</f>
        <v>0</v>
      </c>
      <c r="S16" s="2839"/>
      <c r="T16" s="2839"/>
      <c r="U16" s="2839"/>
      <c r="V16" s="2847"/>
    </row>
    <row r="17" spans="1:22" s="2851" customFormat="1" ht="13.15" customHeight="1" thickBot="1">
      <c r="A17" s="2908">
        <v>4</v>
      </c>
      <c r="B17" s="3803" t="s">
        <v>2379</v>
      </c>
      <c r="C17" s="3804"/>
      <c r="D17" s="2909">
        <f>ROUND(D6*E17,0)</f>
        <v>0</v>
      </c>
      <c r="E17" s="2910"/>
      <c r="F17" s="2911" t="s">
        <v>2380</v>
      </c>
      <c r="G17" s="2871"/>
      <c r="H17" s="2846"/>
      <c r="I17" s="2847"/>
      <c r="J17" s="3791"/>
      <c r="K17" s="3793"/>
      <c r="L17" s="2881" t="s">
        <v>2381</v>
      </c>
      <c r="M17" s="2882"/>
      <c r="N17" s="2882"/>
      <c r="O17" s="2883"/>
      <c r="P17" s="2884">
        <v>365</v>
      </c>
      <c r="Q17" s="2858"/>
      <c r="R17" s="2905">
        <f>ROUND(M17*N17*O17*P17/10000,0)</f>
        <v>0</v>
      </c>
      <c r="S17" s="2839"/>
      <c r="T17" s="2839"/>
      <c r="U17" s="2839"/>
      <c r="V17" s="2847"/>
    </row>
    <row r="18" spans="1:22" s="2851" customFormat="1" ht="13.15" customHeight="1" thickBot="1">
      <c r="A18" s="2874" t="s">
        <v>2382</v>
      </c>
      <c r="B18" s="2875"/>
      <c r="C18" s="2875"/>
      <c r="D18" s="2912">
        <f>ROUND(D6*E18,0)</f>
        <v>0</v>
      </c>
      <c r="E18" s="2913"/>
      <c r="F18" s="2914" t="s">
        <v>2383</v>
      </c>
      <c r="G18" s="2871"/>
      <c r="H18" s="2846"/>
      <c r="I18" s="2847"/>
      <c r="J18" s="3791"/>
      <c r="K18" s="3793"/>
      <c r="L18" s="2881" t="s">
        <v>2384</v>
      </c>
      <c r="M18" s="2882"/>
      <c r="N18" s="2882"/>
      <c r="O18" s="2883"/>
      <c r="P18" s="2884">
        <v>365</v>
      </c>
      <c r="Q18" s="2858"/>
      <c r="R18" s="2905">
        <f>ROUND(M18*N18*O18*P18/10000,0)</f>
        <v>0</v>
      </c>
      <c r="S18" s="2839"/>
      <c r="T18" s="2839"/>
      <c r="U18" s="2839"/>
      <c r="V18" s="2847"/>
    </row>
    <row r="19" spans="1:22" s="2851" customFormat="1" ht="13.15" customHeight="1" thickBot="1">
      <c r="A19" s="2915" t="s">
        <v>2385</v>
      </c>
      <c r="B19" s="2869"/>
      <c r="C19" s="2869"/>
      <c r="D19" s="2869"/>
      <c r="E19" s="2869"/>
      <c r="F19" s="2870"/>
      <c r="G19" s="2890"/>
      <c r="H19" s="2846"/>
      <c r="I19" s="2847"/>
      <c r="J19" s="3791"/>
      <c r="K19" s="3794"/>
      <c r="L19" s="2901" t="s">
        <v>2365</v>
      </c>
      <c r="M19" s="2902"/>
      <c r="N19" s="2902">
        <f>SUM(N16:N18)</f>
        <v>0</v>
      </c>
      <c r="O19" s="2903"/>
      <c r="P19" s="2916" t="s">
        <v>2429</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91">
        <v>3</v>
      </c>
      <c r="K20" s="3792" t="s">
        <v>2386</v>
      </c>
      <c r="L20" s="2881" t="s">
        <v>2387</v>
      </c>
      <c r="M20" s="2882" t="s">
        <v>2388</v>
      </c>
      <c r="N20" s="2919" t="s">
        <v>2389</v>
      </c>
      <c r="O20" s="2883" t="s">
        <v>2390</v>
      </c>
      <c r="P20" s="2884" t="s">
        <v>2391</v>
      </c>
      <c r="Q20" s="2858" t="s">
        <v>2392</v>
      </c>
      <c r="R20" s="2905" t="s">
        <v>2393</v>
      </c>
      <c r="S20" s="2920"/>
      <c r="T20" s="2920"/>
      <c r="U20" s="2920"/>
      <c r="V20" s="2847"/>
    </row>
    <row r="21" spans="1:22" s="2851" customFormat="1" ht="13.15" customHeight="1">
      <c r="A21" s="2874"/>
      <c r="B21" s="2875"/>
      <c r="C21" s="2921" t="s">
        <v>2394</v>
      </c>
      <c r="D21" s="2922" t="s">
        <v>2395</v>
      </c>
      <c r="E21" s="2923" t="s">
        <v>2396</v>
      </c>
      <c r="F21" s="2918"/>
      <c r="G21" s="2890"/>
      <c r="H21" s="2846"/>
      <c r="I21" s="2847"/>
      <c r="J21" s="3791"/>
      <c r="K21" s="3793"/>
      <c r="L21" s="2881" t="s">
        <v>2397</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2398</v>
      </c>
      <c r="D22" s="2926" t="s">
        <v>2399</v>
      </c>
      <c r="E22" s="2927" t="s">
        <v>2400</v>
      </c>
      <c r="F22" s="2918"/>
      <c r="G22" s="2928"/>
      <c r="H22" s="2846"/>
      <c r="I22" s="2847"/>
      <c r="J22" s="3791"/>
      <c r="K22" s="3793"/>
      <c r="L22" s="2881" t="s">
        <v>2401</v>
      </c>
      <c r="M22" s="2882"/>
      <c r="N22" s="2882"/>
      <c r="O22" s="2883"/>
      <c r="P22" s="2884">
        <v>365</v>
      </c>
      <c r="Q22" s="2858"/>
      <c r="R22" s="2924">
        <f>ROUND(M22*N22*O22*P22/10000,0)</f>
        <v>0</v>
      </c>
      <c r="S22" s="2920"/>
      <c r="T22" s="2920"/>
      <c r="U22" s="2920"/>
      <c r="V22" s="2847"/>
    </row>
    <row r="23" spans="1:22" s="2851" customFormat="1" ht="13.15" customHeight="1">
      <c r="A23" s="2929">
        <v>1</v>
      </c>
      <c r="B23" s="2930" t="s">
        <v>2402</v>
      </c>
      <c r="C23" s="2931">
        <f>D6</f>
        <v>0</v>
      </c>
      <c r="D23" s="2932">
        <f>C23*(1+D24)</f>
        <v>0</v>
      </c>
      <c r="E23" s="2933">
        <f>D23*(1+E24)</f>
        <v>0</v>
      </c>
      <c r="F23" s="2934"/>
      <c r="G23" s="2935"/>
      <c r="H23" s="2846"/>
      <c r="I23" s="2847"/>
      <c r="J23" s="3791"/>
      <c r="K23" s="3793"/>
      <c r="L23" s="2881" t="s">
        <v>2403</v>
      </c>
      <c r="M23" s="2882"/>
      <c r="N23" s="2882"/>
      <c r="O23" s="2883"/>
      <c r="P23" s="2884">
        <v>365</v>
      </c>
      <c r="Q23" s="2858"/>
      <c r="R23" s="2924">
        <f>ROUND(M23*N23*O23*P23/10000,0)</f>
        <v>0</v>
      </c>
      <c r="S23" s="2839"/>
      <c r="T23" s="2839"/>
      <c r="U23" s="2839"/>
      <c r="V23" s="2847"/>
    </row>
    <row r="24" spans="1:22" s="2851" customFormat="1" ht="13.15" customHeight="1">
      <c r="A24" s="2936"/>
      <c r="B24" s="2937" t="s">
        <v>2404</v>
      </c>
      <c r="C24" s="2938"/>
      <c r="D24" s="2939"/>
      <c r="E24" s="2940"/>
      <c r="F24" s="2941"/>
      <c r="G24" s="2935"/>
      <c r="H24" s="2846"/>
      <c r="I24" s="2847"/>
      <c r="J24" s="3791"/>
      <c r="K24" s="3794"/>
      <c r="L24" s="2901" t="s">
        <v>2365</v>
      </c>
      <c r="M24" s="2902">
        <f>SUM(M21:M23)</f>
        <v>0</v>
      </c>
      <c r="N24" s="2902"/>
      <c r="O24" s="2903"/>
      <c r="P24" s="2916" t="s">
        <v>2429</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2405</v>
      </c>
      <c r="L25" s="2944"/>
      <c r="M25" s="2944"/>
      <c r="N25" s="2944"/>
      <c r="O25" s="2944"/>
      <c r="P25" s="2945"/>
      <c r="Q25" s="2946">
        <v>0</v>
      </c>
      <c r="R25" s="2917">
        <f>ROUND(R14*Q25,0)</f>
        <v>0</v>
      </c>
      <c r="S25" s="2839"/>
      <c r="T25" s="2839"/>
      <c r="U25" s="2839"/>
      <c r="V25" s="2947"/>
    </row>
    <row r="26" spans="1:22" s="2948" customFormat="1" ht="13.15" customHeight="1">
      <c r="A26" s="2929">
        <v>2</v>
      </c>
      <c r="B26" s="2930" t="s">
        <v>2406</v>
      </c>
      <c r="C26" s="2931">
        <f>D7</f>
        <v>0</v>
      </c>
      <c r="D26" s="2932">
        <f>D23*D27</f>
        <v>0</v>
      </c>
      <c r="E26" s="2933">
        <f>E23*E27</f>
        <v>0</v>
      </c>
      <c r="F26" s="2934"/>
      <c r="G26" s="2935"/>
      <c r="H26" s="2846"/>
      <c r="I26" s="2847"/>
      <c r="J26" s="3795">
        <v>5</v>
      </c>
      <c r="K26" s="2949" t="s">
        <v>2407</v>
      </c>
      <c r="L26" s="2950"/>
      <c r="M26" s="2951"/>
      <c r="N26" s="2952" t="s">
        <v>2408</v>
      </c>
      <c r="O26" s="2952" t="s">
        <v>2409</v>
      </c>
      <c r="P26" s="2953" t="s">
        <v>2410</v>
      </c>
      <c r="Q26" s="2953" t="s">
        <v>2411</v>
      </c>
      <c r="R26" s="2856" t="s">
        <v>2336</v>
      </c>
      <c r="S26" s="2954"/>
      <c r="T26" s="2954"/>
      <c r="U26" s="2954"/>
      <c r="V26" s="2947"/>
    </row>
    <row r="27" spans="1:22" s="2851" customFormat="1" ht="13.15" customHeight="1">
      <c r="A27" s="2936"/>
      <c r="B27" s="2937" t="s">
        <v>2412</v>
      </c>
      <c r="C27" s="2955" t="e">
        <f>E7</f>
        <v>#DIV/0!</v>
      </c>
      <c r="D27" s="2939"/>
      <c r="E27" s="2940"/>
      <c r="F27" s="2941"/>
      <c r="G27" s="2935"/>
      <c r="H27" s="2956"/>
      <c r="I27" s="2947"/>
      <c r="J27" s="379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2413</v>
      </c>
      <c r="F28" s="2941"/>
      <c r="G28" s="2928"/>
      <c r="H28" s="2956"/>
      <c r="I28" s="2947"/>
      <c r="J28" s="2962">
        <v>6</v>
      </c>
      <c r="K28" s="2963" t="s">
        <v>2414</v>
      </c>
      <c r="L28" s="2964" t="s">
        <v>2415</v>
      </c>
      <c r="M28" s="2965"/>
      <c r="N28" s="2964" t="s">
        <v>2416</v>
      </c>
      <c r="O28" s="2966"/>
      <c r="P28" s="2964" t="s">
        <v>2417</v>
      </c>
      <c r="Q28" s="2967">
        <v>1.4999999999999999E-2</v>
      </c>
      <c r="R28" s="2968"/>
      <c r="S28" s="2920"/>
      <c r="T28" s="2920"/>
      <c r="U28" s="2920"/>
      <c r="V28" s="2947"/>
    </row>
    <row r="29" spans="1:22" s="2948" customFormat="1" ht="13.15" customHeight="1">
      <c r="A29" s="2929">
        <v>3</v>
      </c>
      <c r="B29" s="2930" t="s">
        <v>2418</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2412</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2419</v>
      </c>
      <c r="K31" s="2837"/>
      <c r="L31" s="2837"/>
      <c r="M31" s="2837"/>
      <c r="N31" s="2837"/>
      <c r="O31" s="2837"/>
      <c r="P31" s="2837"/>
      <c r="Q31" s="2837"/>
      <c r="R31" s="2838"/>
      <c r="S31" s="2920"/>
      <c r="T31" s="2839"/>
      <c r="U31" s="2839"/>
      <c r="V31" s="2947"/>
    </row>
    <row r="32" spans="1:22" s="2948" customFormat="1" ht="13.15" customHeight="1">
      <c r="A32" s="2929">
        <v>4</v>
      </c>
      <c r="B32" s="2930" t="s">
        <v>2420</v>
      </c>
      <c r="C32" s="2931">
        <f>C23-C26-C29</f>
        <v>0</v>
      </c>
      <c r="D32" s="2932">
        <f>D23-D26-D29</f>
        <v>0</v>
      </c>
      <c r="E32" s="2933">
        <f>E23-E26-E29</f>
        <v>0</v>
      </c>
      <c r="F32" s="2934"/>
      <c r="G32" s="2928"/>
      <c r="H32" s="2846"/>
      <c r="I32" s="2847"/>
      <c r="J32" s="3797" t="s">
        <v>2312</v>
      </c>
      <c r="K32" s="3798"/>
      <c r="L32" s="2848" t="s">
        <v>2313</v>
      </c>
      <c r="M32" s="2848" t="s">
        <v>2314</v>
      </c>
      <c r="N32" s="2848" t="s">
        <v>2315</v>
      </c>
      <c r="O32" s="2848" t="s">
        <v>2316</v>
      </c>
      <c r="P32" s="2848" t="s">
        <v>2317</v>
      </c>
      <c r="Q32" s="2849" t="s">
        <v>2318</v>
      </c>
      <c r="R32" s="2971" t="s">
        <v>2319</v>
      </c>
      <c r="S32" s="2920"/>
      <c r="T32" s="2839"/>
      <c r="U32" s="2839"/>
      <c r="V32" s="2947"/>
    </row>
    <row r="33" spans="1:23" s="2851" customFormat="1" ht="13.15" customHeight="1">
      <c r="A33" s="2929"/>
      <c r="B33" s="2930"/>
      <c r="C33" s="2931"/>
      <c r="D33" s="2972"/>
      <c r="E33" s="2973"/>
      <c r="F33" s="2934"/>
      <c r="G33" s="2928"/>
      <c r="H33" s="2956"/>
      <c r="I33" s="2947"/>
      <c r="J33" s="3799" t="s">
        <v>2322</v>
      </c>
      <c r="K33" s="3800"/>
      <c r="L33" s="2854"/>
      <c r="M33" s="2854"/>
      <c r="N33" s="2854"/>
      <c r="O33" s="2854"/>
      <c r="P33" s="2854"/>
      <c r="Q33" s="2855"/>
      <c r="R33" s="2974">
        <f>SUM(L33:Q33)</f>
        <v>0</v>
      </c>
      <c r="S33" s="2920"/>
      <c r="T33" s="2839"/>
      <c r="U33" s="2839"/>
      <c r="V33" s="2847"/>
    </row>
    <row r="34" spans="1:23" s="2851" customFormat="1" ht="13.15" customHeight="1">
      <c r="A34" s="2929">
        <v>5</v>
      </c>
      <c r="B34" s="2930" t="s">
        <v>2421</v>
      </c>
      <c r="C34" s="2975"/>
      <c r="D34" s="2976"/>
      <c r="E34" s="2977"/>
      <c r="F34" s="2934"/>
      <c r="G34" s="2928"/>
      <c r="H34" s="2956"/>
      <c r="I34" s="2947"/>
      <c r="J34" s="3799" t="s">
        <v>2324</v>
      </c>
      <c r="K34" s="380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2422</v>
      </c>
      <c r="C35" s="2979"/>
      <c r="D35" s="2980"/>
      <c r="E35" s="2981"/>
      <c r="F35" s="2934"/>
      <c r="G35" s="2982"/>
      <c r="H35" s="2846"/>
      <c r="I35" s="2947"/>
      <c r="J35" s="2865" t="s">
        <v>2326</v>
      </c>
      <c r="K35" s="2866"/>
      <c r="L35" s="2866"/>
      <c r="M35" s="2867"/>
      <c r="N35" s="2867"/>
      <c r="O35" s="2867"/>
      <c r="P35" s="2867"/>
      <c r="Q35" s="2867"/>
      <c r="R35" s="2983">
        <f>R40+R41+R43</f>
        <v>0</v>
      </c>
      <c r="S35" s="2920"/>
      <c r="T35" s="2839" t="s">
        <v>2327</v>
      </c>
      <c r="U35" s="2839"/>
      <c r="V35" s="2847"/>
    </row>
    <row r="36" spans="1:23" s="2851" customFormat="1" ht="13.15" customHeight="1" thickBot="1">
      <c r="A36" s="2929">
        <v>7</v>
      </c>
      <c r="B36" s="2984" t="s">
        <v>2423</v>
      </c>
      <c r="C36" s="2985"/>
      <c r="D36" s="2986"/>
      <c r="E36" s="2987"/>
      <c r="F36" s="2988">
        <f>C36+D36+E36</f>
        <v>0</v>
      </c>
      <c r="G36" s="2928"/>
      <c r="H36" s="2846"/>
      <c r="I36" s="2847"/>
      <c r="J36" s="3791">
        <v>1</v>
      </c>
      <c r="K36" s="3792" t="s">
        <v>2424</v>
      </c>
      <c r="L36" s="2872"/>
      <c r="M36" s="2873"/>
      <c r="N36" s="2873"/>
      <c r="O36" s="2873"/>
      <c r="P36" s="2873"/>
      <c r="Q36" s="2873"/>
      <c r="R36" s="2856" t="s">
        <v>2336</v>
      </c>
      <c r="S36" s="2920"/>
      <c r="T36" s="2839" t="s">
        <v>2337</v>
      </c>
      <c r="U36" s="2839"/>
      <c r="V36" s="2847"/>
    </row>
    <row r="37" spans="1:23" s="2851" customFormat="1" ht="13.15" customHeight="1">
      <c r="A37" s="2929"/>
      <c r="B37" s="2930"/>
      <c r="C37" s="2930"/>
      <c r="D37" s="2930"/>
      <c r="E37" s="2930"/>
      <c r="F37" s="2934"/>
      <c r="G37" s="2928"/>
      <c r="H37" s="2846"/>
      <c r="I37" s="2847"/>
      <c r="J37" s="3791"/>
      <c r="K37" s="3793"/>
      <c r="L37" s="2881"/>
      <c r="M37" s="2882"/>
      <c r="N37" s="2858"/>
      <c r="O37" s="2883"/>
      <c r="P37" s="2883"/>
      <c r="Q37" s="2884"/>
      <c r="R37" s="2885"/>
      <c r="S37" s="2920"/>
      <c r="T37" s="2839" t="s">
        <v>2340</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91"/>
      <c r="K38" s="3793"/>
      <c r="L38" s="2881"/>
      <c r="M38" s="2882"/>
      <c r="N38" s="2858"/>
      <c r="O38" s="2883"/>
      <c r="P38" s="2883"/>
      <c r="Q38" s="2884"/>
      <c r="R38" s="2885"/>
      <c r="S38" s="2920"/>
      <c r="T38" s="2839" t="s">
        <v>2347</v>
      </c>
      <c r="U38" s="2839"/>
      <c r="V38" s="2847"/>
    </row>
    <row r="39" spans="1:23" s="2851" customFormat="1" ht="13.15" customHeight="1">
      <c r="A39" s="2929">
        <v>9</v>
      </c>
      <c r="B39" s="2930" t="s">
        <v>2425</v>
      </c>
      <c r="C39" s="2895" t="e">
        <f>C38</f>
        <v>#DIV/0!</v>
      </c>
      <c r="D39" s="2930">
        <f>D38/(1+D34)^C36</f>
        <v>0</v>
      </c>
      <c r="E39" s="2930">
        <f>E38/(1+E34)^(C36+D36)</f>
        <v>0</v>
      </c>
      <c r="F39" s="2934"/>
      <c r="G39" s="2989"/>
      <c r="H39" s="2846"/>
      <c r="I39" s="2847"/>
      <c r="J39" s="3791"/>
      <c r="K39" s="3793"/>
      <c r="L39" s="2881"/>
      <c r="M39" s="2882"/>
      <c r="N39" s="2858"/>
      <c r="O39" s="2883"/>
      <c r="P39" s="2883"/>
      <c r="Q39" s="2884"/>
      <c r="R39" s="2885"/>
      <c r="S39" s="2920"/>
      <c r="T39" s="2839"/>
      <c r="U39" s="2839"/>
      <c r="V39" s="2847"/>
    </row>
    <row r="40" spans="1:23" s="2851" customFormat="1" ht="13.15" customHeight="1">
      <c r="A40" s="2990">
        <v>10</v>
      </c>
      <c r="B40" s="2930" t="s">
        <v>2426</v>
      </c>
      <c r="C40" s="2991" t="e">
        <f>C39+D39+E39</f>
        <v>#DIV/0!</v>
      </c>
      <c r="D40" s="2992"/>
      <c r="E40" s="2992"/>
      <c r="F40" s="2993"/>
      <c r="G40" s="2928"/>
      <c r="H40" s="2846"/>
      <c r="I40" s="2847"/>
      <c r="J40" s="3791"/>
      <c r="K40" s="3794"/>
      <c r="L40" s="2901" t="s">
        <v>2365</v>
      </c>
      <c r="M40" s="2902"/>
      <c r="N40" s="2902"/>
      <c r="O40" s="2903"/>
      <c r="P40" s="2903"/>
      <c r="Q40" s="2904"/>
      <c r="R40" s="2850">
        <f>SUM(R37:R39)</f>
        <v>0</v>
      </c>
      <c r="S40" s="2920"/>
      <c r="T40" s="2839"/>
      <c r="U40" s="2839"/>
      <c r="V40" s="2847"/>
    </row>
    <row r="41" spans="1:23" s="2851" customFormat="1" ht="13.15" customHeight="1" thickBot="1">
      <c r="A41" s="2994">
        <v>11</v>
      </c>
      <c r="B41" s="2995" t="s">
        <v>2427</v>
      </c>
      <c r="C41" s="2995" t="e">
        <f>ROUND(C40*10000/B4,0)</f>
        <v>#DIV/0!</v>
      </c>
      <c r="D41" s="2996"/>
      <c r="E41" s="2996"/>
      <c r="F41" s="2997"/>
      <c r="G41" s="2998"/>
      <c r="H41" s="2846"/>
      <c r="I41" s="2847"/>
      <c r="J41" s="2942">
        <v>2</v>
      </c>
      <c r="K41" s="2943" t="s">
        <v>2405</v>
      </c>
      <c r="L41" s="2944"/>
      <c r="M41" s="2944"/>
      <c r="N41" s="2944"/>
      <c r="O41" s="2944"/>
      <c r="P41" s="2945"/>
      <c r="Q41" s="2946"/>
      <c r="R41" s="2917">
        <f>ROUND(R40*Q41,0)</f>
        <v>0</v>
      </c>
      <c r="S41" s="2920"/>
      <c r="T41" s="2839"/>
      <c r="U41" s="2954"/>
      <c r="V41" s="2847"/>
    </row>
    <row r="42" spans="1:23" s="2851" customFormat="1" ht="13.15" customHeight="1">
      <c r="G42" s="2998"/>
      <c r="H42" s="2846"/>
      <c r="I42" s="2847"/>
      <c r="J42" s="3795">
        <v>3</v>
      </c>
      <c r="K42" s="2949" t="s">
        <v>2407</v>
      </c>
      <c r="L42" s="2950"/>
      <c r="M42" s="2951"/>
      <c r="N42" s="2952" t="s">
        <v>2408</v>
      </c>
      <c r="O42" s="2952" t="s">
        <v>2409</v>
      </c>
      <c r="P42" s="2953" t="s">
        <v>2410</v>
      </c>
      <c r="Q42" s="2953" t="s">
        <v>2411</v>
      </c>
      <c r="R42" s="2856" t="s">
        <v>2336</v>
      </c>
      <c r="S42" s="2954"/>
      <c r="T42" s="2954"/>
      <c r="U42" s="2839"/>
      <c r="V42" s="2847"/>
    </row>
    <row r="43" spans="1:23" ht="13.15" customHeight="1">
      <c r="A43" s="2851"/>
      <c r="B43" s="2851"/>
      <c r="C43" s="2851"/>
      <c r="D43" s="2851"/>
      <c r="E43" s="2851"/>
      <c r="F43" s="2851"/>
      <c r="I43" s="2834"/>
      <c r="J43" s="379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2414</v>
      </c>
      <c r="L44" s="3002" t="s">
        <v>2415</v>
      </c>
      <c r="M44" s="2965"/>
      <c r="N44" s="3002" t="s">
        <v>2416</v>
      </c>
      <c r="O44" s="2965"/>
      <c r="P44" s="3002" t="s">
        <v>2417</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5"/>
      <c r="G1" s="1489"/>
      <c r="H1" s="1489"/>
      <c r="I1" s="1489"/>
      <c r="J1" s="1489"/>
      <c r="K1" s="1489"/>
      <c r="L1" s="1489"/>
      <c r="M1" s="1489"/>
      <c r="N1" s="1489"/>
      <c r="O1" s="1489"/>
      <c r="P1" s="1489"/>
      <c r="Q1" s="1489"/>
      <c r="R1" s="1489"/>
      <c r="S1" s="1489"/>
    </row>
    <row r="2" spans="1:22" ht="15.75">
      <c r="A2" s="1870" t="s">
        <v>1460</v>
      </c>
      <c r="B2" s="1871">
        <f ca="1">SUMIF(B6:B13,"&lt;&gt;#ref!",B6:B13)</f>
        <v>1099.4549999999999</v>
      </c>
      <c r="C2" s="1872" t="s">
        <v>1649</v>
      </c>
      <c r="D2" s="1873" t="s">
        <v>1650</v>
      </c>
      <c r="E2" s="2605">
        <f>SUM(E6:E13)</f>
        <v>499.53</v>
      </c>
      <c r="F2" s="2705"/>
      <c r="G2" s="1489"/>
      <c r="H2" s="1489"/>
      <c r="I2" s="1489"/>
      <c r="J2" s="1489"/>
      <c r="K2" s="1489"/>
      <c r="L2" s="1489"/>
      <c r="M2" s="1489"/>
      <c r="N2" s="1489"/>
      <c r="O2" s="1489"/>
      <c r="P2" s="1489"/>
      <c r="Q2" s="1489"/>
      <c r="R2" s="1489"/>
      <c r="S2" s="1489"/>
    </row>
    <row r="3" spans="1:22" ht="15.75">
      <c r="A3" s="1870" t="s">
        <v>686</v>
      </c>
      <c r="B3" s="2599">
        <f ca="1">ROUND(B2*10000/E2,0)</f>
        <v>22010</v>
      </c>
      <c r="C3" s="1872" t="s">
        <v>1657</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1651</v>
      </c>
      <c r="B5" s="3810" t="s">
        <v>1652</v>
      </c>
      <c r="C5" s="3811"/>
      <c r="D5" s="2706"/>
      <c r="E5" s="1874" t="s">
        <v>1653</v>
      </c>
      <c r="F5" s="1875" t="s">
        <v>1654</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1099.4549999999999</v>
      </c>
      <c r="C6" s="1872" t="s">
        <v>1649</v>
      </c>
      <c r="D6" s="2707"/>
      <c r="E6" s="2604">
        <f>IF(OR(A6=0,F6="否"),0,'数据-取费表'!K6+'数据-取费表'!S6)</f>
        <v>499.53</v>
      </c>
      <c r="F6" s="1876" t="s">
        <v>1655</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1649</v>
      </c>
      <c r="D7" s="2707"/>
      <c r="E7" s="2604">
        <f>IF(OR(A7=0,F7="否"),0,'数据-取费表'!K7+'数据-取费表'!S7)</f>
        <v>0</v>
      </c>
      <c r="F7" s="1876" t="s">
        <v>1655</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1649</v>
      </c>
      <c r="D8" s="2707"/>
      <c r="E8" s="2604">
        <f>IF(OR(A8=0,F8="否"),0,'数据-取费表'!K8+'数据-取费表'!S8)</f>
        <v>0</v>
      </c>
      <c r="F8" s="1876" t="s">
        <v>1655</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1649</v>
      </c>
      <c r="D9" s="2707"/>
      <c r="E9" s="2604">
        <f>IF(OR(A9=0,F9="否"),0,'数据-取费表'!K9+'数据-取费表'!S9)</f>
        <v>0</v>
      </c>
      <c r="F9" s="1876" t="s">
        <v>1655</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1649</v>
      </c>
      <c r="D10" s="2707"/>
      <c r="E10" s="2604">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1649</v>
      </c>
      <c r="D11" s="2707"/>
      <c r="E11" s="2604">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1649</v>
      </c>
      <c r="D12" s="2707"/>
      <c r="E12" s="2604">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1649</v>
      </c>
      <c r="D13" s="2708"/>
      <c r="E13" s="2604">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4"/>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499.53</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1664</v>
      </c>
      <c r="B4" s="356"/>
      <c r="C4" s="3719" t="s">
        <v>1665</v>
      </c>
      <c r="D4" s="3720"/>
      <c r="E4" s="3721" t="s">
        <v>1666</v>
      </c>
      <c r="F4" s="3722"/>
      <c r="G4" s="3719" t="s">
        <v>1667</v>
      </c>
      <c r="H4" s="3720"/>
      <c r="I4" s="3719" t="s">
        <v>1668</v>
      </c>
      <c r="J4" s="3720"/>
      <c r="K4" s="1889" t="s">
        <v>1669</v>
      </c>
      <c r="L4" s="2713"/>
      <c r="M4" s="2714"/>
      <c r="N4" s="2714"/>
      <c r="O4" s="2714"/>
      <c r="P4" s="3723" t="s">
        <v>1670</v>
      </c>
      <c r="Q4" s="3724"/>
      <c r="R4" s="3729" t="s">
        <v>1666</v>
      </c>
      <c r="S4" s="3730"/>
      <c r="T4" s="3729" t="s">
        <v>1667</v>
      </c>
      <c r="U4" s="3730"/>
      <c r="V4" s="3714" t="s">
        <v>1668</v>
      </c>
      <c r="W4" s="3714"/>
      <c r="X4" s="1355"/>
      <c r="Y4" s="3729" t="s">
        <v>1670</v>
      </c>
      <c r="Z4" s="3730"/>
      <c r="AA4" s="3716" t="s">
        <v>1666</v>
      </c>
      <c r="AB4" s="3716" t="s">
        <v>1667</v>
      </c>
      <c r="AC4" s="3716" t="s">
        <v>1668</v>
      </c>
    </row>
    <row r="5" spans="1:29" ht="15">
      <c r="A5" s="358"/>
      <c r="B5" s="359"/>
      <c r="C5" s="3737" t="s">
        <v>1671</v>
      </c>
      <c r="D5" s="3738"/>
      <c r="E5" s="3743" t="s">
        <v>1672</v>
      </c>
      <c r="F5" s="3744"/>
      <c r="G5" s="3737" t="s">
        <v>1673</v>
      </c>
      <c r="H5" s="3738"/>
      <c r="I5" s="3737" t="s">
        <v>1674</v>
      </c>
      <c r="J5" s="3738"/>
      <c r="K5" s="1890"/>
      <c r="L5" s="2713"/>
      <c r="M5" s="2714"/>
      <c r="N5" s="2714"/>
      <c r="O5" s="2714"/>
      <c r="P5" s="3725"/>
      <c r="Q5" s="3726"/>
      <c r="R5" s="3731"/>
      <c r="S5" s="3732"/>
      <c r="T5" s="3731"/>
      <c r="U5" s="3732"/>
      <c r="V5" s="3714"/>
      <c r="W5" s="3714"/>
      <c r="X5" s="1355"/>
      <c r="Y5" s="3731"/>
      <c r="Z5" s="3732"/>
      <c r="AA5" s="3717"/>
      <c r="AB5" s="3717"/>
      <c r="AC5" s="3717"/>
    </row>
    <row r="6" spans="1:29" ht="15.75" thickBot="1">
      <c r="A6" s="360"/>
      <c r="B6" s="361"/>
      <c r="C6" s="3812" t="s">
        <v>1675</v>
      </c>
      <c r="D6" s="3736"/>
      <c r="E6" s="3813" t="s">
        <v>1675</v>
      </c>
      <c r="F6" s="3814"/>
      <c r="G6" s="3812" t="s">
        <v>1675</v>
      </c>
      <c r="H6" s="3736"/>
      <c r="I6" s="3812" t="s">
        <v>1675</v>
      </c>
      <c r="J6" s="3736"/>
      <c r="K6" s="1890" t="s">
        <v>1676</v>
      </c>
      <c r="L6" s="2713"/>
      <c r="M6" s="2714"/>
      <c r="N6" s="2714"/>
      <c r="O6" s="2714"/>
      <c r="P6" s="3727"/>
      <c r="Q6" s="3728"/>
      <c r="R6" s="3731"/>
      <c r="S6" s="3732"/>
      <c r="T6" s="3733"/>
      <c r="U6" s="3734"/>
      <c r="V6" s="3714"/>
      <c r="W6" s="3714"/>
      <c r="X6" s="1355"/>
      <c r="Y6" s="3733"/>
      <c r="Z6" s="3734"/>
      <c r="AA6" s="3718"/>
      <c r="AB6" s="3718"/>
      <c r="AC6" s="3718"/>
    </row>
    <row r="7" spans="1:29" s="108" customFormat="1" ht="15.75" thickBot="1">
      <c r="A7" s="362" t="s">
        <v>1677</v>
      </c>
      <c r="B7" s="363"/>
      <c r="C7" s="364">
        <f>'数据-取费表'!B2</f>
        <v>45495</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39" t="s">
        <v>1678</v>
      </c>
      <c r="Q7" s="3741"/>
      <c r="R7" s="701" t="s">
        <v>20</v>
      </c>
      <c r="S7" s="702">
        <f t="shared" ref="S7:S15" si="0">F7</f>
        <v>0</v>
      </c>
      <c r="T7" s="701" t="s">
        <v>20</v>
      </c>
      <c r="U7" s="702">
        <f t="shared" ref="U7:U15" si="1">H7</f>
        <v>0</v>
      </c>
      <c r="V7" s="701" t="s">
        <v>20</v>
      </c>
      <c r="W7" s="702">
        <f t="shared" ref="W7:W15" si="2">J7</f>
        <v>0</v>
      </c>
      <c r="X7" s="703"/>
      <c r="Y7" s="3739" t="s">
        <v>1678</v>
      </c>
      <c r="Z7" s="3740"/>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39" t="s">
        <v>1681</v>
      </c>
      <c r="Q8" s="3740"/>
      <c r="R8" s="701" t="s">
        <v>20</v>
      </c>
      <c r="S8" s="702">
        <f t="shared" si="0"/>
        <v>100</v>
      </c>
      <c r="T8" s="701" t="s">
        <v>20</v>
      </c>
      <c r="U8" s="702">
        <f t="shared" si="1"/>
        <v>100</v>
      </c>
      <c r="V8" s="701" t="s">
        <v>20</v>
      </c>
      <c r="W8" s="702">
        <f t="shared" si="2"/>
        <v>100</v>
      </c>
      <c r="X8" s="703"/>
      <c r="Y8" s="3739" t="s">
        <v>1681</v>
      </c>
      <c r="Z8" s="3740"/>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15" t="s">
        <v>1684</v>
      </c>
      <c r="Q9" s="1343" t="str">
        <f t="shared" ref="Q9:Q15" si="6">B9</f>
        <v>用途</v>
      </c>
      <c r="R9" s="701" t="s">
        <v>14</v>
      </c>
      <c r="S9" s="702">
        <f t="shared" si="0"/>
        <v>100</v>
      </c>
      <c r="T9" s="701" t="s">
        <v>14</v>
      </c>
      <c r="U9" s="702">
        <f t="shared" si="1"/>
        <v>100</v>
      </c>
      <c r="V9" s="701" t="s">
        <v>14</v>
      </c>
      <c r="W9" s="702">
        <f t="shared" si="2"/>
        <v>100</v>
      </c>
      <c r="X9" s="703"/>
      <c r="Y9" s="3599"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15"/>
      <c r="Q10" s="1343" t="str">
        <f t="shared" si="6"/>
        <v>土地使用年限（年）</v>
      </c>
      <c r="R10" s="701" t="s">
        <v>14</v>
      </c>
      <c r="S10" s="702">
        <f t="shared" si="0"/>
        <v>100</v>
      </c>
      <c r="T10" s="701" t="s">
        <v>14</v>
      </c>
      <c r="U10" s="702">
        <f t="shared" si="1"/>
        <v>100</v>
      </c>
      <c r="V10" s="701" t="s">
        <v>14</v>
      </c>
      <c r="W10" s="702">
        <f t="shared" si="2"/>
        <v>100</v>
      </c>
      <c r="X10" s="703"/>
      <c r="Y10" s="3599"/>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15"/>
      <c r="Q11" s="1343" t="str">
        <f t="shared" si="6"/>
        <v>容积率</v>
      </c>
      <c r="R11" s="701" t="s">
        <v>18</v>
      </c>
      <c r="S11" s="702" t="e">
        <f t="shared" si="0"/>
        <v>#N/A</v>
      </c>
      <c r="T11" s="701" t="s">
        <v>18</v>
      </c>
      <c r="U11" s="702" t="e">
        <f t="shared" si="1"/>
        <v>#N/A</v>
      </c>
      <c r="V11" s="701" t="s">
        <v>18</v>
      </c>
      <c r="W11" s="702" t="e">
        <f t="shared" si="2"/>
        <v>#N/A</v>
      </c>
      <c r="X11" s="703"/>
      <c r="Y11" s="359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15"/>
      <c r="Q12" s="1343">
        <f t="shared" si="6"/>
        <v>111</v>
      </c>
      <c r="R12" s="701" t="s">
        <v>18</v>
      </c>
      <c r="S12" s="702">
        <f t="shared" si="0"/>
        <v>100</v>
      </c>
      <c r="T12" s="701" t="s">
        <v>18</v>
      </c>
      <c r="U12" s="702">
        <f t="shared" si="1"/>
        <v>100</v>
      </c>
      <c r="V12" s="701" t="s">
        <v>18</v>
      </c>
      <c r="W12" s="702">
        <f t="shared" si="2"/>
        <v>100</v>
      </c>
      <c r="X12" s="703"/>
      <c r="Y12" s="359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15"/>
      <c r="Q13" s="1343">
        <f t="shared" si="6"/>
        <v>111</v>
      </c>
      <c r="R13" s="701" t="s">
        <v>18</v>
      </c>
      <c r="S13" s="702">
        <f t="shared" si="0"/>
        <v>100</v>
      </c>
      <c r="T13" s="701" t="s">
        <v>18</v>
      </c>
      <c r="U13" s="702">
        <f t="shared" si="1"/>
        <v>100</v>
      </c>
      <c r="V13" s="701" t="s">
        <v>18</v>
      </c>
      <c r="W13" s="702">
        <f t="shared" si="2"/>
        <v>100</v>
      </c>
      <c r="X13" s="703"/>
      <c r="Y13" s="359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15"/>
      <c r="Q14" s="1343">
        <f t="shared" si="6"/>
        <v>111</v>
      </c>
      <c r="R14" s="701" t="s">
        <v>18</v>
      </c>
      <c r="S14" s="702">
        <f t="shared" si="0"/>
        <v>100</v>
      </c>
      <c r="T14" s="701" t="s">
        <v>18</v>
      </c>
      <c r="U14" s="702">
        <f t="shared" si="1"/>
        <v>100</v>
      </c>
      <c r="V14" s="701" t="s">
        <v>18</v>
      </c>
      <c r="W14" s="702">
        <f t="shared" si="2"/>
        <v>100</v>
      </c>
      <c r="X14" s="703"/>
      <c r="Y14" s="3599"/>
      <c r="Z14" s="52">
        <f t="shared" si="7"/>
        <v>111</v>
      </c>
      <c r="AA14" s="704">
        <f t="shared" si="3"/>
        <v>1</v>
      </c>
      <c r="AB14" s="704">
        <f t="shared" si="4"/>
        <v>1</v>
      </c>
      <c r="AC14" s="704">
        <f t="shared" si="5"/>
        <v>1</v>
      </c>
    </row>
    <row r="15" spans="1:29" ht="15">
      <c r="A15" s="391" t="s">
        <v>1688</v>
      </c>
      <c r="B15" s="61" t="s">
        <v>1255</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5" t="s">
        <v>1689</v>
      </c>
      <c r="Q15" s="1352" t="str">
        <f t="shared" si="6"/>
        <v>居住社区成熟度</v>
      </c>
      <c r="R15" s="705" t="s">
        <v>18</v>
      </c>
      <c r="S15" s="706">
        <f t="shared" si="0"/>
        <v>100</v>
      </c>
      <c r="T15" s="705" t="s">
        <v>18</v>
      </c>
      <c r="U15" s="706">
        <f t="shared" si="1"/>
        <v>100</v>
      </c>
      <c r="V15" s="705" t="s">
        <v>18</v>
      </c>
      <c r="W15" s="706">
        <f t="shared" si="2"/>
        <v>100</v>
      </c>
      <c r="X15" s="1355"/>
      <c r="Y15" s="3707"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06"/>
      <c r="Q16" s="1352"/>
      <c r="R16" s="705"/>
      <c r="S16" s="706"/>
      <c r="T16" s="705"/>
      <c r="U16" s="706"/>
      <c r="V16" s="705"/>
      <c r="W16" s="706"/>
      <c r="X16" s="1355"/>
      <c r="Y16" s="3708"/>
      <c r="Z16" s="1356"/>
      <c r="AA16" s="1353">
        <v>1</v>
      </c>
      <c r="AB16" s="1353">
        <v>1</v>
      </c>
      <c r="AC16" s="1353">
        <v>1</v>
      </c>
    </row>
    <row r="17" spans="1:29" ht="15">
      <c r="A17" s="379"/>
      <c r="B17" s="402" t="s">
        <v>1257</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6"/>
      <c r="Q17" s="1352" t="str">
        <f>B17</f>
        <v>交通便捷度</v>
      </c>
      <c r="R17" s="705" t="s">
        <v>18</v>
      </c>
      <c r="S17" s="706">
        <f>F17</f>
        <v>100</v>
      </c>
      <c r="T17" s="705" t="s">
        <v>18</v>
      </c>
      <c r="U17" s="706">
        <f>H17</f>
        <v>100</v>
      </c>
      <c r="V17" s="705" t="s">
        <v>18</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06"/>
      <c r="Q18" s="1352"/>
      <c r="R18" s="705"/>
      <c r="S18" s="706"/>
      <c r="T18" s="705"/>
      <c r="U18" s="706"/>
      <c r="V18" s="705"/>
      <c r="W18" s="706"/>
      <c r="X18" s="1355"/>
      <c r="Y18" s="3708"/>
      <c r="Z18" s="1356"/>
      <c r="AA18" s="1353">
        <v>1</v>
      </c>
      <c r="AB18" s="1353">
        <v>1</v>
      </c>
      <c r="AC18" s="1353">
        <v>1</v>
      </c>
    </row>
    <row r="19" spans="1:29" ht="15">
      <c r="A19" s="379"/>
      <c r="B19" s="402" t="s">
        <v>1256</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6"/>
      <c r="Q19" s="1352" t="str">
        <f>B19</f>
        <v>公共配套设施</v>
      </c>
      <c r="R19" s="705" t="s">
        <v>18</v>
      </c>
      <c r="S19" s="706">
        <f>F19</f>
        <v>100</v>
      </c>
      <c r="T19" s="705" t="s">
        <v>18</v>
      </c>
      <c r="U19" s="706">
        <f>H19</f>
        <v>100</v>
      </c>
      <c r="V19" s="705" t="s">
        <v>18</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06"/>
      <c r="Q20" s="1352"/>
      <c r="R20" s="705"/>
      <c r="S20" s="706"/>
      <c r="T20" s="705"/>
      <c r="U20" s="706"/>
      <c r="V20" s="705"/>
      <c r="W20" s="706"/>
      <c r="X20" s="1355"/>
      <c r="Y20" s="3708"/>
      <c r="Z20" s="1356"/>
      <c r="AA20" s="1353">
        <v>1</v>
      </c>
      <c r="AB20" s="1353">
        <v>1</v>
      </c>
      <c r="AC20" s="1353">
        <v>1</v>
      </c>
    </row>
    <row r="21" spans="1:29" ht="15">
      <c r="A21" s="379"/>
      <c r="B21" s="1131" t="s">
        <v>1258</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6"/>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06"/>
      <c r="Q22" s="1352"/>
      <c r="R22" s="705"/>
      <c r="S22" s="706"/>
      <c r="T22" s="705"/>
      <c r="U22" s="706"/>
      <c r="V22" s="705"/>
      <c r="W22" s="706"/>
      <c r="X22" s="1355"/>
      <c r="Y22" s="3708"/>
      <c r="Z22" s="1356"/>
      <c r="AA22" s="1353">
        <v>1</v>
      </c>
      <c r="AB22" s="1353">
        <v>1</v>
      </c>
      <c r="AC22" s="1353">
        <v>1</v>
      </c>
    </row>
    <row r="23" spans="1:29" ht="15">
      <c r="A23" s="379"/>
      <c r="B23" s="402" t="s">
        <v>1259</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6"/>
      <c r="Q23" s="1352" t="str">
        <f>B23</f>
        <v>自然及人文环境</v>
      </c>
      <c r="R23" s="705" t="s">
        <v>18</v>
      </c>
      <c r="S23" s="706">
        <f>F23</f>
        <v>100</v>
      </c>
      <c r="T23" s="705" t="s">
        <v>18</v>
      </c>
      <c r="U23" s="706">
        <f>H23</f>
        <v>100</v>
      </c>
      <c r="V23" s="705" t="s">
        <v>18</v>
      </c>
      <c r="W23" s="706">
        <f>J23</f>
        <v>100</v>
      </c>
      <c r="X23" s="1355"/>
      <c r="Y23" s="370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06"/>
      <c r="Q24" s="1352"/>
      <c r="R24" s="705"/>
      <c r="S24" s="706"/>
      <c r="T24" s="705"/>
      <c r="U24" s="706"/>
      <c r="V24" s="705"/>
      <c r="W24" s="706"/>
      <c r="X24" s="1355"/>
      <c r="Y24" s="3708"/>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8"/>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06"/>
      <c r="Q26" s="1352" t="str">
        <f t="shared" si="11"/>
        <v>朝向</v>
      </c>
      <c r="R26" s="705" t="s">
        <v>18</v>
      </c>
      <c r="S26" s="706">
        <f t="shared" si="12"/>
        <v>100</v>
      </c>
      <c r="T26" s="705" t="s">
        <v>18</v>
      </c>
      <c r="U26" s="706">
        <f t="shared" si="13"/>
        <v>100</v>
      </c>
      <c r="V26" s="705" t="s">
        <v>18</v>
      </c>
      <c r="W26" s="706">
        <f t="shared" si="14"/>
        <v>100</v>
      </c>
      <c r="X26" s="1355"/>
      <c r="Y26" s="370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06"/>
      <c r="Q27" s="1343">
        <f t="shared" si="11"/>
        <v>111</v>
      </c>
      <c r="R27" s="701" t="s">
        <v>18</v>
      </c>
      <c r="S27" s="702">
        <f t="shared" si="12"/>
        <v>100</v>
      </c>
      <c r="T27" s="701" t="s">
        <v>18</v>
      </c>
      <c r="U27" s="702">
        <f t="shared" si="13"/>
        <v>100</v>
      </c>
      <c r="V27" s="701" t="s">
        <v>18</v>
      </c>
      <c r="W27" s="702">
        <f t="shared" si="14"/>
        <v>100</v>
      </c>
      <c r="X27" s="703"/>
      <c r="Y27" s="370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06"/>
      <c r="Q28" s="1352">
        <f t="shared" si="11"/>
        <v>111</v>
      </c>
      <c r="R28" s="705" t="s">
        <v>18</v>
      </c>
      <c r="S28" s="706">
        <f t="shared" si="12"/>
        <v>100</v>
      </c>
      <c r="T28" s="705" t="s">
        <v>18</v>
      </c>
      <c r="U28" s="706">
        <f t="shared" si="13"/>
        <v>100</v>
      </c>
      <c r="V28" s="705" t="s">
        <v>18</v>
      </c>
      <c r="W28" s="706">
        <f t="shared" si="14"/>
        <v>100</v>
      </c>
      <c r="X28" s="1355"/>
      <c r="Y28" s="370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06"/>
      <c r="Q29" s="1352">
        <f t="shared" si="11"/>
        <v>111</v>
      </c>
      <c r="R29" s="705" t="s">
        <v>18</v>
      </c>
      <c r="S29" s="706">
        <f t="shared" si="12"/>
        <v>100</v>
      </c>
      <c r="T29" s="705" t="s">
        <v>18</v>
      </c>
      <c r="U29" s="706">
        <f t="shared" si="13"/>
        <v>100</v>
      </c>
      <c r="V29" s="705" t="s">
        <v>18</v>
      </c>
      <c r="W29" s="706">
        <f t="shared" si="14"/>
        <v>100</v>
      </c>
      <c r="X29" s="1355"/>
      <c r="Y29" s="370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06"/>
      <c r="Q30" s="1352">
        <f t="shared" si="11"/>
        <v>111</v>
      </c>
      <c r="R30" s="705" t="s">
        <v>18</v>
      </c>
      <c r="S30" s="706">
        <f t="shared" si="12"/>
        <v>100</v>
      </c>
      <c r="T30" s="705" t="s">
        <v>18</v>
      </c>
      <c r="U30" s="706">
        <f t="shared" si="13"/>
        <v>100</v>
      </c>
      <c r="V30" s="705" t="s">
        <v>18</v>
      </c>
      <c r="W30" s="706">
        <f t="shared" si="14"/>
        <v>100</v>
      </c>
      <c r="X30" s="1355"/>
      <c r="Y30" s="370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06"/>
      <c r="Q31" s="1352">
        <f t="shared" si="11"/>
        <v>111</v>
      </c>
      <c r="R31" s="705" t="s">
        <v>18</v>
      </c>
      <c r="S31" s="706">
        <f t="shared" si="12"/>
        <v>100</v>
      </c>
      <c r="T31" s="705" t="s">
        <v>18</v>
      </c>
      <c r="U31" s="706">
        <f t="shared" si="13"/>
        <v>100</v>
      </c>
      <c r="V31" s="705" t="s">
        <v>18</v>
      </c>
      <c r="W31" s="706">
        <f t="shared" si="14"/>
        <v>100</v>
      </c>
      <c r="X31" s="1355"/>
      <c r="Y31" s="3708"/>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09" t="s">
        <v>1694</v>
      </c>
      <c r="Q32" s="1352" t="str">
        <f t="shared" si="11"/>
        <v>建筑类型</v>
      </c>
      <c r="R32" s="705" t="s">
        <v>18</v>
      </c>
      <c r="S32" s="706">
        <f t="shared" si="12"/>
        <v>100</v>
      </c>
      <c r="T32" s="705" t="s">
        <v>18</v>
      </c>
      <c r="U32" s="706">
        <f t="shared" si="13"/>
        <v>100</v>
      </c>
      <c r="V32" s="705" t="s">
        <v>18</v>
      </c>
      <c r="W32" s="706">
        <f t="shared" si="14"/>
        <v>100</v>
      </c>
      <c r="X32" s="1355"/>
      <c r="Y32" s="3712"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10"/>
      <c r="Q33" s="707" t="str">
        <f t="shared" si="11"/>
        <v>项目建筑规模</v>
      </c>
      <c r="R33" s="708" t="s">
        <v>18</v>
      </c>
      <c r="S33" s="709" t="e">
        <f t="shared" si="12"/>
        <v>#N/A</v>
      </c>
      <c r="T33" s="708" t="s">
        <v>18</v>
      </c>
      <c r="U33" s="709" t="e">
        <f t="shared" si="13"/>
        <v>#N/A</v>
      </c>
      <c r="V33" s="708" t="s">
        <v>18</v>
      </c>
      <c r="W33" s="709" t="e">
        <f t="shared" si="14"/>
        <v>#N/A</v>
      </c>
      <c r="X33" s="710"/>
      <c r="Y33" s="3712"/>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10"/>
      <c r="Q34" s="1352" t="str">
        <f t="shared" si="11"/>
        <v>建筑结构</v>
      </c>
      <c r="R34" s="705" t="s">
        <v>18</v>
      </c>
      <c r="S34" s="706">
        <f t="shared" si="12"/>
        <v>100</v>
      </c>
      <c r="T34" s="705" t="s">
        <v>18</v>
      </c>
      <c r="U34" s="706">
        <f t="shared" si="13"/>
        <v>100</v>
      </c>
      <c r="V34" s="705" t="s">
        <v>18</v>
      </c>
      <c r="W34" s="706">
        <f t="shared" si="14"/>
        <v>100</v>
      </c>
      <c r="X34" s="1355"/>
      <c r="Y34" s="3712"/>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10"/>
      <c r="Q35" s="1352" t="str">
        <f t="shared" si="11"/>
        <v>建筑品质</v>
      </c>
      <c r="R35" s="705" t="s">
        <v>18</v>
      </c>
      <c r="S35" s="706">
        <f t="shared" si="12"/>
        <v>100</v>
      </c>
      <c r="T35" s="705" t="s">
        <v>18</v>
      </c>
      <c r="U35" s="706">
        <f t="shared" si="13"/>
        <v>100</v>
      </c>
      <c r="V35" s="705" t="s">
        <v>18</v>
      </c>
      <c r="W35" s="706">
        <f t="shared" si="14"/>
        <v>100</v>
      </c>
      <c r="X35" s="1355"/>
      <c r="Y35" s="3712"/>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10"/>
      <c r="Q36" s="1352" t="str">
        <f t="shared" si="11"/>
        <v>公共部分装修</v>
      </c>
      <c r="R36" s="705" t="s">
        <v>18</v>
      </c>
      <c r="S36" s="706">
        <f t="shared" si="12"/>
        <v>100</v>
      </c>
      <c r="T36" s="705" t="s">
        <v>18</v>
      </c>
      <c r="U36" s="706">
        <f t="shared" si="13"/>
        <v>100</v>
      </c>
      <c r="V36" s="705" t="s">
        <v>18</v>
      </c>
      <c r="W36" s="706">
        <f t="shared" si="14"/>
        <v>100</v>
      </c>
      <c r="X36" s="1355"/>
      <c r="Y36" s="3712"/>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10"/>
      <c r="Q37" s="1343" t="str">
        <f t="shared" si="11"/>
        <v>成新度</v>
      </c>
      <c r="R37" s="701" t="s">
        <v>18</v>
      </c>
      <c r="S37" s="702" t="e">
        <f t="shared" si="12"/>
        <v>#N/A</v>
      </c>
      <c r="T37" s="701" t="s">
        <v>18</v>
      </c>
      <c r="U37" s="702" t="e">
        <f t="shared" si="13"/>
        <v>#N/A</v>
      </c>
      <c r="V37" s="701" t="s">
        <v>18</v>
      </c>
      <c r="W37" s="702" t="e">
        <f t="shared" si="14"/>
        <v>#N/A</v>
      </c>
      <c r="X37" s="703"/>
      <c r="Y37" s="3712"/>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10" t="s">
        <v>1694</v>
      </c>
      <c r="Q38" s="1352" t="str">
        <f t="shared" si="11"/>
        <v>物业管理</v>
      </c>
      <c r="R38" s="705" t="s">
        <v>18</v>
      </c>
      <c r="S38" s="706">
        <f t="shared" si="12"/>
        <v>100</v>
      </c>
      <c r="T38" s="705" t="s">
        <v>18</v>
      </c>
      <c r="U38" s="706">
        <f t="shared" si="13"/>
        <v>100</v>
      </c>
      <c r="V38" s="705" t="s">
        <v>18</v>
      </c>
      <c r="W38" s="706">
        <f t="shared" si="14"/>
        <v>100</v>
      </c>
      <c r="X38" s="1355"/>
      <c r="Y38" s="3712"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10"/>
      <c r="Q39" s="1352" t="str">
        <f t="shared" si="11"/>
        <v>市政基础设施</v>
      </c>
      <c r="R39" s="705" t="s">
        <v>18</v>
      </c>
      <c r="S39" s="706">
        <f t="shared" si="12"/>
        <v>100</v>
      </c>
      <c r="T39" s="705" t="s">
        <v>18</v>
      </c>
      <c r="U39" s="706">
        <f t="shared" si="13"/>
        <v>100</v>
      </c>
      <c r="V39" s="705" t="s">
        <v>18</v>
      </c>
      <c r="W39" s="706">
        <f t="shared" si="14"/>
        <v>100</v>
      </c>
      <c r="X39" s="1355"/>
      <c r="Y39" s="3712"/>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10"/>
      <c r="Q40" s="1352" t="str">
        <f t="shared" si="11"/>
        <v>房型</v>
      </c>
      <c r="R40" s="705" t="s">
        <v>18</v>
      </c>
      <c r="S40" s="706">
        <f t="shared" si="12"/>
        <v>100</v>
      </c>
      <c r="T40" s="705" t="s">
        <v>18</v>
      </c>
      <c r="U40" s="706">
        <f t="shared" si="13"/>
        <v>100</v>
      </c>
      <c r="V40" s="705" t="s">
        <v>18</v>
      </c>
      <c r="W40" s="706">
        <f t="shared" si="14"/>
        <v>100</v>
      </c>
      <c r="X40" s="1355"/>
      <c r="Y40" s="3712"/>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10"/>
      <c r="Q41" s="707" t="str">
        <f t="shared" si="11"/>
        <v>单套/主力户型建筑面积</v>
      </c>
      <c r="R41" s="708" t="s">
        <v>18</v>
      </c>
      <c r="S41" s="709">
        <f t="shared" si="12"/>
        <v>100</v>
      </c>
      <c r="T41" s="708" t="s">
        <v>18</v>
      </c>
      <c r="U41" s="709">
        <f t="shared" si="13"/>
        <v>100</v>
      </c>
      <c r="V41" s="708" t="s">
        <v>18</v>
      </c>
      <c r="W41" s="709">
        <f t="shared" si="14"/>
        <v>100</v>
      </c>
      <c r="X41" s="710"/>
      <c r="Y41" s="3712"/>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10"/>
      <c r="Q42" s="1352" t="str">
        <f t="shared" si="11"/>
        <v>内部装修</v>
      </c>
      <c r="R42" s="705" t="s">
        <v>18</v>
      </c>
      <c r="S42" s="706">
        <f t="shared" si="12"/>
        <v>100</v>
      </c>
      <c r="T42" s="705" t="s">
        <v>18</v>
      </c>
      <c r="U42" s="706">
        <f t="shared" si="13"/>
        <v>100</v>
      </c>
      <c r="V42" s="705" t="s">
        <v>18</v>
      </c>
      <c r="W42" s="706">
        <f t="shared" si="14"/>
        <v>100</v>
      </c>
      <c r="X42" s="1355"/>
      <c r="Y42" s="3712"/>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10"/>
      <c r="Q43" s="1352" t="str">
        <f t="shared" si="11"/>
        <v>内部装修维护情况</v>
      </c>
      <c r="R43" s="705" t="s">
        <v>18</v>
      </c>
      <c r="S43" s="706">
        <f t="shared" si="12"/>
        <v>100</v>
      </c>
      <c r="T43" s="705" t="s">
        <v>18</v>
      </c>
      <c r="U43" s="706">
        <f t="shared" si="13"/>
        <v>100</v>
      </c>
      <c r="V43" s="705" t="s">
        <v>18</v>
      </c>
      <c r="W43" s="706">
        <f t="shared" si="14"/>
        <v>100</v>
      </c>
      <c r="X43" s="1355"/>
      <c r="Y43" s="371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10"/>
      <c r="Q44" s="1343">
        <f t="shared" si="11"/>
        <v>111</v>
      </c>
      <c r="R44" s="701" t="s">
        <v>18</v>
      </c>
      <c r="S44" s="702">
        <f t="shared" si="12"/>
        <v>100</v>
      </c>
      <c r="T44" s="701" t="s">
        <v>18</v>
      </c>
      <c r="U44" s="702">
        <f t="shared" si="13"/>
        <v>100</v>
      </c>
      <c r="V44" s="701" t="s">
        <v>18</v>
      </c>
      <c r="W44" s="702">
        <f t="shared" si="14"/>
        <v>100</v>
      </c>
      <c r="X44" s="703"/>
      <c r="Y44" s="371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10"/>
      <c r="Q45" s="1352">
        <f t="shared" si="11"/>
        <v>111</v>
      </c>
      <c r="R45" s="705" t="s">
        <v>18</v>
      </c>
      <c r="S45" s="706">
        <f t="shared" si="12"/>
        <v>100</v>
      </c>
      <c r="T45" s="705" t="s">
        <v>18</v>
      </c>
      <c r="U45" s="706">
        <f t="shared" si="13"/>
        <v>100</v>
      </c>
      <c r="V45" s="705" t="s">
        <v>18</v>
      </c>
      <c r="W45" s="706">
        <f t="shared" si="14"/>
        <v>100</v>
      </c>
      <c r="X45" s="1355"/>
      <c r="Y45" s="371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11"/>
      <c r="Q46" s="1352">
        <f t="shared" si="11"/>
        <v>111</v>
      </c>
      <c r="R46" s="705" t="s">
        <v>17</v>
      </c>
      <c r="S46" s="706">
        <f t="shared" si="12"/>
        <v>100</v>
      </c>
      <c r="T46" s="705" t="s">
        <v>17</v>
      </c>
      <c r="U46" s="706">
        <f t="shared" si="13"/>
        <v>100</v>
      </c>
      <c r="V46" s="705" t="s">
        <v>17</v>
      </c>
      <c r="W46" s="706">
        <f t="shared" si="14"/>
        <v>100</v>
      </c>
      <c r="X46" s="1355"/>
      <c r="Y46" s="3713"/>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22"/>
      <c r="M47" s="2723"/>
      <c r="N47" s="2714"/>
      <c r="O47" s="2723"/>
      <c r="P47" s="3700" t="str">
        <f>A47</f>
        <v>成交单价（元/平方米）</v>
      </c>
      <c r="Q47" s="3700"/>
      <c r="R47" s="3701">
        <f>E47</f>
        <v>0</v>
      </c>
      <c r="S47" s="3701"/>
      <c r="T47" s="3701">
        <f>G47</f>
        <v>0</v>
      </c>
      <c r="U47" s="3701"/>
      <c r="V47" s="3701">
        <f>I47</f>
        <v>0</v>
      </c>
      <c r="W47" s="3701"/>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22"/>
      <c r="M48" s="2723"/>
      <c r="N48" s="2723"/>
      <c r="O48" s="2723"/>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22"/>
      <c r="M49" s="2723"/>
      <c r="N49" s="2723"/>
      <c r="O49" s="2723"/>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2024-7</v>
      </c>
      <c r="D58" s="1185">
        <f>EDATE(C58,-1)</f>
        <v>45444</v>
      </c>
      <c r="E58" s="1185">
        <f>EDATE(D58,-1)</f>
        <v>45413</v>
      </c>
      <c r="F58" s="1185">
        <f t="shared" ref="F58:O58" si="19">EDATE(E58,-1)</f>
        <v>45383</v>
      </c>
      <c r="G58" s="1185">
        <f t="shared" si="19"/>
        <v>45352</v>
      </c>
      <c r="H58" s="1185">
        <f t="shared" si="19"/>
        <v>45323</v>
      </c>
      <c r="I58" s="1185">
        <f t="shared" si="19"/>
        <v>45292</v>
      </c>
      <c r="J58" s="1185">
        <f t="shared" si="19"/>
        <v>45261</v>
      </c>
      <c r="K58" s="1185">
        <f t="shared" si="19"/>
        <v>45231</v>
      </c>
      <c r="L58" s="1185">
        <f t="shared" si="19"/>
        <v>45200</v>
      </c>
      <c r="M58" s="1185">
        <f t="shared" si="19"/>
        <v>45170</v>
      </c>
      <c r="N58" s="1185">
        <f t="shared" si="19"/>
        <v>45139</v>
      </c>
      <c r="O58" s="1185">
        <f t="shared" si="19"/>
        <v>45108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31"/>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499.53</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1767</v>
      </c>
      <c r="B4" s="356"/>
      <c r="C4" s="3719" t="s">
        <v>1768</v>
      </c>
      <c r="D4" s="3720"/>
      <c r="E4" s="3721" t="s">
        <v>1769</v>
      </c>
      <c r="F4" s="3722"/>
      <c r="G4" s="3719" t="s">
        <v>1770</v>
      </c>
      <c r="H4" s="3720"/>
      <c r="I4" s="3719" t="s">
        <v>1771</v>
      </c>
      <c r="J4" s="3720"/>
      <c r="K4" s="559" t="s">
        <v>1772</v>
      </c>
      <c r="L4" s="2713"/>
      <c r="M4" s="2714"/>
      <c r="N4" s="2714"/>
      <c r="O4" s="2714"/>
      <c r="P4" s="3821" t="s">
        <v>1773</v>
      </c>
      <c r="Q4" s="3822"/>
      <c r="R4" s="3825" t="s">
        <v>1769</v>
      </c>
      <c r="S4" s="3826"/>
      <c r="T4" s="3825" t="s">
        <v>1770</v>
      </c>
      <c r="U4" s="3826"/>
      <c r="V4" s="3827" t="s">
        <v>1771</v>
      </c>
      <c r="W4" s="3827"/>
      <c r="X4" s="1958"/>
      <c r="Y4" s="3825" t="s">
        <v>1773</v>
      </c>
      <c r="Z4" s="3826"/>
      <c r="AA4" s="3829" t="s">
        <v>1769</v>
      </c>
      <c r="AB4" s="3829" t="s">
        <v>1770</v>
      </c>
      <c r="AC4" s="3818" t="s">
        <v>1771</v>
      </c>
    </row>
    <row r="5" spans="1:29" ht="15">
      <c r="A5" s="358"/>
      <c r="B5" s="359"/>
      <c r="C5" s="3737" t="s">
        <v>1671</v>
      </c>
      <c r="D5" s="3738"/>
      <c r="E5" s="3743" t="s">
        <v>1672</v>
      </c>
      <c r="F5" s="3744"/>
      <c r="G5" s="3737" t="s">
        <v>1673</v>
      </c>
      <c r="H5" s="3738"/>
      <c r="I5" s="3737" t="s">
        <v>1674</v>
      </c>
      <c r="J5" s="3738"/>
      <c r="K5" s="559"/>
      <c r="L5" s="2713"/>
      <c r="M5" s="2714"/>
      <c r="N5" s="2714"/>
      <c r="O5" s="2714"/>
      <c r="P5" s="3823"/>
      <c r="Q5" s="3726"/>
      <c r="R5" s="3731"/>
      <c r="S5" s="3732"/>
      <c r="T5" s="3731"/>
      <c r="U5" s="3732"/>
      <c r="V5" s="3714"/>
      <c r="W5" s="3714"/>
      <c r="X5" s="1355"/>
      <c r="Y5" s="3731"/>
      <c r="Z5" s="3732"/>
      <c r="AA5" s="3717"/>
      <c r="AB5" s="3717"/>
      <c r="AC5" s="3819"/>
    </row>
    <row r="6" spans="1:29" ht="15.75" thickBot="1">
      <c r="A6" s="360"/>
      <c r="B6" s="361"/>
      <c r="C6" s="3812" t="s">
        <v>1675</v>
      </c>
      <c r="D6" s="3736"/>
      <c r="E6" s="3813" t="s">
        <v>1675</v>
      </c>
      <c r="F6" s="3814"/>
      <c r="G6" s="3812" t="s">
        <v>1675</v>
      </c>
      <c r="H6" s="3736"/>
      <c r="I6" s="3812" t="s">
        <v>1675</v>
      </c>
      <c r="J6" s="3736"/>
      <c r="K6" s="559" t="s">
        <v>1676</v>
      </c>
      <c r="L6" s="2713"/>
      <c r="M6" s="2714"/>
      <c r="N6" s="2714"/>
      <c r="O6" s="2714"/>
      <c r="P6" s="3824"/>
      <c r="Q6" s="3728"/>
      <c r="R6" s="3731"/>
      <c r="S6" s="3732"/>
      <c r="T6" s="3733"/>
      <c r="U6" s="3734"/>
      <c r="V6" s="3714"/>
      <c r="W6" s="3714"/>
      <c r="X6" s="1355"/>
      <c r="Y6" s="3733"/>
      <c r="Z6" s="3734"/>
      <c r="AA6" s="3718"/>
      <c r="AB6" s="3718"/>
      <c r="AC6" s="3820"/>
    </row>
    <row r="7" spans="1:29" s="108" customFormat="1" ht="15.75" thickBot="1">
      <c r="A7" s="362" t="s">
        <v>1677</v>
      </c>
      <c r="B7" s="363"/>
      <c r="C7" s="364">
        <f>'数据-取费表'!B2</f>
        <v>45495</v>
      </c>
      <c r="D7" s="365">
        <v>100</v>
      </c>
      <c r="E7" s="366"/>
      <c r="F7" s="367">
        <f>SUMIF(59:59,YEAR(E7)&amp;"-"&amp;MONTH(E7),60:60)</f>
        <v>0</v>
      </c>
      <c r="G7" s="366"/>
      <c r="H7" s="365">
        <f>SUMIF(59:59,YEAR(G7)&amp;"-"&amp;MONTH(G7),60:60)</f>
        <v>0</v>
      </c>
      <c r="I7" s="366"/>
      <c r="J7" s="365">
        <f>SUMIF(59:59,YEAR(I7)&amp;"-"&amp;MONTH(I7),60:60)</f>
        <v>0</v>
      </c>
      <c r="K7" s="560"/>
      <c r="L7" s="2715"/>
      <c r="M7" s="2716"/>
      <c r="N7" s="2716"/>
      <c r="O7" s="2716"/>
      <c r="P7" s="3828" t="s">
        <v>1678</v>
      </c>
      <c r="Q7" s="3741"/>
      <c r="R7" s="701" t="s">
        <v>14</v>
      </c>
      <c r="S7" s="702">
        <f t="shared" ref="S7:S15" si="0">F7</f>
        <v>0</v>
      </c>
      <c r="T7" s="701" t="s">
        <v>14</v>
      </c>
      <c r="U7" s="702">
        <f t="shared" ref="U7:U15" si="1">H7</f>
        <v>0</v>
      </c>
      <c r="V7" s="701" t="s">
        <v>14</v>
      </c>
      <c r="W7" s="702">
        <f t="shared" ref="W7:W15" si="2">J7</f>
        <v>0</v>
      </c>
      <c r="X7" s="703"/>
      <c r="Y7" s="3739" t="s">
        <v>1678</v>
      </c>
      <c r="Z7" s="3740"/>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828" t="s">
        <v>1681</v>
      </c>
      <c r="Q8" s="3740"/>
      <c r="R8" s="701" t="s">
        <v>14</v>
      </c>
      <c r="S8" s="702">
        <f t="shared" si="0"/>
        <v>100</v>
      </c>
      <c r="T8" s="701" t="s">
        <v>14</v>
      </c>
      <c r="U8" s="702">
        <f t="shared" si="1"/>
        <v>100</v>
      </c>
      <c r="V8" s="701" t="s">
        <v>14</v>
      </c>
      <c r="W8" s="702">
        <f t="shared" si="2"/>
        <v>100</v>
      </c>
      <c r="X8" s="703"/>
      <c r="Y8" s="3739" t="s">
        <v>1681</v>
      </c>
      <c r="Z8" s="3740"/>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15" t="s">
        <v>1684</v>
      </c>
      <c r="Q9" s="1343" t="str">
        <f t="shared" ref="Q9:Q15" si="6">B9</f>
        <v>用途</v>
      </c>
      <c r="R9" s="701" t="s">
        <v>14</v>
      </c>
      <c r="S9" s="702">
        <f t="shared" si="0"/>
        <v>100</v>
      </c>
      <c r="T9" s="701" t="s">
        <v>14</v>
      </c>
      <c r="U9" s="702">
        <f t="shared" si="1"/>
        <v>100</v>
      </c>
      <c r="V9" s="701" t="s">
        <v>14</v>
      </c>
      <c r="W9" s="702">
        <f t="shared" si="2"/>
        <v>100</v>
      </c>
      <c r="X9" s="703"/>
      <c r="Y9" s="3599" t="s">
        <v>1685</v>
      </c>
      <c r="Z9" s="52" t="str">
        <f t="shared" ref="Z9:Z15" si="7">Q9</f>
        <v>用途</v>
      </c>
      <c r="AA9" s="704">
        <f t="shared" si="3"/>
        <v>1</v>
      </c>
      <c r="AB9" s="704">
        <f t="shared" si="4"/>
        <v>1</v>
      </c>
      <c r="AC9" s="1959">
        <f t="shared" si="5"/>
        <v>1</v>
      </c>
    </row>
    <row r="10" spans="1:29" s="378" customFormat="1" ht="27">
      <c r="A10" s="374"/>
      <c r="B10" s="375" t="s">
        <v>1686</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15"/>
      <c r="Q10" s="1343" t="str">
        <f t="shared" si="6"/>
        <v>土地使用年限（年）</v>
      </c>
      <c r="R10" s="701" t="s">
        <v>14</v>
      </c>
      <c r="S10" s="702">
        <f t="shared" si="0"/>
        <v>100</v>
      </c>
      <c r="T10" s="701" t="s">
        <v>14</v>
      </c>
      <c r="U10" s="702">
        <f t="shared" si="1"/>
        <v>100</v>
      </c>
      <c r="V10" s="701" t="s">
        <v>14</v>
      </c>
      <c r="W10" s="702">
        <f t="shared" si="2"/>
        <v>100</v>
      </c>
      <c r="X10" s="703"/>
      <c r="Y10" s="3599"/>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15"/>
      <c r="Q11" s="1343" t="str">
        <f t="shared" si="6"/>
        <v>容积率</v>
      </c>
      <c r="R11" s="701" t="s">
        <v>14</v>
      </c>
      <c r="S11" s="702">
        <f t="shared" si="0"/>
        <v>100</v>
      </c>
      <c r="T11" s="701" t="s">
        <v>14</v>
      </c>
      <c r="U11" s="702">
        <f t="shared" si="1"/>
        <v>100</v>
      </c>
      <c r="V11" s="701" t="s">
        <v>14</v>
      </c>
      <c r="W11" s="702">
        <f t="shared" si="2"/>
        <v>100</v>
      </c>
      <c r="X11" s="703"/>
      <c r="Y11" s="359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15"/>
      <c r="Q12" s="1343">
        <f t="shared" si="6"/>
        <v>111</v>
      </c>
      <c r="R12" s="701" t="s">
        <v>14</v>
      </c>
      <c r="S12" s="702">
        <f t="shared" si="0"/>
        <v>100</v>
      </c>
      <c r="T12" s="701" t="s">
        <v>14</v>
      </c>
      <c r="U12" s="702">
        <f t="shared" si="1"/>
        <v>100</v>
      </c>
      <c r="V12" s="701" t="s">
        <v>14</v>
      </c>
      <c r="W12" s="702">
        <f t="shared" si="2"/>
        <v>100</v>
      </c>
      <c r="X12" s="703"/>
      <c r="Y12" s="359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15"/>
      <c r="Q13" s="1343">
        <f t="shared" si="6"/>
        <v>111</v>
      </c>
      <c r="R13" s="701" t="s">
        <v>14</v>
      </c>
      <c r="S13" s="702">
        <f t="shared" si="0"/>
        <v>100</v>
      </c>
      <c r="T13" s="701" t="s">
        <v>14</v>
      </c>
      <c r="U13" s="702">
        <f t="shared" si="1"/>
        <v>100</v>
      </c>
      <c r="V13" s="701" t="s">
        <v>14</v>
      </c>
      <c r="W13" s="702">
        <f t="shared" si="2"/>
        <v>100</v>
      </c>
      <c r="X13" s="703"/>
      <c r="Y13" s="359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15"/>
      <c r="Q14" s="1343">
        <f t="shared" si="6"/>
        <v>111</v>
      </c>
      <c r="R14" s="701" t="s">
        <v>14</v>
      </c>
      <c r="S14" s="702">
        <f t="shared" si="0"/>
        <v>100</v>
      </c>
      <c r="T14" s="701" t="s">
        <v>14</v>
      </c>
      <c r="U14" s="702">
        <f t="shared" si="1"/>
        <v>100</v>
      </c>
      <c r="V14" s="701" t="s">
        <v>14</v>
      </c>
      <c r="W14" s="702">
        <f t="shared" si="2"/>
        <v>100</v>
      </c>
      <c r="X14" s="703"/>
      <c r="Y14" s="3599"/>
      <c r="Z14" s="52">
        <f t="shared" si="7"/>
        <v>111</v>
      </c>
      <c r="AA14" s="704">
        <f t="shared" si="3"/>
        <v>1</v>
      </c>
      <c r="AB14" s="704">
        <f t="shared" si="4"/>
        <v>1</v>
      </c>
      <c r="AC14" s="1959">
        <f t="shared" si="5"/>
        <v>1</v>
      </c>
    </row>
    <row r="15" spans="1:29" ht="15">
      <c r="A15" s="391" t="s">
        <v>1688</v>
      </c>
      <c r="B15" s="577" t="s">
        <v>1809</v>
      </c>
      <c r="C15" s="1961"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5" t="s">
        <v>1689</v>
      </c>
      <c r="Q15" s="1352" t="str">
        <f t="shared" si="6"/>
        <v>办公集聚程度</v>
      </c>
      <c r="R15" s="705" t="s">
        <v>14</v>
      </c>
      <c r="S15" s="706">
        <f t="shared" si="0"/>
        <v>100</v>
      </c>
      <c r="T15" s="705" t="s">
        <v>14</v>
      </c>
      <c r="U15" s="706">
        <f t="shared" si="1"/>
        <v>100</v>
      </c>
      <c r="V15" s="705" t="s">
        <v>14</v>
      </c>
      <c r="W15" s="706">
        <f t="shared" si="2"/>
        <v>100</v>
      </c>
      <c r="X15" s="1355"/>
      <c r="Y15" s="3707"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06"/>
      <c r="Q16" s="1352"/>
      <c r="R16" s="705"/>
      <c r="S16" s="706"/>
      <c r="T16" s="705"/>
      <c r="U16" s="706"/>
      <c r="V16" s="705"/>
      <c r="W16" s="706"/>
      <c r="X16" s="1355"/>
      <c r="Y16" s="3708"/>
      <c r="Z16" s="1356"/>
      <c r="AA16" s="1353">
        <v>1</v>
      </c>
      <c r="AB16" s="1353">
        <v>1</v>
      </c>
      <c r="AC16" s="1962">
        <v>1</v>
      </c>
    </row>
    <row r="17" spans="1:29" ht="15">
      <c r="A17" s="379"/>
      <c r="B17" s="579" t="s">
        <v>1257</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6"/>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06"/>
      <c r="Q18" s="1352"/>
      <c r="R18" s="705"/>
      <c r="S18" s="706"/>
      <c r="T18" s="705"/>
      <c r="U18" s="706"/>
      <c r="V18" s="705"/>
      <c r="W18" s="706"/>
      <c r="X18" s="1355"/>
      <c r="Y18" s="3708"/>
      <c r="Z18" s="1356"/>
      <c r="AA18" s="1353">
        <v>1</v>
      </c>
      <c r="AB18" s="1353">
        <v>1</v>
      </c>
      <c r="AC18" s="1962">
        <v>1</v>
      </c>
    </row>
    <row r="19" spans="1:29" ht="15">
      <c r="A19" s="379"/>
      <c r="B19" s="579" t="s">
        <v>1810</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6"/>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06"/>
      <c r="Q20" s="1352"/>
      <c r="R20" s="705"/>
      <c r="S20" s="706"/>
      <c r="T20" s="705"/>
      <c r="U20" s="706"/>
      <c r="V20" s="705"/>
      <c r="W20" s="706"/>
      <c r="X20" s="1355"/>
      <c r="Y20" s="3708"/>
      <c r="Z20" s="1356"/>
      <c r="AA20" s="1353">
        <v>1</v>
      </c>
      <c r="AB20" s="1353">
        <v>1</v>
      </c>
      <c r="AC20" s="1962">
        <v>1</v>
      </c>
    </row>
    <row r="21" spans="1:29" ht="15">
      <c r="A21" s="379"/>
      <c r="B21" s="581" t="s">
        <v>1811</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6"/>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06"/>
      <c r="Q22" s="1352"/>
      <c r="R22" s="705"/>
      <c r="S22" s="706"/>
      <c r="T22" s="705"/>
      <c r="U22" s="706"/>
      <c r="V22" s="705"/>
      <c r="W22" s="706"/>
      <c r="X22" s="1355"/>
      <c r="Y22" s="3708"/>
      <c r="Z22" s="1356"/>
      <c r="AA22" s="1353">
        <v>1</v>
      </c>
      <c r="AB22" s="1353">
        <v>1</v>
      </c>
      <c r="AC22" s="1962">
        <v>1</v>
      </c>
    </row>
    <row r="23" spans="1:29" ht="15">
      <c r="A23" s="379"/>
      <c r="B23" s="579" t="s">
        <v>1812</v>
      </c>
      <c r="C23" s="1963"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6"/>
      <c r="Q23" s="1352" t="str">
        <f>B23</f>
        <v>环境质量</v>
      </c>
      <c r="R23" s="705" t="s">
        <v>14</v>
      </c>
      <c r="S23" s="706">
        <f>F23</f>
        <v>100</v>
      </c>
      <c r="T23" s="705" t="s">
        <v>14</v>
      </c>
      <c r="U23" s="706">
        <f>H23</f>
        <v>100</v>
      </c>
      <c r="V23" s="705" t="s">
        <v>14</v>
      </c>
      <c r="W23" s="706">
        <f>J23</f>
        <v>100</v>
      </c>
      <c r="X23" s="1355"/>
      <c r="Y23" s="370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06"/>
      <c r="Q24" s="1352"/>
      <c r="R24" s="705"/>
      <c r="S24" s="706"/>
      <c r="T24" s="705"/>
      <c r="U24" s="706"/>
      <c r="V24" s="705"/>
      <c r="W24" s="706"/>
      <c r="X24" s="1355"/>
      <c r="Y24" s="3708"/>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06"/>
      <c r="Q25" s="1352" t="str">
        <f>B25</f>
        <v>毗邻道路的类型与等级</v>
      </c>
      <c r="R25" s="705" t="s">
        <v>14</v>
      </c>
      <c r="S25" s="706">
        <f>F25</f>
        <v>100</v>
      </c>
      <c r="T25" s="705" t="s">
        <v>14</v>
      </c>
      <c r="U25" s="706">
        <f>H25</f>
        <v>100</v>
      </c>
      <c r="V25" s="705" t="s">
        <v>14</v>
      </c>
      <c r="W25" s="706">
        <f>J25</f>
        <v>100</v>
      </c>
      <c r="X25" s="1355"/>
      <c r="Y25" s="370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06"/>
      <c r="Q26" s="1352"/>
      <c r="R26" s="705"/>
      <c r="S26" s="706"/>
      <c r="T26" s="705"/>
      <c r="U26" s="706"/>
      <c r="V26" s="705"/>
      <c r="W26" s="706"/>
      <c r="X26" s="1355"/>
      <c r="Y26" s="3708"/>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6"/>
      <c r="Q27" s="1352" t="str">
        <f t="shared" ref="Q27:Q47" si="11">B27</f>
        <v>楼层</v>
      </c>
      <c r="R27" s="705" t="s">
        <v>14</v>
      </c>
      <c r="S27" s="706">
        <f>F27</f>
        <v>100</v>
      </c>
      <c r="T27" s="705" t="s">
        <v>14</v>
      </c>
      <c r="U27" s="706">
        <f>H27</f>
        <v>100</v>
      </c>
      <c r="V27" s="705" t="s">
        <v>14</v>
      </c>
      <c r="W27" s="706">
        <f>J27</f>
        <v>100</v>
      </c>
      <c r="X27" s="1355"/>
      <c r="Y27" s="3708"/>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06"/>
      <c r="Q28" s="1343" t="str">
        <f t="shared" si="11"/>
        <v>朝向</v>
      </c>
      <c r="R28" s="701" t="s">
        <v>14</v>
      </c>
      <c r="S28" s="702">
        <f>F28</f>
        <v>100</v>
      </c>
      <c r="T28" s="701" t="s">
        <v>14</v>
      </c>
      <c r="U28" s="702">
        <f>H28</f>
        <v>100</v>
      </c>
      <c r="V28" s="701" t="s">
        <v>14</v>
      </c>
      <c r="W28" s="702">
        <f>J28</f>
        <v>100</v>
      </c>
      <c r="X28" s="703"/>
      <c r="Y28" s="370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70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06"/>
      <c r="Q30" s="1352">
        <f t="shared" si="11"/>
        <v>111</v>
      </c>
      <c r="R30" s="705" t="s">
        <v>14</v>
      </c>
      <c r="S30" s="706">
        <f t="shared" si="12"/>
        <v>100</v>
      </c>
      <c r="T30" s="705" t="s">
        <v>14</v>
      </c>
      <c r="U30" s="706">
        <f t="shared" si="13"/>
        <v>100</v>
      </c>
      <c r="V30" s="705" t="s">
        <v>14</v>
      </c>
      <c r="W30" s="706">
        <f t="shared" si="14"/>
        <v>100</v>
      </c>
      <c r="X30" s="1355"/>
      <c r="Y30" s="370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06"/>
      <c r="Q31" s="1352">
        <f t="shared" si="11"/>
        <v>111</v>
      </c>
      <c r="R31" s="705" t="s">
        <v>14</v>
      </c>
      <c r="S31" s="706">
        <f t="shared" si="12"/>
        <v>100</v>
      </c>
      <c r="T31" s="705" t="s">
        <v>14</v>
      </c>
      <c r="U31" s="706">
        <f t="shared" si="13"/>
        <v>100</v>
      </c>
      <c r="V31" s="705" t="s">
        <v>14</v>
      </c>
      <c r="W31" s="706">
        <f t="shared" si="14"/>
        <v>100</v>
      </c>
      <c r="X31" s="1355"/>
      <c r="Y31" s="370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06"/>
      <c r="Q32" s="1352">
        <f t="shared" si="11"/>
        <v>111</v>
      </c>
      <c r="R32" s="705" t="s">
        <v>14</v>
      </c>
      <c r="S32" s="706">
        <f t="shared" si="12"/>
        <v>100</v>
      </c>
      <c r="T32" s="705" t="s">
        <v>14</v>
      </c>
      <c r="U32" s="706">
        <f t="shared" si="13"/>
        <v>100</v>
      </c>
      <c r="V32" s="705" t="s">
        <v>14</v>
      </c>
      <c r="W32" s="706">
        <f t="shared" si="14"/>
        <v>100</v>
      </c>
      <c r="X32" s="1355"/>
      <c r="Y32" s="3708"/>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09" t="s">
        <v>1694</v>
      </c>
      <c r="Q33" s="1352" t="str">
        <f t="shared" si="11"/>
        <v>建筑类型</v>
      </c>
      <c r="R33" s="705" t="s">
        <v>14</v>
      </c>
      <c r="S33" s="706">
        <f t="shared" si="12"/>
        <v>100</v>
      </c>
      <c r="T33" s="705" t="s">
        <v>14</v>
      </c>
      <c r="U33" s="706">
        <f t="shared" si="13"/>
        <v>100</v>
      </c>
      <c r="V33" s="705" t="s">
        <v>14</v>
      </c>
      <c r="W33" s="706">
        <f t="shared" si="14"/>
        <v>100</v>
      </c>
      <c r="X33" s="1355"/>
      <c r="Y33" s="3712"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10"/>
      <c r="Q34" s="707" t="str">
        <f t="shared" si="11"/>
        <v>项目建筑规模</v>
      </c>
      <c r="R34" s="708" t="s">
        <v>14</v>
      </c>
      <c r="S34" s="709" t="e">
        <f t="shared" si="12"/>
        <v>#N/A</v>
      </c>
      <c r="T34" s="708" t="s">
        <v>14</v>
      </c>
      <c r="U34" s="709" t="e">
        <f t="shared" si="13"/>
        <v>#N/A</v>
      </c>
      <c r="V34" s="708" t="s">
        <v>14</v>
      </c>
      <c r="W34" s="709" t="e">
        <f t="shared" si="14"/>
        <v>#N/A</v>
      </c>
      <c r="X34" s="710"/>
      <c r="Y34" s="3712"/>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10"/>
      <c r="Q35" s="1352" t="str">
        <f t="shared" si="11"/>
        <v>建筑结构</v>
      </c>
      <c r="R35" s="705" t="s">
        <v>14</v>
      </c>
      <c r="S35" s="706">
        <f t="shared" si="12"/>
        <v>100</v>
      </c>
      <c r="T35" s="705" t="s">
        <v>14</v>
      </c>
      <c r="U35" s="706">
        <f t="shared" si="13"/>
        <v>100</v>
      </c>
      <c r="V35" s="705" t="s">
        <v>14</v>
      </c>
      <c r="W35" s="706">
        <f t="shared" si="14"/>
        <v>100</v>
      </c>
      <c r="X35" s="1355"/>
      <c r="Y35" s="3712"/>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10"/>
      <c r="Q36" s="1352" t="str">
        <f t="shared" si="11"/>
        <v>公共部分装修</v>
      </c>
      <c r="R36" s="705" t="s">
        <v>14</v>
      </c>
      <c r="S36" s="706">
        <f t="shared" si="12"/>
        <v>100</v>
      </c>
      <c r="T36" s="705" t="s">
        <v>14</v>
      </c>
      <c r="U36" s="706">
        <f t="shared" si="13"/>
        <v>100</v>
      </c>
      <c r="V36" s="705" t="s">
        <v>14</v>
      </c>
      <c r="W36" s="706">
        <f t="shared" si="14"/>
        <v>100</v>
      </c>
      <c r="X36" s="1355"/>
      <c r="Y36" s="3712"/>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10"/>
      <c r="Q37" s="1352" t="str">
        <f t="shared" si="11"/>
        <v>成新度</v>
      </c>
      <c r="R37" s="705" t="s">
        <v>14</v>
      </c>
      <c r="S37" s="706" t="e">
        <f t="shared" si="12"/>
        <v>#N/A</v>
      </c>
      <c r="T37" s="705" t="s">
        <v>14</v>
      </c>
      <c r="U37" s="706" t="e">
        <f t="shared" si="13"/>
        <v>#N/A</v>
      </c>
      <c r="V37" s="705" t="s">
        <v>14</v>
      </c>
      <c r="W37" s="706" t="e">
        <f t="shared" si="14"/>
        <v>#N/A</v>
      </c>
      <c r="X37" s="1355"/>
      <c r="Y37" s="3712"/>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10"/>
      <c r="Q38" s="1343" t="str">
        <f t="shared" si="11"/>
        <v>写字楼等级</v>
      </c>
      <c r="R38" s="701" t="s">
        <v>14</v>
      </c>
      <c r="S38" s="702">
        <f t="shared" si="12"/>
        <v>100</v>
      </c>
      <c r="T38" s="701" t="s">
        <v>14</v>
      </c>
      <c r="U38" s="702">
        <f t="shared" si="13"/>
        <v>100</v>
      </c>
      <c r="V38" s="701" t="s">
        <v>14</v>
      </c>
      <c r="W38" s="702">
        <f t="shared" si="14"/>
        <v>100</v>
      </c>
      <c r="X38" s="703"/>
      <c r="Y38" s="3712"/>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10" t="s">
        <v>1694</v>
      </c>
      <c r="Q39" s="1352" t="str">
        <f t="shared" si="11"/>
        <v>物业管理</v>
      </c>
      <c r="R39" s="705" t="s">
        <v>14</v>
      </c>
      <c r="S39" s="706">
        <f t="shared" si="12"/>
        <v>100</v>
      </c>
      <c r="T39" s="705" t="s">
        <v>14</v>
      </c>
      <c r="U39" s="706">
        <f t="shared" si="13"/>
        <v>100</v>
      </c>
      <c r="V39" s="705" t="s">
        <v>14</v>
      </c>
      <c r="W39" s="706">
        <f t="shared" si="14"/>
        <v>100</v>
      </c>
      <c r="X39" s="1355"/>
      <c r="Y39" s="3712"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10"/>
      <c r="Q40" s="1352" t="str">
        <f t="shared" si="11"/>
        <v>市政基础设施</v>
      </c>
      <c r="R40" s="705" t="s">
        <v>14</v>
      </c>
      <c r="S40" s="706">
        <f t="shared" si="12"/>
        <v>100</v>
      </c>
      <c r="T40" s="705" t="s">
        <v>14</v>
      </c>
      <c r="U40" s="706">
        <f t="shared" si="13"/>
        <v>100</v>
      </c>
      <c r="V40" s="705" t="s">
        <v>14</v>
      </c>
      <c r="W40" s="706">
        <f t="shared" si="14"/>
        <v>100</v>
      </c>
      <c r="X40" s="1355"/>
      <c r="Y40" s="3712"/>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10"/>
      <c r="Q41" s="1352" t="str">
        <f t="shared" si="11"/>
        <v>层高</v>
      </c>
      <c r="R41" s="705" t="s">
        <v>14</v>
      </c>
      <c r="S41" s="706">
        <f t="shared" si="12"/>
        <v>100</v>
      </c>
      <c r="T41" s="705" t="s">
        <v>14</v>
      </c>
      <c r="U41" s="706">
        <f t="shared" si="13"/>
        <v>100</v>
      </c>
      <c r="V41" s="705" t="s">
        <v>14</v>
      </c>
      <c r="W41" s="706">
        <f t="shared" si="14"/>
        <v>100</v>
      </c>
      <c r="X41" s="1355"/>
      <c r="Y41" s="3712"/>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0"/>
      <c r="Q42" s="707" t="str">
        <f t="shared" si="11"/>
        <v>单套建筑面积</v>
      </c>
      <c r="R42" s="708" t="s">
        <v>14</v>
      </c>
      <c r="S42" s="709">
        <f t="shared" si="12"/>
        <v>100</v>
      </c>
      <c r="T42" s="708" t="s">
        <v>14</v>
      </c>
      <c r="U42" s="709">
        <f t="shared" si="13"/>
        <v>100</v>
      </c>
      <c r="V42" s="708" t="s">
        <v>14</v>
      </c>
      <c r="W42" s="709">
        <f t="shared" si="14"/>
        <v>100</v>
      </c>
      <c r="X42" s="710"/>
      <c r="Y42" s="3712"/>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10"/>
      <c r="Q43" s="1352" t="str">
        <f t="shared" si="11"/>
        <v>内部装修</v>
      </c>
      <c r="R43" s="705" t="s">
        <v>14</v>
      </c>
      <c r="S43" s="706">
        <f t="shared" si="12"/>
        <v>100</v>
      </c>
      <c r="T43" s="705" t="s">
        <v>14</v>
      </c>
      <c r="U43" s="706">
        <f t="shared" si="13"/>
        <v>100</v>
      </c>
      <c r="V43" s="705" t="s">
        <v>14</v>
      </c>
      <c r="W43" s="706">
        <f t="shared" si="14"/>
        <v>100</v>
      </c>
      <c r="X43" s="1355"/>
      <c r="Y43" s="3712"/>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10"/>
      <c r="Q44" s="1352" t="str">
        <f t="shared" si="11"/>
        <v>内部装修维护情况</v>
      </c>
      <c r="R44" s="705" t="s">
        <v>14</v>
      </c>
      <c r="S44" s="706">
        <f t="shared" si="12"/>
        <v>100</v>
      </c>
      <c r="T44" s="705" t="s">
        <v>14</v>
      </c>
      <c r="U44" s="706">
        <f t="shared" si="13"/>
        <v>100</v>
      </c>
      <c r="V44" s="705" t="s">
        <v>14</v>
      </c>
      <c r="W44" s="706">
        <f t="shared" si="14"/>
        <v>100</v>
      </c>
      <c r="X44" s="1355"/>
      <c r="Y44" s="371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0"/>
      <c r="Q45" s="1343">
        <f t="shared" si="11"/>
        <v>111</v>
      </c>
      <c r="R45" s="701" t="s">
        <v>14</v>
      </c>
      <c r="S45" s="702">
        <f t="shared" si="12"/>
        <v>100</v>
      </c>
      <c r="T45" s="701" t="s">
        <v>14</v>
      </c>
      <c r="U45" s="702">
        <f t="shared" si="13"/>
        <v>100</v>
      </c>
      <c r="V45" s="701" t="s">
        <v>14</v>
      </c>
      <c r="W45" s="702">
        <f t="shared" si="14"/>
        <v>100</v>
      </c>
      <c r="X45" s="703"/>
      <c r="Y45" s="371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0"/>
      <c r="Q46" s="1352">
        <f t="shared" si="11"/>
        <v>111</v>
      </c>
      <c r="R46" s="705" t="s">
        <v>14</v>
      </c>
      <c r="S46" s="706">
        <f t="shared" si="12"/>
        <v>100</v>
      </c>
      <c r="T46" s="705" t="s">
        <v>14</v>
      </c>
      <c r="U46" s="706">
        <f t="shared" si="13"/>
        <v>100</v>
      </c>
      <c r="V46" s="705" t="s">
        <v>14</v>
      </c>
      <c r="W46" s="706">
        <f t="shared" si="14"/>
        <v>100</v>
      </c>
      <c r="X46" s="1355"/>
      <c r="Y46" s="371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1"/>
      <c r="Q47" s="1352">
        <f t="shared" si="11"/>
        <v>111</v>
      </c>
      <c r="R47" s="705" t="s">
        <v>14</v>
      </c>
      <c r="S47" s="706">
        <f t="shared" si="12"/>
        <v>100</v>
      </c>
      <c r="T47" s="705" t="s">
        <v>14</v>
      </c>
      <c r="U47" s="706">
        <f t="shared" si="13"/>
        <v>100</v>
      </c>
      <c r="V47" s="705" t="s">
        <v>14</v>
      </c>
      <c r="W47" s="706">
        <f t="shared" si="14"/>
        <v>100</v>
      </c>
      <c r="X47" s="1355"/>
      <c r="Y47" s="3713"/>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22"/>
      <c r="M48" s="2714"/>
      <c r="N48" s="2714"/>
      <c r="O48" s="2714"/>
      <c r="P48" s="3715" t="str">
        <f>A48</f>
        <v>成交单价（元/平方米）</v>
      </c>
      <c r="Q48" s="3700"/>
      <c r="R48" s="3701">
        <f>E48</f>
        <v>0</v>
      </c>
      <c r="S48" s="3701"/>
      <c r="T48" s="3701">
        <f>G48</f>
        <v>0</v>
      </c>
      <c r="U48" s="3701"/>
      <c r="V48" s="3701">
        <f>I48</f>
        <v>0</v>
      </c>
      <c r="W48" s="3701"/>
      <c r="X48" s="397"/>
      <c r="Y48" s="712"/>
      <c r="Z48" s="397"/>
      <c r="AA48" s="397"/>
      <c r="AB48" s="397"/>
      <c r="AC48" s="578"/>
    </row>
    <row r="49" spans="1:29" ht="15.75" thickBot="1">
      <c r="A49" s="437" t="s">
        <v>1791</v>
      </c>
      <c r="B49" s="438"/>
      <c r="C49" s="1160" t="e">
        <f>R50</f>
        <v>#DIV/0!</v>
      </c>
      <c r="D49" s="2317" t="s">
        <v>2136</v>
      </c>
      <c r="E49" s="1161" t="e">
        <f>R49</f>
        <v>#DIV/0!</v>
      </c>
      <c r="F49" s="2318"/>
      <c r="G49" s="1160" t="e">
        <f>T49</f>
        <v>#DIV/0!</v>
      </c>
      <c r="H49" s="2318"/>
      <c r="I49" s="1161" t="e">
        <f>V49</f>
        <v>#DIV/0!</v>
      </c>
      <c r="J49" s="2318"/>
      <c r="K49" s="2320">
        <f>F49+H49+J49</f>
        <v>0</v>
      </c>
      <c r="L49" s="2722"/>
      <c r="M49" s="2714"/>
      <c r="N49" s="2714"/>
      <c r="O49" s="2714"/>
      <c r="P49" s="3715" t="str">
        <f>A49</f>
        <v>比较价值（元/平方米）</v>
      </c>
      <c r="Q49" s="3700"/>
      <c r="R49" s="3701" t="e">
        <f>IF(F1="售价",ROUND(PRODUCT(R48,AA7:AA47),0),ROUND(PRODUCT(R48,AA7:AA47),1))</f>
        <v>#DIV/0!</v>
      </c>
      <c r="S49" s="3701"/>
      <c r="T49" s="3701" t="e">
        <f>IF(F1="售价",ROUND(PRODUCT(T48,AB7:AB47),0),ROUND(PRODUCT(T48,AB7:AB47),1))</f>
        <v>#DIV/0!</v>
      </c>
      <c r="U49" s="3701"/>
      <c r="V49" s="3701" t="e">
        <f>IF(F1="售价",ROUND(PRODUCT(V48,AC7:AC47),0),ROUND(PRODUCT(V48,AC7:AC47),1))</f>
        <v>#DIV/0!</v>
      </c>
      <c r="W49" s="3701"/>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22"/>
      <c r="M50" s="2714"/>
      <c r="N50" s="2714"/>
      <c r="O50" s="2714"/>
      <c r="P50" s="3815" t="str">
        <f>A50</f>
        <v>估价对象XX用房的比较价值（楼面单价，元/平方米）</v>
      </c>
      <c r="Q50" s="3816"/>
      <c r="R50" s="3817" t="e">
        <f>IF(F1="售价",ROUND(IF(D49="简单平均",AVERAGE(R49:V49),R49*F49+T49*H49+V49*J49),0),ROUND(IF(D49="简单平均",AVERAGE(R49:V49),R49*F49+T49*H49+V49*J49),1))</f>
        <v>#DIV/0!</v>
      </c>
      <c r="S50" s="3817"/>
      <c r="T50" s="3817"/>
      <c r="U50" s="3817"/>
      <c r="V50" s="3817"/>
      <c r="W50" s="3817"/>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1796</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1677</v>
      </c>
      <c r="B59" s="455"/>
      <c r="C59" s="1184" t="str">
        <f>YEAR(C7)&amp;"-"&amp;MONTH(C7)</f>
        <v>2024-7</v>
      </c>
      <c r="D59" s="1185">
        <f>EDATE(C59,-1)</f>
        <v>45444</v>
      </c>
      <c r="E59" s="1185">
        <f>EDATE(D59,-1)</f>
        <v>45413</v>
      </c>
      <c r="F59" s="1185">
        <f t="shared" ref="F59:O59" si="16">EDATE(E59,-1)</f>
        <v>45383</v>
      </c>
      <c r="G59" s="1185">
        <f t="shared" si="16"/>
        <v>45352</v>
      </c>
      <c r="H59" s="1185">
        <f t="shared" si="16"/>
        <v>45323</v>
      </c>
      <c r="I59" s="1185">
        <f t="shared" si="16"/>
        <v>45292</v>
      </c>
      <c r="J59" s="1185">
        <f t="shared" si="16"/>
        <v>45261</v>
      </c>
      <c r="K59" s="1185">
        <f t="shared" si="16"/>
        <v>45231</v>
      </c>
      <c r="L59" s="1185">
        <f t="shared" si="16"/>
        <v>45200</v>
      </c>
      <c r="M59" s="1185">
        <f t="shared" si="16"/>
        <v>45170</v>
      </c>
      <c r="N59" s="1185">
        <f t="shared" si="16"/>
        <v>45139</v>
      </c>
      <c r="O59" s="1185">
        <f t="shared" si="16"/>
        <v>45108</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1714</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1679</v>
      </c>
      <c r="B62" s="459"/>
      <c r="C62" s="471" t="s">
        <v>1774</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1717</v>
      </c>
      <c r="B64" s="477" t="s">
        <v>1683</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1686</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1688</v>
      </c>
      <c r="B77" s="477" t="s">
        <v>1819</v>
      </c>
      <c r="C77" s="522" t="s">
        <v>1719</v>
      </c>
      <c r="D77" s="522" t="s">
        <v>1720</v>
      </c>
      <c r="E77" s="522" t="s">
        <v>1721</v>
      </c>
      <c r="F77" s="522" t="s">
        <v>1722</v>
      </c>
      <c r="G77" s="522" t="s">
        <v>1723</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1724</v>
      </c>
      <c r="C79" s="527" t="s">
        <v>1719</v>
      </c>
      <c r="D79" s="527" t="s">
        <v>1720</v>
      </c>
      <c r="E79" s="527" t="s">
        <v>1721</v>
      </c>
      <c r="F79" s="527" t="s">
        <v>1722</v>
      </c>
      <c r="G79" s="527" t="s">
        <v>1723</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1725</v>
      </c>
      <c r="C81" s="527" t="s">
        <v>1719</v>
      </c>
      <c r="D81" s="527" t="s">
        <v>1720</v>
      </c>
      <c r="E81" s="527" t="s">
        <v>1721</v>
      </c>
      <c r="F81" s="527" t="s">
        <v>1722</v>
      </c>
      <c r="G81" s="527" t="s">
        <v>1723</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1811</v>
      </c>
      <c r="C83" s="608" t="s">
        <v>1797</v>
      </c>
      <c r="D83" s="608" t="s">
        <v>1798</v>
      </c>
      <c r="E83" s="608" t="s">
        <v>1799</v>
      </c>
      <c r="F83" s="608" t="s">
        <v>1800</v>
      </c>
      <c r="G83" s="608" t="s">
        <v>1801</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1820</v>
      </c>
      <c r="C85" s="527" t="s">
        <v>1719</v>
      </c>
      <c r="D85" s="527" t="s">
        <v>1720</v>
      </c>
      <c r="E85" s="527" t="s">
        <v>1721</v>
      </c>
      <c r="F85" s="527" t="s">
        <v>1722</v>
      </c>
      <c r="G85" s="527" t="s">
        <v>1723</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1821</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1692</v>
      </c>
      <c r="B101" s="477" t="s">
        <v>1734</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1736</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1738</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1822</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1739</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1740</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1823</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1806</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1742</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31"/>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499.53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719" t="s">
        <v>1768</v>
      </c>
      <c r="D4" s="3720"/>
      <c r="E4" s="3721" t="s">
        <v>1769</v>
      </c>
      <c r="F4" s="3722"/>
      <c r="G4" s="3719" t="s">
        <v>1770</v>
      </c>
      <c r="H4" s="3720"/>
      <c r="I4" s="3719" t="s">
        <v>1771</v>
      </c>
      <c r="J4" s="3720"/>
      <c r="K4" s="559" t="s">
        <v>1772</v>
      </c>
      <c r="L4" s="913"/>
      <c r="M4" s="914"/>
      <c r="N4" s="914"/>
      <c r="O4" s="914"/>
      <c r="P4" s="3723" t="s">
        <v>1773</v>
      </c>
      <c r="Q4" s="3724"/>
      <c r="R4" s="3729" t="s">
        <v>1769</v>
      </c>
      <c r="S4" s="3730"/>
      <c r="T4" s="3729" t="s">
        <v>1770</v>
      </c>
      <c r="U4" s="3730"/>
      <c r="V4" s="3714" t="s">
        <v>1771</v>
      </c>
      <c r="W4" s="3714"/>
      <c r="X4" s="1355"/>
      <c r="Y4" s="3729" t="s">
        <v>1773</v>
      </c>
      <c r="Z4" s="3730"/>
      <c r="AA4" s="3716" t="s">
        <v>1769</v>
      </c>
      <c r="AB4" s="3717" t="s">
        <v>1770</v>
      </c>
      <c r="AC4" s="3716" t="s">
        <v>1771</v>
      </c>
    </row>
    <row r="5" spans="1:29" ht="15">
      <c r="A5" s="358"/>
      <c r="B5" s="359"/>
      <c r="C5" s="3737" t="s">
        <v>1671</v>
      </c>
      <c r="D5" s="3738"/>
      <c r="E5" s="3743" t="s">
        <v>1672</v>
      </c>
      <c r="F5" s="3744"/>
      <c r="G5" s="3737" t="s">
        <v>1673</v>
      </c>
      <c r="H5" s="3738"/>
      <c r="I5" s="3737" t="s">
        <v>1674</v>
      </c>
      <c r="J5" s="3738"/>
      <c r="K5" s="559"/>
      <c r="L5" s="913"/>
      <c r="M5" s="914"/>
      <c r="N5" s="914"/>
      <c r="O5" s="914"/>
      <c r="P5" s="3725"/>
      <c r="Q5" s="3726"/>
      <c r="R5" s="3731"/>
      <c r="S5" s="3732"/>
      <c r="T5" s="3731"/>
      <c r="U5" s="3732"/>
      <c r="V5" s="3714"/>
      <c r="W5" s="3714"/>
      <c r="X5" s="1355"/>
      <c r="Y5" s="3731"/>
      <c r="Z5" s="3732"/>
      <c r="AA5" s="3717"/>
      <c r="AB5" s="3717"/>
      <c r="AC5" s="3717"/>
    </row>
    <row r="6" spans="1:29" ht="15.75" thickBot="1">
      <c r="A6" s="360"/>
      <c r="B6" s="361"/>
      <c r="C6" s="3812" t="s">
        <v>1675</v>
      </c>
      <c r="D6" s="3736"/>
      <c r="E6" s="3813" t="s">
        <v>1675</v>
      </c>
      <c r="F6" s="3814"/>
      <c r="G6" s="3812" t="s">
        <v>1675</v>
      </c>
      <c r="H6" s="3736"/>
      <c r="I6" s="3812" t="s">
        <v>1675</v>
      </c>
      <c r="J6" s="3736"/>
      <c r="K6" s="559" t="s">
        <v>1676</v>
      </c>
      <c r="L6" s="913"/>
      <c r="M6" s="914"/>
      <c r="N6" s="914"/>
      <c r="O6" s="914"/>
      <c r="P6" s="3727"/>
      <c r="Q6" s="3728"/>
      <c r="R6" s="3731"/>
      <c r="S6" s="3732"/>
      <c r="T6" s="3733"/>
      <c r="U6" s="3734"/>
      <c r="V6" s="3714"/>
      <c r="W6" s="3714"/>
      <c r="X6" s="1355"/>
      <c r="Y6" s="3733"/>
      <c r="Z6" s="3734"/>
      <c r="AA6" s="3718"/>
      <c r="AB6" s="3718"/>
      <c r="AC6" s="3718"/>
    </row>
    <row r="7" spans="1:29" s="108" customFormat="1" ht="15.75" thickBot="1">
      <c r="A7" s="362" t="s">
        <v>1677</v>
      </c>
      <c r="B7" s="363"/>
      <c r="C7" s="364">
        <f>'数据-取费表'!B2</f>
        <v>45495</v>
      </c>
      <c r="D7" s="365">
        <v>100</v>
      </c>
      <c r="E7" s="366"/>
      <c r="F7" s="367">
        <f>SUMIF(52:52,YEAR(E7)&amp;"-"&amp;MONTH(E7),53:53)</f>
        <v>0</v>
      </c>
      <c r="G7" s="366"/>
      <c r="H7" s="365">
        <f>SUMIF(52:52,YEAR(G7)&amp;"-"&amp;MONTH(G7),53:53)</f>
        <v>0</v>
      </c>
      <c r="I7" s="366"/>
      <c r="J7" s="365">
        <f>SUMIF(52:52,YEAR(I7)&amp;"-"&amp;MONTH(I7),53:53)</f>
        <v>0</v>
      </c>
      <c r="K7" s="560"/>
      <c r="L7" s="915"/>
      <c r="M7" s="916"/>
      <c r="N7" s="916"/>
      <c r="O7" s="916"/>
      <c r="P7" s="3739" t="s">
        <v>1678</v>
      </c>
      <c r="Q7" s="3741"/>
      <c r="R7" s="701" t="s">
        <v>14</v>
      </c>
      <c r="S7" s="702">
        <f t="shared" ref="S7:S15" si="0">F7</f>
        <v>0</v>
      </c>
      <c r="T7" s="701" t="s">
        <v>14</v>
      </c>
      <c r="U7" s="702">
        <f t="shared" ref="U7:U15" si="1">H7</f>
        <v>0</v>
      </c>
      <c r="V7" s="701" t="s">
        <v>14</v>
      </c>
      <c r="W7" s="702">
        <f t="shared" ref="W7:W15" si="2">J7</f>
        <v>0</v>
      </c>
      <c r="X7" s="703"/>
      <c r="Y7" s="3739" t="s">
        <v>1678</v>
      </c>
      <c r="Z7" s="3740"/>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9" t="s">
        <v>1681</v>
      </c>
      <c r="Q8" s="3740"/>
      <c r="R8" s="701" t="s">
        <v>14</v>
      </c>
      <c r="S8" s="702">
        <f t="shared" si="0"/>
        <v>100</v>
      </c>
      <c r="T8" s="701" t="s">
        <v>14</v>
      </c>
      <c r="U8" s="702">
        <f t="shared" si="1"/>
        <v>100</v>
      </c>
      <c r="V8" s="701" t="s">
        <v>14</v>
      </c>
      <c r="W8" s="702">
        <f t="shared" si="2"/>
        <v>100</v>
      </c>
      <c r="X8" s="703"/>
      <c r="Y8" s="3739" t="s">
        <v>1681</v>
      </c>
      <c r="Z8" s="3740"/>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0" t="s">
        <v>1684</v>
      </c>
      <c r="Q9" s="1343" t="str">
        <f t="shared" ref="Q9:Q15" si="6">B9</f>
        <v>用途</v>
      </c>
      <c r="R9" s="701" t="s">
        <v>14</v>
      </c>
      <c r="S9" s="702">
        <f t="shared" si="0"/>
        <v>100</v>
      </c>
      <c r="T9" s="701" t="s">
        <v>14</v>
      </c>
      <c r="U9" s="702">
        <f t="shared" si="1"/>
        <v>100</v>
      </c>
      <c r="V9" s="701" t="s">
        <v>14</v>
      </c>
      <c r="W9" s="702">
        <f t="shared" si="2"/>
        <v>100</v>
      </c>
      <c r="X9" s="703"/>
      <c r="Y9" s="3599"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00"/>
      <c r="Q10" s="1343" t="str">
        <f t="shared" si="6"/>
        <v>土地使用年限（年）</v>
      </c>
      <c r="R10" s="701" t="s">
        <v>14</v>
      </c>
      <c r="S10" s="702">
        <f t="shared" si="0"/>
        <v>100</v>
      </c>
      <c r="T10" s="701" t="s">
        <v>14</v>
      </c>
      <c r="U10" s="702">
        <f t="shared" si="1"/>
        <v>100</v>
      </c>
      <c r="V10" s="701" t="s">
        <v>14</v>
      </c>
      <c r="W10" s="702">
        <f t="shared" si="2"/>
        <v>100</v>
      </c>
      <c r="X10" s="703"/>
      <c r="Y10" s="3599"/>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0"/>
      <c r="Q11" s="1343" t="str">
        <f t="shared" si="6"/>
        <v>容积率</v>
      </c>
      <c r="R11" s="701" t="s">
        <v>14</v>
      </c>
      <c r="S11" s="702">
        <f t="shared" si="0"/>
        <v>100</v>
      </c>
      <c r="T11" s="701" t="s">
        <v>14</v>
      </c>
      <c r="U11" s="702">
        <f t="shared" si="1"/>
        <v>100</v>
      </c>
      <c r="V11" s="701" t="s">
        <v>14</v>
      </c>
      <c r="W11" s="702">
        <f t="shared" si="2"/>
        <v>100</v>
      </c>
      <c r="X11" s="703"/>
      <c r="Y11" s="359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0"/>
      <c r="Q12" s="1343">
        <f t="shared" si="6"/>
        <v>111</v>
      </c>
      <c r="R12" s="701" t="s">
        <v>14</v>
      </c>
      <c r="S12" s="702">
        <f t="shared" si="0"/>
        <v>100</v>
      </c>
      <c r="T12" s="701" t="s">
        <v>14</v>
      </c>
      <c r="U12" s="702">
        <f t="shared" si="1"/>
        <v>100</v>
      </c>
      <c r="V12" s="701" t="s">
        <v>14</v>
      </c>
      <c r="W12" s="702">
        <f t="shared" si="2"/>
        <v>100</v>
      </c>
      <c r="X12" s="703"/>
      <c r="Y12" s="359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0"/>
      <c r="Q13" s="1343">
        <f t="shared" si="6"/>
        <v>111</v>
      </c>
      <c r="R13" s="701" t="s">
        <v>14</v>
      </c>
      <c r="S13" s="702">
        <f t="shared" si="0"/>
        <v>100</v>
      </c>
      <c r="T13" s="701" t="s">
        <v>14</v>
      </c>
      <c r="U13" s="702">
        <f t="shared" si="1"/>
        <v>100</v>
      </c>
      <c r="V13" s="701" t="s">
        <v>14</v>
      </c>
      <c r="W13" s="702">
        <f t="shared" si="2"/>
        <v>100</v>
      </c>
      <c r="X13" s="703"/>
      <c r="Y13" s="359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0"/>
      <c r="Q14" s="1343">
        <f t="shared" si="6"/>
        <v>111</v>
      </c>
      <c r="R14" s="701" t="s">
        <v>14</v>
      </c>
      <c r="S14" s="702">
        <f t="shared" si="0"/>
        <v>100</v>
      </c>
      <c r="T14" s="701" t="s">
        <v>14</v>
      </c>
      <c r="U14" s="702">
        <f t="shared" si="1"/>
        <v>100</v>
      </c>
      <c r="V14" s="701" t="s">
        <v>14</v>
      </c>
      <c r="W14" s="702">
        <f t="shared" si="2"/>
        <v>100</v>
      </c>
      <c r="X14" s="703"/>
      <c r="Y14" s="3599"/>
      <c r="Z14" s="52">
        <f t="shared" si="7"/>
        <v>111</v>
      </c>
      <c r="AA14" s="704">
        <f t="shared" si="3"/>
        <v>1</v>
      </c>
      <c r="AB14" s="704">
        <f t="shared" si="4"/>
        <v>1</v>
      </c>
      <c r="AC14" s="704">
        <f t="shared" si="5"/>
        <v>1</v>
      </c>
    </row>
    <row r="15" spans="1:29" ht="57">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7" t="s">
        <v>1689</v>
      </c>
      <c r="Q15" s="1352" t="str">
        <f t="shared" si="6"/>
        <v>产业集聚程度</v>
      </c>
      <c r="R15" s="705" t="s">
        <v>14</v>
      </c>
      <c r="S15" s="706">
        <f t="shared" si="0"/>
        <v>100</v>
      </c>
      <c r="T15" s="705" t="s">
        <v>14</v>
      </c>
      <c r="U15" s="706">
        <f t="shared" si="1"/>
        <v>100</v>
      </c>
      <c r="V15" s="705" t="s">
        <v>14</v>
      </c>
      <c r="W15" s="706">
        <f t="shared" si="2"/>
        <v>100</v>
      </c>
      <c r="X15" s="1355"/>
      <c r="Y15" s="3707"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8"/>
      <c r="Q16" s="1352"/>
      <c r="R16" s="705"/>
      <c r="S16" s="706"/>
      <c r="T16" s="705"/>
      <c r="U16" s="706"/>
      <c r="V16" s="705"/>
      <c r="W16" s="706"/>
      <c r="X16" s="1355"/>
      <c r="Y16" s="3708"/>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8"/>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8"/>
      <c r="Q18" s="1352"/>
      <c r="R18" s="705"/>
      <c r="S18" s="706"/>
      <c r="T18" s="705"/>
      <c r="U18" s="706"/>
      <c r="V18" s="705"/>
      <c r="W18" s="706"/>
      <c r="X18" s="1355"/>
      <c r="Y18" s="3708"/>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8"/>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8"/>
      <c r="Q20" s="1352"/>
      <c r="R20" s="705"/>
      <c r="S20" s="706"/>
      <c r="T20" s="705"/>
      <c r="U20" s="706"/>
      <c r="V20" s="705"/>
      <c r="W20" s="706"/>
      <c r="X20" s="1355"/>
      <c r="Y20" s="3708"/>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8"/>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8"/>
      <c r="Q22" s="1352"/>
      <c r="R22" s="705"/>
      <c r="S22" s="706"/>
      <c r="T22" s="705"/>
      <c r="U22" s="706"/>
      <c r="V22" s="705"/>
      <c r="W22" s="706"/>
      <c r="X22" s="1355"/>
      <c r="Y22" s="3708"/>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8"/>
      <c r="Q23" s="1352" t="str">
        <f>B23</f>
        <v>环境质量</v>
      </c>
      <c r="R23" s="705" t="s">
        <v>14</v>
      </c>
      <c r="S23" s="706">
        <f>F23</f>
        <v>100</v>
      </c>
      <c r="T23" s="705" t="s">
        <v>14</v>
      </c>
      <c r="U23" s="706">
        <f>H23</f>
        <v>100</v>
      </c>
      <c r="V23" s="705" t="s">
        <v>14</v>
      </c>
      <c r="W23" s="706">
        <f>J23</f>
        <v>100</v>
      </c>
      <c r="X23" s="1355"/>
      <c r="Y23" s="370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8"/>
      <c r="Q24" s="1352"/>
      <c r="R24" s="705"/>
      <c r="S24" s="706"/>
      <c r="T24" s="705"/>
      <c r="U24" s="706"/>
      <c r="V24" s="705"/>
      <c r="W24" s="706"/>
      <c r="X24" s="1355"/>
      <c r="Y24" s="370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8"/>
      <c r="Q25" s="1352">
        <f>B25</f>
        <v>111</v>
      </c>
      <c r="R25" s="705" t="s">
        <v>14</v>
      </c>
      <c r="S25" s="706">
        <f>F25</f>
        <v>100</v>
      </c>
      <c r="T25" s="705" t="s">
        <v>14</v>
      </c>
      <c r="U25" s="706">
        <f>H25</f>
        <v>100</v>
      </c>
      <c r="V25" s="705" t="s">
        <v>14</v>
      </c>
      <c r="W25" s="706">
        <f>J25</f>
        <v>100</v>
      </c>
      <c r="X25" s="1355"/>
      <c r="Y25" s="370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8"/>
      <c r="Q26" s="1352">
        <f t="shared" ref="Q26:Q40" si="11">B26</f>
        <v>111</v>
      </c>
      <c r="R26" s="705" t="s">
        <v>14</v>
      </c>
      <c r="S26" s="706">
        <f>F26</f>
        <v>100</v>
      </c>
      <c r="T26" s="705" t="s">
        <v>14</v>
      </c>
      <c r="U26" s="706">
        <f>H26</f>
        <v>100</v>
      </c>
      <c r="V26" s="705" t="s">
        <v>14</v>
      </c>
      <c r="W26" s="706">
        <f>J26</f>
        <v>100</v>
      </c>
      <c r="X26" s="1355"/>
      <c r="Y26" s="370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8"/>
      <c r="Q27" s="1343">
        <f t="shared" si="11"/>
        <v>111</v>
      </c>
      <c r="R27" s="701" t="s">
        <v>14</v>
      </c>
      <c r="S27" s="702">
        <f>F27</f>
        <v>100</v>
      </c>
      <c r="T27" s="701" t="s">
        <v>14</v>
      </c>
      <c r="U27" s="702">
        <f>H27</f>
        <v>100</v>
      </c>
      <c r="V27" s="701" t="s">
        <v>14</v>
      </c>
      <c r="W27" s="702">
        <f>J27</f>
        <v>100</v>
      </c>
      <c r="X27" s="703"/>
      <c r="Y27" s="370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8"/>
      <c r="Q28" s="1352">
        <f t="shared" si="11"/>
        <v>111</v>
      </c>
      <c r="R28" s="705" t="s">
        <v>14</v>
      </c>
      <c r="S28" s="706">
        <f t="shared" ref="S28:S40" si="12">F28</f>
        <v>100</v>
      </c>
      <c r="T28" s="705" t="s">
        <v>14</v>
      </c>
      <c r="U28" s="706">
        <f t="shared" ref="U28:U40" si="13">H28</f>
        <v>100</v>
      </c>
      <c r="V28" s="705" t="s">
        <v>14</v>
      </c>
      <c r="W28" s="706">
        <f t="shared" ref="W28:W40" si="14">J28</f>
        <v>100</v>
      </c>
      <c r="X28" s="1355"/>
      <c r="Y28" s="3708"/>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30" t="s">
        <v>1694</v>
      </c>
      <c r="Q29" s="1352" t="str">
        <f t="shared" si="11"/>
        <v>建筑类型</v>
      </c>
      <c r="R29" s="705" t="s">
        <v>14</v>
      </c>
      <c r="S29" s="706">
        <f t="shared" si="12"/>
        <v>100</v>
      </c>
      <c r="T29" s="705" t="s">
        <v>14</v>
      </c>
      <c r="U29" s="706">
        <f t="shared" si="13"/>
        <v>100</v>
      </c>
      <c r="V29" s="705" t="s">
        <v>14</v>
      </c>
      <c r="W29" s="706">
        <f t="shared" si="14"/>
        <v>100</v>
      </c>
      <c r="X29" s="1355"/>
      <c r="Y29" s="3712"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2"/>
      <c r="Q30" s="707" t="str">
        <f t="shared" si="11"/>
        <v>项目建筑规模</v>
      </c>
      <c r="R30" s="708" t="s">
        <v>14</v>
      </c>
      <c r="S30" s="709" t="e">
        <f t="shared" si="12"/>
        <v>#N/A</v>
      </c>
      <c r="T30" s="708" t="s">
        <v>14</v>
      </c>
      <c r="U30" s="709" t="e">
        <f t="shared" si="13"/>
        <v>#N/A</v>
      </c>
      <c r="V30" s="708" t="s">
        <v>14</v>
      </c>
      <c r="W30" s="709" t="e">
        <f t="shared" si="14"/>
        <v>#N/A</v>
      </c>
      <c r="X30" s="710"/>
      <c r="Y30" s="3712"/>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2"/>
      <c r="Q31" s="1352" t="str">
        <f t="shared" si="11"/>
        <v>建筑结构</v>
      </c>
      <c r="R31" s="705" t="s">
        <v>14</v>
      </c>
      <c r="S31" s="706">
        <f t="shared" si="12"/>
        <v>100</v>
      </c>
      <c r="T31" s="705" t="s">
        <v>14</v>
      </c>
      <c r="U31" s="706">
        <f t="shared" si="13"/>
        <v>100</v>
      </c>
      <c r="V31" s="705" t="s">
        <v>14</v>
      </c>
      <c r="W31" s="706">
        <f t="shared" si="14"/>
        <v>100</v>
      </c>
      <c r="X31" s="1355"/>
      <c r="Y31" s="3712"/>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2"/>
      <c r="Q32" s="1352" t="str">
        <f t="shared" si="11"/>
        <v>公共部分装修</v>
      </c>
      <c r="R32" s="705" t="s">
        <v>14</v>
      </c>
      <c r="S32" s="706">
        <f t="shared" si="12"/>
        <v>100</v>
      </c>
      <c r="T32" s="705" t="s">
        <v>14</v>
      </c>
      <c r="U32" s="706">
        <f t="shared" si="13"/>
        <v>100</v>
      </c>
      <c r="V32" s="705" t="s">
        <v>14</v>
      </c>
      <c r="W32" s="706">
        <f t="shared" si="14"/>
        <v>100</v>
      </c>
      <c r="X32" s="1355"/>
      <c r="Y32" s="3712"/>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2"/>
      <c r="Q33" s="1352" t="str">
        <f t="shared" si="11"/>
        <v>成新度</v>
      </c>
      <c r="R33" s="705" t="s">
        <v>14</v>
      </c>
      <c r="S33" s="706" t="e">
        <f t="shared" si="12"/>
        <v>#N/A</v>
      </c>
      <c r="T33" s="705" t="s">
        <v>14</v>
      </c>
      <c r="U33" s="706" t="e">
        <f t="shared" si="13"/>
        <v>#N/A</v>
      </c>
      <c r="V33" s="705" t="s">
        <v>14</v>
      </c>
      <c r="W33" s="706" t="e">
        <f t="shared" si="14"/>
        <v>#N/A</v>
      </c>
      <c r="X33" s="1355"/>
      <c r="Y33" s="3712"/>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2"/>
      <c r="Q34" s="1343" t="str">
        <f t="shared" si="11"/>
        <v>物业管理</v>
      </c>
      <c r="R34" s="701" t="s">
        <v>14</v>
      </c>
      <c r="S34" s="702">
        <f t="shared" si="12"/>
        <v>100</v>
      </c>
      <c r="T34" s="701" t="s">
        <v>14</v>
      </c>
      <c r="U34" s="702">
        <f t="shared" si="13"/>
        <v>100</v>
      </c>
      <c r="V34" s="701" t="s">
        <v>14</v>
      </c>
      <c r="W34" s="702">
        <f t="shared" si="14"/>
        <v>100</v>
      </c>
      <c r="X34" s="703"/>
      <c r="Y34" s="3712"/>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2" t="s">
        <v>1694</v>
      </c>
      <c r="Q35" s="1352" t="str">
        <f t="shared" si="11"/>
        <v>市政基础设施</v>
      </c>
      <c r="R35" s="705" t="s">
        <v>14</v>
      </c>
      <c r="S35" s="706">
        <f t="shared" si="12"/>
        <v>100</v>
      </c>
      <c r="T35" s="705" t="s">
        <v>14</v>
      </c>
      <c r="U35" s="706">
        <f t="shared" si="13"/>
        <v>100</v>
      </c>
      <c r="V35" s="705" t="s">
        <v>14</v>
      </c>
      <c r="W35" s="706">
        <f t="shared" si="14"/>
        <v>100</v>
      </c>
      <c r="X35" s="1355"/>
      <c r="Y35" s="3712"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2"/>
      <c r="Q36" s="1352" t="str">
        <f t="shared" si="11"/>
        <v>内部装修</v>
      </c>
      <c r="R36" s="705" t="s">
        <v>14</v>
      </c>
      <c r="S36" s="706">
        <f t="shared" si="12"/>
        <v>100</v>
      </c>
      <c r="T36" s="705" t="s">
        <v>14</v>
      </c>
      <c r="U36" s="706">
        <f t="shared" si="13"/>
        <v>100</v>
      </c>
      <c r="V36" s="705" t="s">
        <v>14</v>
      </c>
      <c r="W36" s="706">
        <f t="shared" si="14"/>
        <v>100</v>
      </c>
      <c r="X36" s="1355"/>
      <c r="Y36" s="3712"/>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2"/>
      <c r="Q37" s="1352" t="str">
        <f t="shared" si="11"/>
        <v>内部装修状况</v>
      </c>
      <c r="R37" s="705" t="s">
        <v>14</v>
      </c>
      <c r="S37" s="706">
        <f t="shared" si="12"/>
        <v>100</v>
      </c>
      <c r="T37" s="705" t="s">
        <v>14</v>
      </c>
      <c r="U37" s="706">
        <f t="shared" si="13"/>
        <v>100</v>
      </c>
      <c r="V37" s="705" t="s">
        <v>14</v>
      </c>
      <c r="W37" s="706">
        <f t="shared" si="14"/>
        <v>100</v>
      </c>
      <c r="X37" s="1355"/>
      <c r="Y37" s="371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2"/>
      <c r="Q38" s="707">
        <f t="shared" si="11"/>
        <v>111</v>
      </c>
      <c r="R38" s="708" t="s">
        <v>14</v>
      </c>
      <c r="S38" s="709">
        <f t="shared" si="12"/>
        <v>100</v>
      </c>
      <c r="T38" s="708" t="s">
        <v>14</v>
      </c>
      <c r="U38" s="709">
        <f t="shared" si="13"/>
        <v>100</v>
      </c>
      <c r="V38" s="708" t="s">
        <v>14</v>
      </c>
      <c r="W38" s="709">
        <f t="shared" si="14"/>
        <v>100</v>
      </c>
      <c r="X38" s="710"/>
      <c r="Y38" s="371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2"/>
      <c r="Q39" s="1352">
        <f t="shared" si="11"/>
        <v>111</v>
      </c>
      <c r="R39" s="705" t="s">
        <v>14</v>
      </c>
      <c r="S39" s="706">
        <f t="shared" si="12"/>
        <v>100</v>
      </c>
      <c r="T39" s="705" t="s">
        <v>14</v>
      </c>
      <c r="U39" s="706">
        <f t="shared" si="13"/>
        <v>100</v>
      </c>
      <c r="V39" s="705" t="s">
        <v>14</v>
      </c>
      <c r="W39" s="706">
        <f t="shared" si="14"/>
        <v>100</v>
      </c>
      <c r="X39" s="1355"/>
      <c r="Y39" s="371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3"/>
      <c r="Q40" s="1352">
        <f t="shared" si="11"/>
        <v>111</v>
      </c>
      <c r="R40" s="705" t="s">
        <v>14</v>
      </c>
      <c r="S40" s="706">
        <f t="shared" si="12"/>
        <v>100</v>
      </c>
      <c r="T40" s="705" t="s">
        <v>14</v>
      </c>
      <c r="U40" s="706">
        <f t="shared" si="13"/>
        <v>100</v>
      </c>
      <c r="V40" s="705" t="s">
        <v>14</v>
      </c>
      <c r="W40" s="706">
        <f t="shared" si="14"/>
        <v>100</v>
      </c>
      <c r="X40" s="1355"/>
      <c r="Y40" s="3713"/>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700" t="str">
        <f>A41</f>
        <v>成交单价（元/平方米）</v>
      </c>
      <c r="Q41" s="3700"/>
      <c r="R41" s="3701">
        <f>E41</f>
        <v>0</v>
      </c>
      <c r="S41" s="3701"/>
      <c r="T41" s="3701">
        <f>G41</f>
        <v>0</v>
      </c>
      <c r="U41" s="3701"/>
      <c r="V41" s="3701">
        <f>I41</f>
        <v>0</v>
      </c>
      <c r="W41" s="3701"/>
      <c r="X41" s="690"/>
      <c r="Y41" s="712"/>
      <c r="Z41" s="690"/>
      <c r="AA41" s="690"/>
      <c r="AB41" s="690"/>
      <c r="AC41" s="690"/>
    </row>
    <row r="42" spans="1:29" ht="15.7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702" t="str">
        <f>A43</f>
        <v>估价对象XX用房的比较价值（楼面单价，元/平方米）</v>
      </c>
      <c r="Q43" s="3703"/>
      <c r="R43" s="3704" t="e">
        <f>IF(F1="售价",ROUND(IF(D42="简单平均",AVERAGE(R42:V42),R42*F42+T42*H42+V42*J42),0),ROUND(IF(D42="简单平均",AVERAGE(R42:V42),R42*F42+T42*H42+V42*J42),1))</f>
        <v>#DIV/0!</v>
      </c>
      <c r="S43" s="3704"/>
      <c r="T43" s="3704"/>
      <c r="U43" s="3704"/>
      <c r="V43" s="3704"/>
      <c r="W43" s="3704"/>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2024-7</v>
      </c>
      <c r="D52" s="1185">
        <f>EDATE(C52,-1)</f>
        <v>45444</v>
      </c>
      <c r="E52" s="1185">
        <f t="shared" ref="E52:O52" si="16">EDATE(D52,-1)</f>
        <v>45413</v>
      </c>
      <c r="F52" s="1185">
        <f t="shared" si="16"/>
        <v>45383</v>
      </c>
      <c r="G52" s="1185">
        <f t="shared" si="16"/>
        <v>45352</v>
      </c>
      <c r="H52" s="1185">
        <f t="shared" si="16"/>
        <v>45323</v>
      </c>
      <c r="I52" s="1185">
        <f t="shared" si="16"/>
        <v>45292</v>
      </c>
      <c r="J52" s="1185">
        <f t="shared" si="16"/>
        <v>45261</v>
      </c>
      <c r="K52" s="1185">
        <f t="shared" si="16"/>
        <v>45231</v>
      </c>
      <c r="L52" s="1185">
        <f t="shared" si="16"/>
        <v>45200</v>
      </c>
      <c r="M52" s="1185">
        <f t="shared" si="16"/>
        <v>45170</v>
      </c>
      <c r="N52" s="1185">
        <f t="shared" si="16"/>
        <v>45139</v>
      </c>
      <c r="O52" s="1185">
        <f t="shared" si="16"/>
        <v>45108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8"/>
      <c r="O54" s="2769"/>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受贵公司委托，我公司对北京市门头沟区城子大街90号院17号楼1层17-2房地产抵押价值进行了预评估。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估价对象为北京市门头沟区城子大街90号院17号楼1层17-2房地产，为所有。根据《国有土地使用证》[]，估价对象（分摊）出让国有建设用地使用权面积为0平方米，建筑面积为499.53平方米。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城子大街90号院17号楼1层17-2房地产,属开发建设的居住项目，该项目尚在开发建设中。根据《国有土地使用证》[]，估价对象（分摊）出让国有建设用地使用权面积为0平方米，规划建筑面积为499.53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门头沟区城子大街90号院17号楼1层17-2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2024年7月22日（评估专业人员实地查勘之日）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3327</v>
      </c>
      <c r="C1" s="1224" t="s">
        <v>1660</v>
      </c>
      <c r="D1" s="1225"/>
      <c r="E1" s="3431"/>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1767</v>
      </c>
      <c r="B4" s="356"/>
      <c r="C4" s="3719" t="s">
        <v>1768</v>
      </c>
      <c r="D4" s="3720"/>
      <c r="E4" s="3721" t="s">
        <v>1769</v>
      </c>
      <c r="F4" s="3722"/>
      <c r="G4" s="3719" t="s">
        <v>1770</v>
      </c>
      <c r="H4" s="3720"/>
      <c r="I4" s="3719" t="s">
        <v>1771</v>
      </c>
      <c r="J4" s="3720"/>
      <c r="K4" s="559" t="s">
        <v>1772</v>
      </c>
      <c r="L4" s="2713"/>
      <c r="M4" s="2714"/>
      <c r="N4" s="2714"/>
      <c r="O4" s="2714"/>
      <c r="P4" s="3723" t="s">
        <v>1773</v>
      </c>
      <c r="Q4" s="3724"/>
      <c r="R4" s="3729" t="s">
        <v>1769</v>
      </c>
      <c r="S4" s="3730"/>
      <c r="T4" s="3729" t="s">
        <v>1770</v>
      </c>
      <c r="U4" s="3730"/>
      <c r="V4" s="3714" t="s">
        <v>1771</v>
      </c>
      <c r="W4" s="3714"/>
      <c r="X4" s="1355"/>
      <c r="Y4" s="3729" t="s">
        <v>1773</v>
      </c>
      <c r="Z4" s="3730"/>
      <c r="AA4" s="3716" t="s">
        <v>1769</v>
      </c>
      <c r="AB4" s="3717" t="s">
        <v>1770</v>
      </c>
      <c r="AC4" s="3716" t="s">
        <v>1771</v>
      </c>
    </row>
    <row r="5" spans="1:29" ht="15">
      <c r="A5" s="358"/>
      <c r="B5" s="359"/>
      <c r="C5" s="3737" t="s">
        <v>1671</v>
      </c>
      <c r="D5" s="3738"/>
      <c r="E5" s="3743" t="s">
        <v>1672</v>
      </c>
      <c r="F5" s="3744"/>
      <c r="G5" s="3737" t="s">
        <v>1673</v>
      </c>
      <c r="H5" s="3738"/>
      <c r="I5" s="3737" t="s">
        <v>1674</v>
      </c>
      <c r="J5" s="3738"/>
      <c r="K5" s="559"/>
      <c r="L5" s="2713"/>
      <c r="M5" s="2714"/>
      <c r="N5" s="2714"/>
      <c r="O5" s="2714"/>
      <c r="P5" s="3725"/>
      <c r="Q5" s="3726"/>
      <c r="R5" s="3731"/>
      <c r="S5" s="3732"/>
      <c r="T5" s="3731"/>
      <c r="U5" s="3732"/>
      <c r="V5" s="3714"/>
      <c r="W5" s="3714"/>
      <c r="X5" s="1355"/>
      <c r="Y5" s="3731"/>
      <c r="Z5" s="3732"/>
      <c r="AA5" s="3717"/>
      <c r="AB5" s="3717"/>
      <c r="AC5" s="3717"/>
    </row>
    <row r="6" spans="1:29" ht="15.75" thickBot="1">
      <c r="A6" s="360"/>
      <c r="B6" s="361"/>
      <c r="C6" s="3812" t="s">
        <v>1675</v>
      </c>
      <c r="D6" s="3736"/>
      <c r="E6" s="3813" t="s">
        <v>1675</v>
      </c>
      <c r="F6" s="3814"/>
      <c r="G6" s="3812" t="s">
        <v>1675</v>
      </c>
      <c r="H6" s="3736"/>
      <c r="I6" s="3812" t="s">
        <v>1675</v>
      </c>
      <c r="J6" s="3736"/>
      <c r="K6" s="559" t="s">
        <v>1676</v>
      </c>
      <c r="L6" s="2713"/>
      <c r="M6" s="2714"/>
      <c r="N6" s="2714"/>
      <c r="O6" s="2714"/>
      <c r="P6" s="3727"/>
      <c r="Q6" s="3728"/>
      <c r="R6" s="3731"/>
      <c r="S6" s="3732"/>
      <c r="T6" s="3733"/>
      <c r="U6" s="3734"/>
      <c r="V6" s="3714"/>
      <c r="W6" s="3714"/>
      <c r="X6" s="1355"/>
      <c r="Y6" s="3733"/>
      <c r="Z6" s="3734"/>
      <c r="AA6" s="3718"/>
      <c r="AB6" s="3718"/>
      <c r="AC6" s="3718"/>
    </row>
    <row r="7" spans="1:29" s="108" customFormat="1" ht="15.75" thickBot="1">
      <c r="A7" s="362" t="s">
        <v>1677</v>
      </c>
      <c r="B7" s="363"/>
      <c r="C7" s="364">
        <f>'数据-取费表'!B2</f>
        <v>45495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39" t="s">
        <v>1678</v>
      </c>
      <c r="Q7" s="3741"/>
      <c r="R7" s="701" t="s">
        <v>14</v>
      </c>
      <c r="S7" s="702">
        <f t="shared" ref="S7:S14" si="0">F7</f>
        <v>0</v>
      </c>
      <c r="T7" s="701" t="s">
        <v>14</v>
      </c>
      <c r="U7" s="702">
        <f t="shared" ref="U7:U14" si="1">H7</f>
        <v>0</v>
      </c>
      <c r="V7" s="701" t="s">
        <v>14</v>
      </c>
      <c r="W7" s="702">
        <f t="shared" ref="W7:W14" si="2">J7</f>
        <v>0</v>
      </c>
      <c r="X7" s="703"/>
      <c r="Y7" s="3739" t="s">
        <v>1678</v>
      </c>
      <c r="Z7" s="3740"/>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39" t="s">
        <v>1681</v>
      </c>
      <c r="Q8" s="3740"/>
      <c r="R8" s="701" t="s">
        <v>14</v>
      </c>
      <c r="S8" s="702">
        <f t="shared" si="0"/>
        <v>100</v>
      </c>
      <c r="T8" s="701" t="s">
        <v>14</v>
      </c>
      <c r="U8" s="702">
        <f t="shared" si="1"/>
        <v>100</v>
      </c>
      <c r="V8" s="701" t="s">
        <v>14</v>
      </c>
      <c r="W8" s="702">
        <f t="shared" si="2"/>
        <v>100</v>
      </c>
      <c r="X8" s="703"/>
      <c r="Y8" s="3739" t="s">
        <v>1681</v>
      </c>
      <c r="Z8" s="3740"/>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0" t="s">
        <v>1684</v>
      </c>
      <c r="Q9" s="1343" t="str">
        <f t="shared" ref="Q9:Q14" si="6">B9</f>
        <v>用途</v>
      </c>
      <c r="R9" s="701" t="s">
        <v>14</v>
      </c>
      <c r="S9" s="702">
        <f t="shared" si="0"/>
        <v>100</v>
      </c>
      <c r="T9" s="701" t="s">
        <v>14</v>
      </c>
      <c r="U9" s="702">
        <f t="shared" si="1"/>
        <v>100</v>
      </c>
      <c r="V9" s="701" t="s">
        <v>14</v>
      </c>
      <c r="W9" s="702">
        <f t="shared" si="2"/>
        <v>100</v>
      </c>
      <c r="X9" s="703"/>
      <c r="Y9" s="3599" t="s">
        <v>1685</v>
      </c>
      <c r="Z9" s="52" t="str">
        <f t="shared" ref="Z9:Z14" si="7">Q9</f>
        <v>用途</v>
      </c>
      <c r="AA9" s="704">
        <f t="shared" si="3"/>
        <v>1</v>
      </c>
      <c r="AB9" s="704">
        <f t="shared" si="4"/>
        <v>1</v>
      </c>
      <c r="AC9" s="704">
        <f t="shared" si="5"/>
        <v>1</v>
      </c>
    </row>
    <row r="10" spans="1:29" s="378" customFormat="1" ht="27">
      <c r="A10" s="589"/>
      <c r="B10" s="590" t="s">
        <v>1686</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00"/>
      <c r="Q10" s="1343" t="str">
        <f t="shared" si="6"/>
        <v>土地使用年限（年）</v>
      </c>
      <c r="R10" s="701" t="s">
        <v>14</v>
      </c>
      <c r="S10" s="702">
        <f t="shared" si="0"/>
        <v>100</v>
      </c>
      <c r="T10" s="701" t="s">
        <v>14</v>
      </c>
      <c r="U10" s="702">
        <f t="shared" si="1"/>
        <v>100</v>
      </c>
      <c r="V10" s="701" t="s">
        <v>14</v>
      </c>
      <c r="W10" s="702">
        <f t="shared" si="2"/>
        <v>100</v>
      </c>
      <c r="X10" s="703"/>
      <c r="Y10" s="359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0"/>
      <c r="Q11" s="1343">
        <f t="shared" si="6"/>
        <v>111</v>
      </c>
      <c r="R11" s="701" t="s">
        <v>14</v>
      </c>
      <c r="S11" s="702">
        <f t="shared" si="0"/>
        <v>100</v>
      </c>
      <c r="T11" s="701" t="s">
        <v>14</v>
      </c>
      <c r="U11" s="702">
        <f t="shared" si="1"/>
        <v>100</v>
      </c>
      <c r="V11" s="701" t="s">
        <v>14</v>
      </c>
      <c r="W11" s="702">
        <f t="shared" si="2"/>
        <v>100</v>
      </c>
      <c r="X11" s="703"/>
      <c r="Y11" s="359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0"/>
      <c r="Q12" s="1343">
        <f t="shared" si="6"/>
        <v>111</v>
      </c>
      <c r="R12" s="701" t="s">
        <v>14</v>
      </c>
      <c r="S12" s="702">
        <f t="shared" si="0"/>
        <v>100</v>
      </c>
      <c r="T12" s="701" t="s">
        <v>14</v>
      </c>
      <c r="U12" s="702">
        <f t="shared" si="1"/>
        <v>100</v>
      </c>
      <c r="V12" s="701" t="s">
        <v>14</v>
      </c>
      <c r="W12" s="702">
        <f t="shared" si="2"/>
        <v>100</v>
      </c>
      <c r="X12" s="703"/>
      <c r="Y12" s="359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0"/>
      <c r="Q13" s="1343">
        <f t="shared" si="6"/>
        <v>111</v>
      </c>
      <c r="R13" s="701" t="s">
        <v>14</v>
      </c>
      <c r="S13" s="702">
        <f t="shared" si="0"/>
        <v>100</v>
      </c>
      <c r="T13" s="701" t="s">
        <v>14</v>
      </c>
      <c r="U13" s="702">
        <f t="shared" si="1"/>
        <v>100</v>
      </c>
      <c r="V13" s="701" t="s">
        <v>14</v>
      </c>
      <c r="W13" s="702">
        <f t="shared" si="2"/>
        <v>100</v>
      </c>
      <c r="X13" s="703"/>
      <c r="Y13" s="3599"/>
      <c r="Z13" s="52">
        <f t="shared" si="7"/>
        <v>111</v>
      </c>
      <c r="AA13" s="704">
        <f t="shared" si="3"/>
        <v>1</v>
      </c>
      <c r="AB13" s="704">
        <f t="shared" si="4"/>
        <v>1</v>
      </c>
      <c r="AC13" s="704">
        <f t="shared" si="5"/>
        <v>1</v>
      </c>
    </row>
    <row r="14" spans="1:29" ht="15">
      <c r="A14" s="355" t="s">
        <v>1688</v>
      </c>
      <c r="B14" s="577" t="s">
        <v>1831</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7" t="s">
        <v>1689</v>
      </c>
      <c r="Q14" s="1352" t="str">
        <f t="shared" si="6"/>
        <v>交通便捷度</v>
      </c>
      <c r="R14" s="705" t="s">
        <v>14</v>
      </c>
      <c r="S14" s="706">
        <f t="shared" si="0"/>
        <v>100</v>
      </c>
      <c r="T14" s="705" t="s">
        <v>14</v>
      </c>
      <c r="U14" s="706">
        <f t="shared" si="1"/>
        <v>100</v>
      </c>
      <c r="V14" s="705" t="s">
        <v>14</v>
      </c>
      <c r="W14" s="706">
        <f t="shared" si="2"/>
        <v>100</v>
      </c>
      <c r="X14" s="1355"/>
      <c r="Y14" s="3707"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08"/>
      <c r="Q15" s="1352"/>
      <c r="R15" s="705"/>
      <c r="S15" s="706"/>
      <c r="T15" s="705"/>
      <c r="U15" s="706"/>
      <c r="V15" s="705"/>
      <c r="W15" s="706"/>
      <c r="X15" s="1355"/>
      <c r="Y15" s="3708"/>
      <c r="Z15" s="1356"/>
      <c r="AA15" s="1353">
        <v>1</v>
      </c>
      <c r="AB15" s="1353">
        <v>1</v>
      </c>
      <c r="AC15" s="1353">
        <v>1</v>
      </c>
    </row>
    <row r="16" spans="1:29" ht="15">
      <c r="A16" s="358"/>
      <c r="B16" s="579" t="s">
        <v>1810</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8"/>
      <c r="Q16" s="1352" t="str">
        <f>B16</f>
        <v>公共配套设施</v>
      </c>
      <c r="R16" s="705" t="s">
        <v>14</v>
      </c>
      <c r="S16" s="706">
        <f>F16</f>
        <v>100</v>
      </c>
      <c r="T16" s="705" t="s">
        <v>14</v>
      </c>
      <c r="U16" s="706">
        <f>H16</f>
        <v>100</v>
      </c>
      <c r="V16" s="705" t="s">
        <v>14</v>
      </c>
      <c r="W16" s="706">
        <f>J16</f>
        <v>100</v>
      </c>
      <c r="X16" s="1355"/>
      <c r="Y16" s="370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08"/>
      <c r="Q17" s="1352"/>
      <c r="R17" s="705"/>
      <c r="S17" s="706"/>
      <c r="T17" s="705"/>
      <c r="U17" s="706"/>
      <c r="V17" s="705"/>
      <c r="W17" s="706"/>
      <c r="X17" s="1355"/>
      <c r="Y17" s="3708"/>
      <c r="Z17" s="1356"/>
      <c r="AA17" s="1353">
        <v>1</v>
      </c>
      <c r="AB17" s="1353">
        <v>1</v>
      </c>
      <c r="AC17" s="1353">
        <v>1</v>
      </c>
    </row>
    <row r="18" spans="1:29" ht="1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8"/>
      <c r="Q18" s="1352" t="str">
        <f>B18</f>
        <v>基础设施水平</v>
      </c>
      <c r="R18" s="705" t="s">
        <v>14</v>
      </c>
      <c r="S18" s="706">
        <f>F18</f>
        <v>100</v>
      </c>
      <c r="T18" s="705" t="s">
        <v>14</v>
      </c>
      <c r="U18" s="706">
        <f>H18</f>
        <v>100</v>
      </c>
      <c r="V18" s="705" t="s">
        <v>14</v>
      </c>
      <c r="W18" s="706">
        <f>J18</f>
        <v>100</v>
      </c>
      <c r="X18" s="1355"/>
      <c r="Y18" s="370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08"/>
      <c r="Q19" s="1352"/>
      <c r="R19" s="705"/>
      <c r="S19" s="706"/>
      <c r="T19" s="705"/>
      <c r="U19" s="706"/>
      <c r="V19" s="705"/>
      <c r="W19" s="706"/>
      <c r="X19" s="1355"/>
      <c r="Y19" s="3708"/>
      <c r="Z19" s="1356"/>
      <c r="AA19" s="1353">
        <v>1</v>
      </c>
      <c r="AB19" s="1353">
        <v>1</v>
      </c>
      <c r="AC19" s="1353">
        <v>1</v>
      </c>
    </row>
    <row r="20" spans="1:29" ht="15">
      <c r="A20" s="358"/>
      <c r="B20" s="579" t="s">
        <v>1832</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8"/>
      <c r="Q20" s="1352" t="str">
        <f>B20</f>
        <v>自然及人文环境</v>
      </c>
      <c r="R20" s="705" t="s">
        <v>14</v>
      </c>
      <c r="S20" s="706">
        <f>F20</f>
        <v>100</v>
      </c>
      <c r="T20" s="705" t="s">
        <v>14</v>
      </c>
      <c r="U20" s="706">
        <f>H20</f>
        <v>100</v>
      </c>
      <c r="V20" s="705" t="s">
        <v>14</v>
      </c>
      <c r="W20" s="706">
        <f>J20</f>
        <v>100</v>
      </c>
      <c r="X20" s="1355"/>
      <c r="Y20" s="370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08"/>
      <c r="Q21" s="1352"/>
      <c r="R21" s="705"/>
      <c r="S21" s="706"/>
      <c r="T21" s="705"/>
      <c r="U21" s="706"/>
      <c r="V21" s="705"/>
      <c r="W21" s="706"/>
      <c r="X21" s="1355"/>
      <c r="Y21" s="3708"/>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8"/>
      <c r="Q22" s="1352" t="str">
        <f>B22</f>
        <v>楼层</v>
      </c>
      <c r="R22" s="705" t="s">
        <v>14</v>
      </c>
      <c r="S22" s="706">
        <f>F22</f>
        <v>100</v>
      </c>
      <c r="T22" s="705" t="s">
        <v>14</v>
      </c>
      <c r="U22" s="706">
        <f>H22</f>
        <v>100</v>
      </c>
      <c r="V22" s="705" t="s">
        <v>14</v>
      </c>
      <c r="W22" s="706">
        <f>J22</f>
        <v>100</v>
      </c>
      <c r="X22" s="1355"/>
      <c r="Y22" s="370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8"/>
      <c r="Q23" s="1352">
        <f>B23</f>
        <v>111</v>
      </c>
      <c r="R23" s="705" t="s">
        <v>14</v>
      </c>
      <c r="S23" s="706">
        <f>F23</f>
        <v>100</v>
      </c>
      <c r="T23" s="705" t="s">
        <v>14</v>
      </c>
      <c r="U23" s="706">
        <f>H23</f>
        <v>100</v>
      </c>
      <c r="V23" s="705" t="s">
        <v>14</v>
      </c>
      <c r="W23" s="706">
        <f>J23</f>
        <v>100</v>
      </c>
      <c r="X23" s="1355"/>
      <c r="Y23" s="370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8"/>
      <c r="Q24" s="1352">
        <f t="shared" ref="Q24:Q36" si="11">B24</f>
        <v>111</v>
      </c>
      <c r="R24" s="705" t="s">
        <v>14</v>
      </c>
      <c r="S24" s="706">
        <f>F24</f>
        <v>100</v>
      </c>
      <c r="T24" s="705" t="s">
        <v>14</v>
      </c>
      <c r="U24" s="706">
        <f>H24</f>
        <v>100</v>
      </c>
      <c r="V24" s="705" t="s">
        <v>14</v>
      </c>
      <c r="W24" s="706">
        <f>J24</f>
        <v>100</v>
      </c>
      <c r="X24" s="1355"/>
      <c r="Y24" s="370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8"/>
      <c r="Q25" s="1343">
        <f t="shared" si="11"/>
        <v>111</v>
      </c>
      <c r="R25" s="701" t="s">
        <v>14</v>
      </c>
      <c r="S25" s="702">
        <f>F25</f>
        <v>100</v>
      </c>
      <c r="T25" s="701" t="s">
        <v>14</v>
      </c>
      <c r="U25" s="702">
        <f>H25</f>
        <v>100</v>
      </c>
      <c r="V25" s="701" t="s">
        <v>14</v>
      </c>
      <c r="W25" s="702">
        <f>J25</f>
        <v>100</v>
      </c>
      <c r="X25" s="703"/>
      <c r="Y25" s="3708"/>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830"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2"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12"/>
      <c r="Q27" s="707" t="str">
        <f t="shared" si="11"/>
        <v>项目停车位配比</v>
      </c>
      <c r="R27" s="708" t="s">
        <v>14</v>
      </c>
      <c r="S27" s="709">
        <f t="shared" si="12"/>
        <v>100</v>
      </c>
      <c r="T27" s="708" t="s">
        <v>14</v>
      </c>
      <c r="U27" s="709">
        <f t="shared" si="13"/>
        <v>100</v>
      </c>
      <c r="V27" s="708" t="s">
        <v>14</v>
      </c>
      <c r="W27" s="709">
        <f t="shared" si="14"/>
        <v>100</v>
      </c>
      <c r="X27" s="710"/>
      <c r="Y27" s="3712"/>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12"/>
      <c r="Q28" s="1352" t="str">
        <f t="shared" si="11"/>
        <v>公共部分装修</v>
      </c>
      <c r="R28" s="705" t="s">
        <v>14</v>
      </c>
      <c r="S28" s="706">
        <f t="shared" si="12"/>
        <v>100</v>
      </c>
      <c r="T28" s="705" t="s">
        <v>14</v>
      </c>
      <c r="U28" s="706">
        <f t="shared" si="13"/>
        <v>100</v>
      </c>
      <c r="V28" s="705" t="s">
        <v>14</v>
      </c>
      <c r="W28" s="706">
        <f t="shared" si="14"/>
        <v>100</v>
      </c>
      <c r="X28" s="1355"/>
      <c r="Y28" s="3712"/>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12"/>
      <c r="Q29" s="1352" t="str">
        <f t="shared" si="11"/>
        <v>成新率</v>
      </c>
      <c r="R29" s="705" t="s">
        <v>14</v>
      </c>
      <c r="S29" s="706" t="e">
        <f t="shared" si="12"/>
        <v>#N/A</v>
      </c>
      <c r="T29" s="705" t="s">
        <v>14</v>
      </c>
      <c r="U29" s="706" t="e">
        <f t="shared" si="13"/>
        <v>#N/A</v>
      </c>
      <c r="V29" s="705" t="s">
        <v>14</v>
      </c>
      <c r="W29" s="706" t="e">
        <f t="shared" si="14"/>
        <v>#N/A</v>
      </c>
      <c r="X29" s="1355"/>
      <c r="Y29" s="3712"/>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12"/>
      <c r="Q30" s="1352" t="str">
        <f t="shared" si="11"/>
        <v>物业等级</v>
      </c>
      <c r="R30" s="705" t="s">
        <v>14</v>
      </c>
      <c r="S30" s="706">
        <f t="shared" si="12"/>
        <v>100</v>
      </c>
      <c r="T30" s="705" t="s">
        <v>14</v>
      </c>
      <c r="U30" s="706">
        <f t="shared" si="13"/>
        <v>100</v>
      </c>
      <c r="V30" s="705" t="s">
        <v>14</v>
      </c>
      <c r="W30" s="706">
        <f t="shared" si="14"/>
        <v>100</v>
      </c>
      <c r="X30" s="1355"/>
      <c r="Y30" s="3712"/>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12"/>
      <c r="Q31" s="1343" t="str">
        <f t="shared" si="11"/>
        <v>停车位面积</v>
      </c>
      <c r="R31" s="701" t="s">
        <v>14</v>
      </c>
      <c r="S31" s="702" t="e">
        <f t="shared" si="12"/>
        <v>#N/A</v>
      </c>
      <c r="T31" s="701" t="s">
        <v>14</v>
      </c>
      <c r="U31" s="702" t="e">
        <f t="shared" si="13"/>
        <v>#N/A</v>
      </c>
      <c r="V31" s="701" t="s">
        <v>14</v>
      </c>
      <c r="W31" s="702" t="e">
        <f t="shared" si="14"/>
        <v>#N/A</v>
      </c>
      <c r="X31" s="703"/>
      <c r="Y31" s="3712"/>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12" t="s">
        <v>1694</v>
      </c>
      <c r="Q32" s="1352" t="str">
        <f t="shared" si="11"/>
        <v>车位类型</v>
      </c>
      <c r="R32" s="705" t="s">
        <v>14</v>
      </c>
      <c r="S32" s="706">
        <f t="shared" si="12"/>
        <v>100</v>
      </c>
      <c r="T32" s="705" t="s">
        <v>14</v>
      </c>
      <c r="U32" s="706">
        <f t="shared" si="13"/>
        <v>100</v>
      </c>
      <c r="V32" s="705" t="s">
        <v>14</v>
      </c>
      <c r="W32" s="706">
        <f t="shared" si="14"/>
        <v>100</v>
      </c>
      <c r="X32" s="1355"/>
      <c r="Y32" s="3712"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12"/>
      <c r="Q33" s="1352" t="str">
        <f t="shared" si="11"/>
        <v>是否直接入户</v>
      </c>
      <c r="R33" s="705" t="s">
        <v>14</v>
      </c>
      <c r="S33" s="706">
        <f t="shared" si="12"/>
        <v>100</v>
      </c>
      <c r="T33" s="705" t="s">
        <v>14</v>
      </c>
      <c r="U33" s="706">
        <f t="shared" si="13"/>
        <v>100</v>
      </c>
      <c r="V33" s="705" t="s">
        <v>14</v>
      </c>
      <c r="W33" s="706">
        <f t="shared" si="14"/>
        <v>100</v>
      </c>
      <c r="X33" s="1355"/>
      <c r="Y33" s="371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12"/>
      <c r="Q34" s="1352">
        <f t="shared" si="11"/>
        <v>111</v>
      </c>
      <c r="R34" s="705" t="s">
        <v>14</v>
      </c>
      <c r="S34" s="706">
        <f t="shared" si="12"/>
        <v>100</v>
      </c>
      <c r="T34" s="705" t="s">
        <v>14</v>
      </c>
      <c r="U34" s="706">
        <f t="shared" si="13"/>
        <v>100</v>
      </c>
      <c r="V34" s="705" t="s">
        <v>14</v>
      </c>
      <c r="W34" s="706">
        <f t="shared" si="14"/>
        <v>100</v>
      </c>
      <c r="X34" s="1355"/>
      <c r="Y34" s="371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12"/>
      <c r="Q35" s="707">
        <f t="shared" si="11"/>
        <v>111</v>
      </c>
      <c r="R35" s="708" t="s">
        <v>14</v>
      </c>
      <c r="S35" s="709">
        <f t="shared" si="12"/>
        <v>100</v>
      </c>
      <c r="T35" s="708" t="s">
        <v>14</v>
      </c>
      <c r="U35" s="709">
        <f t="shared" si="13"/>
        <v>100</v>
      </c>
      <c r="V35" s="708" t="s">
        <v>14</v>
      </c>
      <c r="W35" s="709">
        <f t="shared" si="14"/>
        <v>100</v>
      </c>
      <c r="X35" s="710"/>
      <c r="Y35" s="371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12"/>
      <c r="Q36" s="1352">
        <f t="shared" si="11"/>
        <v>111</v>
      </c>
      <c r="R36" s="705" t="s">
        <v>14</v>
      </c>
      <c r="S36" s="706">
        <f t="shared" si="12"/>
        <v>100</v>
      </c>
      <c r="T36" s="705" t="s">
        <v>14</v>
      </c>
      <c r="U36" s="706">
        <f t="shared" si="13"/>
        <v>100</v>
      </c>
      <c r="V36" s="705" t="s">
        <v>14</v>
      </c>
      <c r="W36" s="706">
        <f t="shared" si="14"/>
        <v>100</v>
      </c>
      <c r="X36" s="1355"/>
      <c r="Y36" s="3712"/>
      <c r="Z36" s="1356">
        <f t="shared" si="15"/>
        <v>111</v>
      </c>
      <c r="AA36" s="1353">
        <f t="shared" si="3"/>
        <v>1</v>
      </c>
      <c r="AB36" s="1353">
        <f t="shared" si="4"/>
        <v>1</v>
      </c>
      <c r="AC36" s="1353">
        <f t="shared" si="5"/>
        <v>1</v>
      </c>
    </row>
    <row r="37" spans="1:29" ht="15">
      <c r="A37" s="430" t="s">
        <v>1842</v>
      </c>
      <c r="B37" s="1973" t="s">
        <v>3347</v>
      </c>
      <c r="C37" s="1154" t="s">
        <v>0</v>
      </c>
      <c r="D37" s="1155"/>
      <c r="E37" s="1156"/>
      <c r="F37" s="1157"/>
      <c r="G37" s="1158"/>
      <c r="H37" s="1159"/>
      <c r="I37" s="1156"/>
      <c r="J37" s="1159"/>
      <c r="K37" s="568"/>
      <c r="L37" s="2722"/>
      <c r="M37" s="2723"/>
      <c r="N37" s="2714"/>
      <c r="O37" s="2723"/>
      <c r="P37" s="3700" t="str">
        <f>A37</f>
        <v>成交单价</v>
      </c>
      <c r="Q37" s="3700"/>
      <c r="R37" s="3701">
        <f>E37</f>
        <v>0</v>
      </c>
      <c r="S37" s="3701"/>
      <c r="T37" s="3701">
        <f>G37</f>
        <v>0</v>
      </c>
      <c r="U37" s="3701"/>
      <c r="V37" s="3701">
        <f>I37</f>
        <v>0</v>
      </c>
      <c r="W37" s="3701"/>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22"/>
      <c r="M38" s="2723"/>
      <c r="N38" s="2723"/>
      <c r="O38" s="2723"/>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2"/>
      <c r="M39" s="2723"/>
      <c r="N39" s="2723"/>
      <c r="O39" s="2723"/>
      <c r="P39" s="3702" t="str">
        <f>A39</f>
        <v>估价对象XX用房的比较价值（楼面单价，元/平方米）</v>
      </c>
      <c r="Q39" s="3703"/>
      <c r="R39" s="3831" t="e">
        <f>IF(F1="售价",ROUND(IF(D38="简单平均",AVERAGE(R38:W38),R38*F38+T38*H38+V38*J38),0),ROUND(IF(D38="简单平均",AVERAGE(R38:V38),R38*F38+T38*H38+V38*J38),1))</f>
        <v>#DIV/0!</v>
      </c>
      <c r="S39" s="3831"/>
      <c r="T39" s="3831"/>
      <c r="U39" s="3831"/>
      <c r="V39" s="3831"/>
      <c r="W39" s="3831"/>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1848</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1849</v>
      </c>
      <c r="B48" s="455"/>
      <c r="C48" s="1184" t="str">
        <f>YEAR(C7)&amp;"-"&amp;MONTH(C7)</f>
        <v>2024-7</v>
      </c>
      <c r="D48" s="1185">
        <f>EDATE(C48,-1)</f>
        <v>45444</v>
      </c>
      <c r="E48" s="1185">
        <f t="shared" ref="E48:O48" si="16">EDATE(D48,-1)</f>
        <v>45413</v>
      </c>
      <c r="F48" s="1185">
        <f t="shared" si="16"/>
        <v>45383</v>
      </c>
      <c r="G48" s="1185">
        <f t="shared" si="16"/>
        <v>45352</v>
      </c>
      <c r="H48" s="1185">
        <f t="shared" si="16"/>
        <v>45323</v>
      </c>
      <c r="I48" s="1185">
        <f t="shared" si="16"/>
        <v>45292</v>
      </c>
      <c r="J48" s="1185">
        <f t="shared" si="16"/>
        <v>45261</v>
      </c>
      <c r="K48" s="1185">
        <f t="shared" si="16"/>
        <v>45231</v>
      </c>
      <c r="L48" s="1185">
        <f t="shared" si="16"/>
        <v>45200</v>
      </c>
      <c r="M48" s="1185">
        <f t="shared" si="16"/>
        <v>45170</v>
      </c>
      <c r="N48" s="1185">
        <f t="shared" si="16"/>
        <v>45139</v>
      </c>
      <c r="O48" s="1185">
        <f t="shared" si="16"/>
        <v>45108</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1714</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1679</v>
      </c>
      <c r="B51" s="459"/>
      <c r="C51" s="471" t="s">
        <v>1774</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1717</v>
      </c>
      <c r="B53" s="477" t="s">
        <v>1683</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1686</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1725</v>
      </c>
      <c r="C65" s="527" t="s">
        <v>1719</v>
      </c>
      <c r="D65" s="527" t="s">
        <v>1720</v>
      </c>
      <c r="E65" s="527" t="s">
        <v>1721</v>
      </c>
      <c r="F65" s="527" t="s">
        <v>1722</v>
      </c>
      <c r="G65" s="527" t="s">
        <v>1723</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1811</v>
      </c>
      <c r="C67" s="608" t="s">
        <v>1797</v>
      </c>
      <c r="D67" s="608" t="s">
        <v>1798</v>
      </c>
      <c r="E67" s="608" t="s">
        <v>1799</v>
      </c>
      <c r="F67" s="608" t="s">
        <v>1800</v>
      </c>
      <c r="G67" s="608" t="s">
        <v>1801</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1731</v>
      </c>
      <c r="C69" s="527" t="s">
        <v>1719</v>
      </c>
      <c r="D69" s="527" t="s">
        <v>1720</v>
      </c>
      <c r="E69" s="527" t="s">
        <v>1721</v>
      </c>
      <c r="F69" s="527" t="s">
        <v>1722</v>
      </c>
      <c r="G69" s="527" t="s">
        <v>1723</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1850</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1692</v>
      </c>
      <c r="B79" s="477" t="s">
        <v>1851</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1852</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1738</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1854</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1856</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1857</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3328</v>
      </c>
      <c r="C1" s="1224" t="s">
        <v>1660</v>
      </c>
      <c r="D1" s="1225"/>
      <c r="E1" s="3431"/>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1767</v>
      </c>
      <c r="B4" s="356"/>
      <c r="C4" s="3719" t="s">
        <v>1768</v>
      </c>
      <c r="D4" s="3720"/>
      <c r="E4" s="3721" t="s">
        <v>1769</v>
      </c>
      <c r="F4" s="3722"/>
      <c r="G4" s="3719" t="s">
        <v>1770</v>
      </c>
      <c r="H4" s="3720"/>
      <c r="I4" s="3719" t="s">
        <v>1771</v>
      </c>
      <c r="J4" s="3720"/>
      <c r="K4" s="559" t="s">
        <v>1772</v>
      </c>
      <c r="L4" s="2713"/>
      <c r="M4" s="2714"/>
      <c r="N4" s="2714"/>
      <c r="O4" s="2714"/>
      <c r="P4" s="3723" t="s">
        <v>1773</v>
      </c>
      <c r="Q4" s="3724"/>
      <c r="R4" s="3729" t="s">
        <v>1769</v>
      </c>
      <c r="S4" s="3730"/>
      <c r="T4" s="3729" t="s">
        <v>1770</v>
      </c>
      <c r="U4" s="3730"/>
      <c r="V4" s="3714" t="s">
        <v>1771</v>
      </c>
      <c r="W4" s="3714"/>
      <c r="X4" s="1355"/>
      <c r="Y4" s="3729" t="s">
        <v>1773</v>
      </c>
      <c r="Z4" s="3730"/>
      <c r="AA4" s="3716" t="s">
        <v>1769</v>
      </c>
      <c r="AB4" s="3717" t="s">
        <v>1770</v>
      </c>
      <c r="AC4" s="3716" t="s">
        <v>1771</v>
      </c>
    </row>
    <row r="5" spans="1:29" ht="15">
      <c r="A5" s="358"/>
      <c r="B5" s="359"/>
      <c r="C5" s="3737" t="s">
        <v>1671</v>
      </c>
      <c r="D5" s="3738"/>
      <c r="E5" s="3743" t="s">
        <v>1672</v>
      </c>
      <c r="F5" s="3744"/>
      <c r="G5" s="3737" t="s">
        <v>1673</v>
      </c>
      <c r="H5" s="3738"/>
      <c r="I5" s="3737" t="s">
        <v>1674</v>
      </c>
      <c r="J5" s="3738"/>
      <c r="K5" s="559"/>
      <c r="L5" s="2713"/>
      <c r="M5" s="2714"/>
      <c r="N5" s="2714"/>
      <c r="O5" s="2714"/>
      <c r="P5" s="3725"/>
      <c r="Q5" s="3726"/>
      <c r="R5" s="3731"/>
      <c r="S5" s="3732"/>
      <c r="T5" s="3731"/>
      <c r="U5" s="3732"/>
      <c r="V5" s="3714"/>
      <c r="W5" s="3714"/>
      <c r="X5" s="1355"/>
      <c r="Y5" s="3731"/>
      <c r="Z5" s="3732"/>
      <c r="AA5" s="3717"/>
      <c r="AB5" s="3717"/>
      <c r="AC5" s="3717"/>
    </row>
    <row r="6" spans="1:29" ht="15.75" thickBot="1">
      <c r="A6" s="360"/>
      <c r="B6" s="361"/>
      <c r="C6" s="3812" t="s">
        <v>1675</v>
      </c>
      <c r="D6" s="3736"/>
      <c r="E6" s="3813" t="s">
        <v>1675</v>
      </c>
      <c r="F6" s="3814"/>
      <c r="G6" s="3812" t="s">
        <v>1675</v>
      </c>
      <c r="H6" s="3736"/>
      <c r="I6" s="3812" t="s">
        <v>1675</v>
      </c>
      <c r="J6" s="3736"/>
      <c r="K6" s="559" t="s">
        <v>1676</v>
      </c>
      <c r="L6" s="2713"/>
      <c r="M6" s="2714"/>
      <c r="N6" s="2714"/>
      <c r="O6" s="2714"/>
      <c r="P6" s="3727"/>
      <c r="Q6" s="3728"/>
      <c r="R6" s="3731"/>
      <c r="S6" s="3732"/>
      <c r="T6" s="3733"/>
      <c r="U6" s="3734"/>
      <c r="V6" s="3714"/>
      <c r="W6" s="3714"/>
      <c r="X6" s="1355"/>
      <c r="Y6" s="3733"/>
      <c r="Z6" s="3734"/>
      <c r="AA6" s="3718"/>
      <c r="AB6" s="3718"/>
      <c r="AC6" s="3718"/>
    </row>
    <row r="7" spans="1:29" s="108" customFormat="1" ht="15.75" thickBot="1">
      <c r="A7" s="362" t="s">
        <v>1677</v>
      </c>
      <c r="B7" s="363"/>
      <c r="C7" s="364">
        <f>'数据-取费表'!B2</f>
        <v>45495</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39" t="s">
        <v>1678</v>
      </c>
      <c r="Q7" s="3741"/>
      <c r="R7" s="701" t="s">
        <v>14</v>
      </c>
      <c r="S7" s="702">
        <f t="shared" ref="S7:S14" si="0">F7</f>
        <v>0</v>
      </c>
      <c r="T7" s="701" t="s">
        <v>14</v>
      </c>
      <c r="U7" s="702">
        <f t="shared" ref="U7:U14" si="1">H7</f>
        <v>0</v>
      </c>
      <c r="V7" s="701" t="s">
        <v>14</v>
      </c>
      <c r="W7" s="702">
        <f t="shared" ref="W7:W14" si="2">J7</f>
        <v>0</v>
      </c>
      <c r="X7" s="703"/>
      <c r="Y7" s="3739" t="s">
        <v>1678</v>
      </c>
      <c r="Z7" s="3740"/>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39" t="s">
        <v>1681</v>
      </c>
      <c r="Q8" s="3740"/>
      <c r="R8" s="701" t="s">
        <v>14</v>
      </c>
      <c r="S8" s="702">
        <f t="shared" si="0"/>
        <v>100</v>
      </c>
      <c r="T8" s="701" t="s">
        <v>14</v>
      </c>
      <c r="U8" s="702">
        <f t="shared" si="1"/>
        <v>100</v>
      </c>
      <c r="V8" s="701" t="s">
        <v>14</v>
      </c>
      <c r="W8" s="702">
        <f t="shared" si="2"/>
        <v>100</v>
      </c>
      <c r="X8" s="703"/>
      <c r="Y8" s="3739" t="s">
        <v>1681</v>
      </c>
      <c r="Z8" s="3740"/>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0" t="s">
        <v>1684</v>
      </c>
      <c r="Q9" s="1343" t="str">
        <f t="shared" ref="Q9:Q14" si="6">B9</f>
        <v>用途</v>
      </c>
      <c r="R9" s="701" t="s">
        <v>14</v>
      </c>
      <c r="S9" s="702">
        <f t="shared" si="0"/>
        <v>100</v>
      </c>
      <c r="T9" s="701" t="s">
        <v>14</v>
      </c>
      <c r="U9" s="702">
        <f t="shared" si="1"/>
        <v>100</v>
      </c>
      <c r="V9" s="701" t="s">
        <v>14</v>
      </c>
      <c r="W9" s="702">
        <f t="shared" si="2"/>
        <v>100</v>
      </c>
      <c r="X9" s="703"/>
      <c r="Y9" s="3599" t="s">
        <v>1685</v>
      </c>
      <c r="Z9" s="52" t="str">
        <f t="shared" ref="Z9:Z14" si="7">Q9</f>
        <v>用途</v>
      </c>
      <c r="AA9" s="704">
        <f t="shared" si="3"/>
        <v>1</v>
      </c>
      <c r="AB9" s="704">
        <f t="shared" si="4"/>
        <v>1</v>
      </c>
      <c r="AC9" s="704">
        <f t="shared" si="5"/>
        <v>1</v>
      </c>
    </row>
    <row r="10" spans="1:29" s="378" customFormat="1" ht="27">
      <c r="A10" s="374"/>
      <c r="B10" s="375" t="s">
        <v>1686</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00"/>
      <c r="Q10" s="1343" t="str">
        <f t="shared" si="6"/>
        <v>土地使用年限（年）</v>
      </c>
      <c r="R10" s="701" t="s">
        <v>14</v>
      </c>
      <c r="S10" s="702">
        <f t="shared" si="0"/>
        <v>100</v>
      </c>
      <c r="T10" s="701" t="s">
        <v>14</v>
      </c>
      <c r="U10" s="702">
        <f t="shared" si="1"/>
        <v>100</v>
      </c>
      <c r="V10" s="701" t="s">
        <v>14</v>
      </c>
      <c r="W10" s="702">
        <f t="shared" si="2"/>
        <v>100</v>
      </c>
      <c r="X10" s="703"/>
      <c r="Y10" s="359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0"/>
      <c r="Q11" s="1343">
        <f t="shared" si="6"/>
        <v>111</v>
      </c>
      <c r="R11" s="701" t="s">
        <v>14</v>
      </c>
      <c r="S11" s="702">
        <f t="shared" si="0"/>
        <v>100</v>
      </c>
      <c r="T11" s="701" t="s">
        <v>14</v>
      </c>
      <c r="U11" s="702">
        <f t="shared" si="1"/>
        <v>100</v>
      </c>
      <c r="V11" s="701" t="s">
        <v>14</v>
      </c>
      <c r="W11" s="702">
        <f t="shared" si="2"/>
        <v>100</v>
      </c>
      <c r="X11" s="703"/>
      <c r="Y11" s="359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0"/>
      <c r="Q12" s="1343">
        <f t="shared" si="6"/>
        <v>111</v>
      </c>
      <c r="R12" s="701" t="s">
        <v>14</v>
      </c>
      <c r="S12" s="702">
        <f t="shared" si="0"/>
        <v>100</v>
      </c>
      <c r="T12" s="701" t="s">
        <v>14</v>
      </c>
      <c r="U12" s="702">
        <f t="shared" si="1"/>
        <v>100</v>
      </c>
      <c r="V12" s="701" t="s">
        <v>14</v>
      </c>
      <c r="W12" s="702">
        <f t="shared" si="2"/>
        <v>100</v>
      </c>
      <c r="X12" s="703"/>
      <c r="Y12" s="359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00"/>
      <c r="Q13" s="1343">
        <f t="shared" si="6"/>
        <v>111</v>
      </c>
      <c r="R13" s="701" t="s">
        <v>14</v>
      </c>
      <c r="S13" s="702">
        <f t="shared" si="0"/>
        <v>100</v>
      </c>
      <c r="T13" s="701" t="s">
        <v>14</v>
      </c>
      <c r="U13" s="702">
        <f t="shared" si="1"/>
        <v>100</v>
      </c>
      <c r="V13" s="701" t="s">
        <v>14</v>
      </c>
      <c r="W13" s="702">
        <f t="shared" si="2"/>
        <v>100</v>
      </c>
      <c r="X13" s="703"/>
      <c r="Y13" s="3599"/>
      <c r="Z13" s="52">
        <f t="shared" si="7"/>
        <v>111</v>
      </c>
      <c r="AA13" s="704">
        <f t="shared" si="3"/>
        <v>1</v>
      </c>
      <c r="AB13" s="704">
        <f t="shared" si="4"/>
        <v>1</v>
      </c>
      <c r="AC13" s="704">
        <f t="shared" si="5"/>
        <v>1</v>
      </c>
    </row>
    <row r="14" spans="1:29" ht="15">
      <c r="A14" s="391" t="s">
        <v>1688</v>
      </c>
      <c r="B14" s="61" t="s">
        <v>1831</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7" t="s">
        <v>1689</v>
      </c>
      <c r="Q14" s="1352" t="str">
        <f t="shared" si="6"/>
        <v>交通便捷度</v>
      </c>
      <c r="R14" s="705" t="s">
        <v>14</v>
      </c>
      <c r="S14" s="706">
        <f t="shared" si="0"/>
        <v>100</v>
      </c>
      <c r="T14" s="705" t="s">
        <v>14</v>
      </c>
      <c r="U14" s="706">
        <f t="shared" si="1"/>
        <v>100</v>
      </c>
      <c r="V14" s="705" t="s">
        <v>14</v>
      </c>
      <c r="W14" s="706">
        <f t="shared" si="2"/>
        <v>100</v>
      </c>
      <c r="X14" s="1355"/>
      <c r="Y14" s="3707"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08"/>
      <c r="Q15" s="1352"/>
      <c r="R15" s="705"/>
      <c r="S15" s="706"/>
      <c r="T15" s="705"/>
      <c r="U15" s="706"/>
      <c r="V15" s="705"/>
      <c r="W15" s="706"/>
      <c r="X15" s="1355"/>
      <c r="Y15" s="3708"/>
      <c r="Z15" s="1356"/>
      <c r="AA15" s="1353">
        <v>1</v>
      </c>
      <c r="AB15" s="1353">
        <v>1</v>
      </c>
      <c r="AC15" s="1353">
        <v>1</v>
      </c>
    </row>
    <row r="16" spans="1:29" ht="15">
      <c r="A16" s="379"/>
      <c r="B16" s="402" t="s">
        <v>1810</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8"/>
      <c r="Q16" s="1352" t="str">
        <f>B16</f>
        <v>公共配套设施</v>
      </c>
      <c r="R16" s="705" t="s">
        <v>14</v>
      </c>
      <c r="S16" s="706">
        <f>F16</f>
        <v>100</v>
      </c>
      <c r="T16" s="705" t="s">
        <v>14</v>
      </c>
      <c r="U16" s="706">
        <f>H16</f>
        <v>100</v>
      </c>
      <c r="V16" s="705" t="s">
        <v>14</v>
      </c>
      <c r="W16" s="706">
        <f>J16</f>
        <v>100</v>
      </c>
      <c r="X16" s="1355"/>
      <c r="Y16" s="370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08"/>
      <c r="Q17" s="1352"/>
      <c r="R17" s="705"/>
      <c r="S17" s="706"/>
      <c r="T17" s="705"/>
      <c r="U17" s="706"/>
      <c r="V17" s="705"/>
      <c r="W17" s="706"/>
      <c r="X17" s="1355"/>
      <c r="Y17" s="3708"/>
      <c r="Z17" s="1356"/>
      <c r="AA17" s="1353">
        <v>1</v>
      </c>
      <c r="AB17" s="1353">
        <v>1</v>
      </c>
      <c r="AC17" s="1353">
        <v>1</v>
      </c>
    </row>
    <row r="18" spans="1:29" ht="1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8"/>
      <c r="Q18" s="1352" t="str">
        <f>B18</f>
        <v>基础设施水平</v>
      </c>
      <c r="R18" s="705" t="s">
        <v>14</v>
      </c>
      <c r="S18" s="706">
        <f>F18</f>
        <v>100</v>
      </c>
      <c r="T18" s="705" t="s">
        <v>14</v>
      </c>
      <c r="U18" s="706">
        <f>H18</f>
        <v>100</v>
      </c>
      <c r="V18" s="705" t="s">
        <v>14</v>
      </c>
      <c r="W18" s="706">
        <f>J18</f>
        <v>100</v>
      </c>
      <c r="X18" s="1355"/>
      <c r="Y18" s="370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08"/>
      <c r="Q19" s="1352"/>
      <c r="R19" s="705"/>
      <c r="S19" s="706"/>
      <c r="T19" s="705"/>
      <c r="U19" s="706"/>
      <c r="V19" s="705"/>
      <c r="W19" s="706"/>
      <c r="X19" s="1355"/>
      <c r="Y19" s="3708"/>
      <c r="Z19" s="1356"/>
      <c r="AA19" s="1353">
        <v>1</v>
      </c>
      <c r="AB19" s="1353">
        <v>1</v>
      </c>
      <c r="AC19" s="1353">
        <v>1</v>
      </c>
    </row>
    <row r="20" spans="1:29" ht="15">
      <c r="A20" s="379"/>
      <c r="B20" s="402" t="s">
        <v>1832</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8"/>
      <c r="Q20" s="1352" t="str">
        <f>B20</f>
        <v>自然及人文环境</v>
      </c>
      <c r="R20" s="705" t="s">
        <v>14</v>
      </c>
      <c r="S20" s="706">
        <f>F20</f>
        <v>100</v>
      </c>
      <c r="T20" s="705" t="s">
        <v>14</v>
      </c>
      <c r="U20" s="706">
        <f>H20</f>
        <v>100</v>
      </c>
      <c r="V20" s="705" t="s">
        <v>14</v>
      </c>
      <c r="W20" s="706">
        <f>J20</f>
        <v>100</v>
      </c>
      <c r="X20" s="1355"/>
      <c r="Y20" s="370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08"/>
      <c r="Q21" s="1352"/>
      <c r="R21" s="705"/>
      <c r="S21" s="706"/>
      <c r="T21" s="705"/>
      <c r="U21" s="706"/>
      <c r="V21" s="705"/>
      <c r="W21" s="706"/>
      <c r="X21" s="1355"/>
      <c r="Y21" s="3708"/>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8"/>
      <c r="Q22" s="1352" t="str">
        <f>B22</f>
        <v>楼层</v>
      </c>
      <c r="R22" s="705" t="s">
        <v>14</v>
      </c>
      <c r="S22" s="706">
        <f>F22</f>
        <v>100</v>
      </c>
      <c r="T22" s="705" t="s">
        <v>14</v>
      </c>
      <c r="U22" s="706">
        <f>H22</f>
        <v>100</v>
      </c>
      <c r="V22" s="705" t="s">
        <v>14</v>
      </c>
      <c r="W22" s="706">
        <f>J22</f>
        <v>100</v>
      </c>
      <c r="X22" s="1355"/>
      <c r="Y22" s="370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8"/>
      <c r="Q23" s="1352">
        <f>B23</f>
        <v>111</v>
      </c>
      <c r="R23" s="705" t="s">
        <v>14</v>
      </c>
      <c r="S23" s="706">
        <f>F23</f>
        <v>100</v>
      </c>
      <c r="T23" s="705" t="s">
        <v>14</v>
      </c>
      <c r="U23" s="706">
        <f>H23</f>
        <v>100</v>
      </c>
      <c r="V23" s="705" t="s">
        <v>14</v>
      </c>
      <c r="W23" s="706">
        <f>J23</f>
        <v>100</v>
      </c>
      <c r="X23" s="1355"/>
      <c r="Y23" s="370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8"/>
      <c r="Q24" s="1352">
        <f t="shared" ref="Q24:Q34" si="11">B24</f>
        <v>111</v>
      </c>
      <c r="R24" s="705" t="s">
        <v>14</v>
      </c>
      <c r="S24" s="706">
        <f>F24</f>
        <v>100</v>
      </c>
      <c r="T24" s="705" t="s">
        <v>14</v>
      </c>
      <c r="U24" s="706">
        <f>H24</f>
        <v>100</v>
      </c>
      <c r="V24" s="705" t="s">
        <v>14</v>
      </c>
      <c r="W24" s="706">
        <f>J24</f>
        <v>100</v>
      </c>
      <c r="X24" s="1355"/>
      <c r="Y24" s="370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08"/>
      <c r="Q25" s="1343">
        <f t="shared" si="11"/>
        <v>111</v>
      </c>
      <c r="R25" s="701" t="s">
        <v>14</v>
      </c>
      <c r="S25" s="702">
        <f>F25</f>
        <v>100</v>
      </c>
      <c r="T25" s="701" t="s">
        <v>14</v>
      </c>
      <c r="U25" s="702">
        <f>H25</f>
        <v>100</v>
      </c>
      <c r="V25" s="701" t="s">
        <v>14</v>
      </c>
      <c r="W25" s="702">
        <f>J25</f>
        <v>100</v>
      </c>
      <c r="X25" s="703"/>
      <c r="Y25" s="3708"/>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830"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2"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12"/>
      <c r="Q27" s="707" t="str">
        <f t="shared" si="11"/>
        <v>成新率</v>
      </c>
      <c r="R27" s="708" t="s">
        <v>14</v>
      </c>
      <c r="S27" s="709" t="e">
        <f t="shared" si="12"/>
        <v>#N/A</v>
      </c>
      <c r="T27" s="708" t="s">
        <v>14</v>
      </c>
      <c r="U27" s="709" t="e">
        <f t="shared" si="13"/>
        <v>#N/A</v>
      </c>
      <c r="V27" s="708" t="s">
        <v>14</v>
      </c>
      <c r="W27" s="709" t="e">
        <f t="shared" si="14"/>
        <v>#N/A</v>
      </c>
      <c r="X27" s="710"/>
      <c r="Y27" s="3712"/>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12"/>
      <c r="Q28" s="1352" t="str">
        <f t="shared" si="11"/>
        <v>物业等级</v>
      </c>
      <c r="R28" s="705" t="s">
        <v>14</v>
      </c>
      <c r="S28" s="706">
        <f t="shared" si="12"/>
        <v>100</v>
      </c>
      <c r="T28" s="705" t="s">
        <v>14</v>
      </c>
      <c r="U28" s="706">
        <f t="shared" si="13"/>
        <v>100</v>
      </c>
      <c r="V28" s="705" t="s">
        <v>14</v>
      </c>
      <c r="W28" s="706">
        <f t="shared" si="14"/>
        <v>100</v>
      </c>
      <c r="X28" s="1355"/>
      <c r="Y28" s="3712"/>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12"/>
      <c r="Q29" s="1352" t="str">
        <f t="shared" si="11"/>
        <v>有无电梯</v>
      </c>
      <c r="R29" s="705" t="s">
        <v>14</v>
      </c>
      <c r="S29" s="706">
        <f t="shared" si="12"/>
        <v>100</v>
      </c>
      <c r="T29" s="705" t="s">
        <v>14</v>
      </c>
      <c r="U29" s="706">
        <f t="shared" si="13"/>
        <v>100</v>
      </c>
      <c r="V29" s="705" t="s">
        <v>14</v>
      </c>
      <c r="W29" s="706">
        <f t="shared" si="14"/>
        <v>100</v>
      </c>
      <c r="X29" s="1355"/>
      <c r="Y29" s="3712"/>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12"/>
      <c r="Q30" s="1352" t="str">
        <f t="shared" si="11"/>
        <v>建筑面积</v>
      </c>
      <c r="R30" s="705" t="s">
        <v>14</v>
      </c>
      <c r="S30" s="706" t="e">
        <f t="shared" si="12"/>
        <v>#N/A</v>
      </c>
      <c r="T30" s="705" t="s">
        <v>14</v>
      </c>
      <c r="U30" s="706" t="e">
        <f t="shared" si="13"/>
        <v>#N/A</v>
      </c>
      <c r="V30" s="705" t="s">
        <v>14</v>
      </c>
      <c r="W30" s="706" t="e">
        <f t="shared" si="14"/>
        <v>#N/A</v>
      </c>
      <c r="X30" s="1355"/>
      <c r="Y30" s="3712"/>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12"/>
      <c r="Q31" s="1343" t="str">
        <f t="shared" si="11"/>
        <v>是否封闭</v>
      </c>
      <c r="R31" s="701" t="s">
        <v>14</v>
      </c>
      <c r="S31" s="702">
        <f t="shared" si="12"/>
        <v>100</v>
      </c>
      <c r="T31" s="701" t="s">
        <v>14</v>
      </c>
      <c r="U31" s="702">
        <f t="shared" si="13"/>
        <v>100</v>
      </c>
      <c r="V31" s="701" t="s">
        <v>14</v>
      </c>
      <c r="W31" s="702">
        <f t="shared" si="14"/>
        <v>100</v>
      </c>
      <c r="X31" s="703"/>
      <c r="Y31" s="371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12" t="s">
        <v>1694</v>
      </c>
      <c r="Q32" s="1352">
        <f t="shared" si="11"/>
        <v>111</v>
      </c>
      <c r="R32" s="705" t="s">
        <v>14</v>
      </c>
      <c r="S32" s="706">
        <f t="shared" si="12"/>
        <v>100</v>
      </c>
      <c r="T32" s="705" t="s">
        <v>14</v>
      </c>
      <c r="U32" s="706">
        <f t="shared" si="13"/>
        <v>100</v>
      </c>
      <c r="V32" s="705" t="s">
        <v>14</v>
      </c>
      <c r="W32" s="706">
        <f t="shared" si="14"/>
        <v>100</v>
      </c>
      <c r="X32" s="1355"/>
      <c r="Y32" s="3712"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12"/>
      <c r="Q33" s="1352">
        <f t="shared" si="11"/>
        <v>111</v>
      </c>
      <c r="R33" s="705" t="s">
        <v>14</v>
      </c>
      <c r="S33" s="706">
        <f t="shared" si="12"/>
        <v>100</v>
      </c>
      <c r="T33" s="705" t="s">
        <v>14</v>
      </c>
      <c r="U33" s="706">
        <f t="shared" si="13"/>
        <v>100</v>
      </c>
      <c r="V33" s="705" t="s">
        <v>14</v>
      </c>
      <c r="W33" s="706">
        <f t="shared" si="14"/>
        <v>100</v>
      </c>
      <c r="X33" s="1355"/>
      <c r="Y33" s="371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12"/>
      <c r="Q34" s="1352">
        <f t="shared" si="11"/>
        <v>111</v>
      </c>
      <c r="R34" s="705" t="s">
        <v>14</v>
      </c>
      <c r="S34" s="706">
        <f t="shared" si="12"/>
        <v>100</v>
      </c>
      <c r="T34" s="705" t="s">
        <v>14</v>
      </c>
      <c r="U34" s="706">
        <f t="shared" si="13"/>
        <v>100</v>
      </c>
      <c r="V34" s="705" t="s">
        <v>14</v>
      </c>
      <c r="W34" s="706">
        <f t="shared" si="14"/>
        <v>100</v>
      </c>
      <c r="X34" s="1355"/>
      <c r="Y34" s="3712"/>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2"/>
      <c r="M35" s="2723"/>
      <c r="N35" s="2714"/>
      <c r="O35" s="2723"/>
      <c r="P35" s="3700" t="str">
        <f>A35</f>
        <v>成交单价（元/平方米）</v>
      </c>
      <c r="Q35" s="3700"/>
      <c r="R35" s="3701">
        <f>E35</f>
        <v>0</v>
      </c>
      <c r="S35" s="3701"/>
      <c r="T35" s="3701">
        <f>G35</f>
        <v>0</v>
      </c>
      <c r="U35" s="3701"/>
      <c r="V35" s="3701">
        <f>I35</f>
        <v>0</v>
      </c>
      <c r="W35" s="3701"/>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22"/>
      <c r="M36" s="2723"/>
      <c r="N36" s="2714"/>
      <c r="O36" s="2723"/>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2"/>
      <c r="M37" s="2723"/>
      <c r="N37" s="2723"/>
      <c r="O37" s="2723"/>
      <c r="P37" s="3702" t="str">
        <f>A37</f>
        <v>估价对象XX用房的比较价值（楼面单价，元/平方米）</v>
      </c>
      <c r="Q37" s="3703"/>
      <c r="R37" s="3831" t="e">
        <f>IF(F1="售价",ROUND(IF(D36="简单平均",AVERAGE(R36:W36),R36*F36+T36*H36+V36*J36),0),ROUND(IF(D36="简单平均",AVERAGE(R36:V36),R36*F36+T36*H36+V36*J36),1))</f>
        <v>#DIV/0!</v>
      </c>
      <c r="S37" s="3831"/>
      <c r="T37" s="3831"/>
      <c r="U37" s="3831"/>
      <c r="V37" s="3831"/>
      <c r="W37" s="3831"/>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1796</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1677</v>
      </c>
      <c r="B46" s="455"/>
      <c r="C46" s="1184" t="str">
        <f>YEAR(C7)&amp;"-"&amp;MONTH(C7)</f>
        <v>2024-7</v>
      </c>
      <c r="D46" s="1185">
        <f>EDATE(C46,-1)</f>
        <v>45444</v>
      </c>
      <c r="E46" s="1185">
        <f t="shared" ref="E46:O46" si="16">EDATE(D46,-1)</f>
        <v>45413</v>
      </c>
      <c r="F46" s="1185">
        <f t="shared" si="16"/>
        <v>45383</v>
      </c>
      <c r="G46" s="1185">
        <f t="shared" si="16"/>
        <v>45352</v>
      </c>
      <c r="H46" s="1185">
        <f t="shared" si="16"/>
        <v>45323</v>
      </c>
      <c r="I46" s="1185">
        <f t="shared" si="16"/>
        <v>45292</v>
      </c>
      <c r="J46" s="1185">
        <f t="shared" si="16"/>
        <v>45261</v>
      </c>
      <c r="K46" s="1185">
        <f t="shared" si="16"/>
        <v>45231</v>
      </c>
      <c r="L46" s="1185">
        <f t="shared" si="16"/>
        <v>45200</v>
      </c>
      <c r="M46" s="1185">
        <f t="shared" si="16"/>
        <v>45170</v>
      </c>
      <c r="N46" s="1185">
        <f t="shared" si="16"/>
        <v>45139</v>
      </c>
      <c r="O46" s="1185">
        <f t="shared" si="16"/>
        <v>45108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1714</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1679</v>
      </c>
      <c r="B49" s="459"/>
      <c r="C49" s="471" t="s">
        <v>1774</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1717</v>
      </c>
      <c r="B51" s="477" t="s">
        <v>1683</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1686</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1861</v>
      </c>
      <c r="C63" s="527" t="s">
        <v>1719</v>
      </c>
      <c r="D63" s="527" t="s">
        <v>1720</v>
      </c>
      <c r="E63" s="527" t="s">
        <v>1721</v>
      </c>
      <c r="F63" s="527" t="s">
        <v>1722</v>
      </c>
      <c r="G63" s="527" t="s">
        <v>1723</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1811</v>
      </c>
      <c r="C65" s="608" t="s">
        <v>1797</v>
      </c>
      <c r="D65" s="608" t="s">
        <v>1798</v>
      </c>
      <c r="E65" s="608" t="s">
        <v>1799</v>
      </c>
      <c r="F65" s="608" t="s">
        <v>1800</v>
      </c>
      <c r="G65" s="608" t="s">
        <v>1801</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1731</v>
      </c>
      <c r="C67" s="527" t="s">
        <v>1719</v>
      </c>
      <c r="D67" s="527" t="s">
        <v>1720</v>
      </c>
      <c r="E67" s="527" t="s">
        <v>1721</v>
      </c>
      <c r="F67" s="527" t="s">
        <v>1722</v>
      </c>
      <c r="G67" s="527" t="s">
        <v>1723</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1850</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1692</v>
      </c>
      <c r="B77" s="477" t="s">
        <v>1738</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1854</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1862</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1864</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1767</v>
      </c>
      <c r="B4" s="356"/>
      <c r="C4" s="3719" t="s">
        <v>1768</v>
      </c>
      <c r="D4" s="3720"/>
      <c r="E4" s="3721" t="s">
        <v>1769</v>
      </c>
      <c r="F4" s="3722"/>
      <c r="G4" s="3719" t="s">
        <v>1770</v>
      </c>
      <c r="H4" s="3720"/>
      <c r="I4" s="3719" t="s">
        <v>1771</v>
      </c>
      <c r="J4" s="3720"/>
      <c r="K4" s="559" t="s">
        <v>1772</v>
      </c>
      <c r="L4" s="2713"/>
      <c r="M4" s="2714"/>
      <c r="N4" s="2714"/>
      <c r="O4" s="2714"/>
      <c r="P4" s="3723" t="s">
        <v>1773</v>
      </c>
      <c r="Q4" s="3724"/>
      <c r="R4" s="3729" t="s">
        <v>1769</v>
      </c>
      <c r="S4" s="3730"/>
      <c r="T4" s="3729" t="s">
        <v>1770</v>
      </c>
      <c r="U4" s="3730"/>
      <c r="V4" s="3714" t="s">
        <v>1771</v>
      </c>
      <c r="W4" s="3714"/>
      <c r="X4" s="1355"/>
      <c r="Y4" s="3729" t="s">
        <v>1773</v>
      </c>
      <c r="Z4" s="3730"/>
      <c r="AA4" s="3716" t="s">
        <v>1769</v>
      </c>
      <c r="AB4" s="3717" t="s">
        <v>1770</v>
      </c>
      <c r="AC4" s="3716" t="s">
        <v>1771</v>
      </c>
    </row>
    <row r="5" spans="1:30" ht="15">
      <c r="A5" s="358"/>
      <c r="B5" s="359"/>
      <c r="C5" s="3737" t="s">
        <v>1671</v>
      </c>
      <c r="D5" s="3738"/>
      <c r="E5" s="3743" t="s">
        <v>1672</v>
      </c>
      <c r="F5" s="3744"/>
      <c r="G5" s="3737" t="s">
        <v>1673</v>
      </c>
      <c r="H5" s="3738"/>
      <c r="I5" s="3737" t="s">
        <v>1674</v>
      </c>
      <c r="J5" s="3738"/>
      <c r="K5" s="559"/>
      <c r="L5" s="2713"/>
      <c r="M5" s="2714"/>
      <c r="N5" s="2714"/>
      <c r="O5" s="2714"/>
      <c r="P5" s="3725"/>
      <c r="Q5" s="3726"/>
      <c r="R5" s="3731"/>
      <c r="S5" s="3732"/>
      <c r="T5" s="3731"/>
      <c r="U5" s="3732"/>
      <c r="V5" s="3714"/>
      <c r="W5" s="3714"/>
      <c r="X5" s="1355"/>
      <c r="Y5" s="3731"/>
      <c r="Z5" s="3732"/>
      <c r="AA5" s="3717"/>
      <c r="AB5" s="3717"/>
      <c r="AC5" s="3717"/>
    </row>
    <row r="6" spans="1:30" ht="15.75" thickBot="1">
      <c r="A6" s="360"/>
      <c r="B6" s="361"/>
      <c r="C6" s="3812" t="s">
        <v>1675</v>
      </c>
      <c r="D6" s="3736"/>
      <c r="E6" s="3813" t="s">
        <v>1675</v>
      </c>
      <c r="F6" s="3814"/>
      <c r="G6" s="3812" t="s">
        <v>1675</v>
      </c>
      <c r="H6" s="3736"/>
      <c r="I6" s="3812" t="s">
        <v>1675</v>
      </c>
      <c r="J6" s="3736"/>
      <c r="K6" s="559" t="s">
        <v>1676</v>
      </c>
      <c r="L6" s="2713"/>
      <c r="M6" s="2714"/>
      <c r="N6" s="2714"/>
      <c r="O6" s="2714"/>
      <c r="P6" s="3727"/>
      <c r="Q6" s="3728"/>
      <c r="R6" s="3731"/>
      <c r="S6" s="3732"/>
      <c r="T6" s="3733"/>
      <c r="U6" s="3734"/>
      <c r="V6" s="3714"/>
      <c r="W6" s="3714"/>
      <c r="X6" s="1355"/>
      <c r="Y6" s="3733"/>
      <c r="Z6" s="3734"/>
      <c r="AA6" s="3718"/>
      <c r="AB6" s="3718"/>
      <c r="AC6" s="3718"/>
    </row>
    <row r="7" spans="1:30" s="108" customFormat="1" ht="15.75" thickBot="1">
      <c r="A7" s="362" t="s">
        <v>1677</v>
      </c>
      <c r="B7" s="363"/>
      <c r="C7" s="364">
        <f>'数据-取费表'!B2</f>
        <v>45495</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39" t="s">
        <v>1678</v>
      </c>
      <c r="Q7" s="3741"/>
      <c r="R7" s="701" t="s">
        <v>14</v>
      </c>
      <c r="S7" s="702">
        <f t="shared" ref="S7:S15" si="0">F7</f>
        <v>0</v>
      </c>
      <c r="T7" s="701" t="s">
        <v>14</v>
      </c>
      <c r="U7" s="702">
        <f t="shared" ref="U7:U15" si="1">H7</f>
        <v>0</v>
      </c>
      <c r="V7" s="701" t="s">
        <v>14</v>
      </c>
      <c r="W7" s="702">
        <f t="shared" ref="W7:W15" si="2">J7</f>
        <v>0</v>
      </c>
      <c r="X7" s="703"/>
      <c r="Y7" s="3739" t="s">
        <v>1678</v>
      </c>
      <c r="Z7" s="3740"/>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39" t="s">
        <v>1681</v>
      </c>
      <c r="Q8" s="3740"/>
      <c r="R8" s="701" t="s">
        <v>14</v>
      </c>
      <c r="S8" s="702">
        <f t="shared" si="0"/>
        <v>0</v>
      </c>
      <c r="T8" s="701" t="s">
        <v>14</v>
      </c>
      <c r="U8" s="702">
        <f t="shared" si="1"/>
        <v>0</v>
      </c>
      <c r="V8" s="701" t="s">
        <v>14</v>
      </c>
      <c r="W8" s="702">
        <f t="shared" si="2"/>
        <v>0</v>
      </c>
      <c r="X8" s="703"/>
      <c r="Y8" s="3739" t="s">
        <v>1681</v>
      </c>
      <c r="Z8" s="3740"/>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00" t="s">
        <v>1684</v>
      </c>
      <c r="Q9" s="1343" t="str">
        <f t="shared" ref="Q9:Q15" si="6">B9</f>
        <v>用途</v>
      </c>
      <c r="R9" s="701" t="s">
        <v>14</v>
      </c>
      <c r="S9" s="702">
        <f t="shared" si="0"/>
        <v>100</v>
      </c>
      <c r="T9" s="701" t="s">
        <v>14</v>
      </c>
      <c r="U9" s="702">
        <f t="shared" si="1"/>
        <v>100</v>
      </c>
      <c r="V9" s="701" t="s">
        <v>14</v>
      </c>
      <c r="W9" s="702">
        <f t="shared" si="2"/>
        <v>100</v>
      </c>
      <c r="X9" s="703"/>
      <c r="Y9" s="3599"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108</v>
      </c>
      <c r="G10" s="414"/>
      <c r="H10" s="127">
        <f>ROUND(100/'数据-取费表'!G16,0)</f>
        <v>108</v>
      </c>
      <c r="I10" s="414"/>
      <c r="J10" s="127">
        <f>ROUND(100/'数据-取费表'!G16,0)</f>
        <v>108</v>
      </c>
      <c r="K10" s="620"/>
      <c r="L10" s="2717"/>
      <c r="M10" s="2718"/>
      <c r="N10" s="2718"/>
      <c r="O10" s="2771"/>
      <c r="P10" s="3700"/>
      <c r="Q10" s="1343" t="str">
        <f t="shared" si="6"/>
        <v>土地使用年限（年）</v>
      </c>
      <c r="R10" s="701" t="s">
        <v>14</v>
      </c>
      <c r="S10" s="702">
        <f t="shared" si="0"/>
        <v>108</v>
      </c>
      <c r="T10" s="701" t="s">
        <v>14</v>
      </c>
      <c r="U10" s="702">
        <f t="shared" si="1"/>
        <v>108</v>
      </c>
      <c r="V10" s="701" t="s">
        <v>14</v>
      </c>
      <c r="W10" s="702">
        <f t="shared" si="2"/>
        <v>108</v>
      </c>
      <c r="X10" s="703"/>
      <c r="Y10" s="3599"/>
      <c r="Z10" s="52" t="str">
        <f t="shared" si="7"/>
        <v>土地使用年限（年）</v>
      </c>
      <c r="AA10" s="704">
        <f t="shared" si="3"/>
        <v>0.92592592592592593</v>
      </c>
      <c r="AB10" s="704">
        <f t="shared" si="4"/>
        <v>0.92592592592592593</v>
      </c>
      <c r="AC10" s="704">
        <f t="shared" si="5"/>
        <v>0.92592592592592593</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0"/>
      <c r="Q11" s="1343" t="str">
        <f t="shared" si="6"/>
        <v>容积率</v>
      </c>
      <c r="R11" s="701" t="s">
        <v>14</v>
      </c>
      <c r="S11" s="702" t="e">
        <f t="shared" si="0"/>
        <v>#N/A</v>
      </c>
      <c r="T11" s="701" t="s">
        <v>14</v>
      </c>
      <c r="U11" s="702" t="e">
        <f t="shared" si="1"/>
        <v>#N/A</v>
      </c>
      <c r="V11" s="701" t="s">
        <v>14</v>
      </c>
      <c r="W11" s="702" t="e">
        <f t="shared" si="2"/>
        <v>#N/A</v>
      </c>
      <c r="X11" s="703"/>
      <c r="Y11" s="3599"/>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0"/>
      <c r="Q12" s="1343" t="str">
        <f t="shared" si="6"/>
        <v>配建</v>
      </c>
      <c r="R12" s="701" t="s">
        <v>14</v>
      </c>
      <c r="S12" s="702">
        <f t="shared" si="0"/>
        <v>100</v>
      </c>
      <c r="T12" s="701" t="s">
        <v>14</v>
      </c>
      <c r="U12" s="702">
        <f t="shared" si="1"/>
        <v>100</v>
      </c>
      <c r="V12" s="701" t="s">
        <v>14</v>
      </c>
      <c r="W12" s="702">
        <f t="shared" si="2"/>
        <v>100</v>
      </c>
      <c r="X12" s="703"/>
      <c r="Y12" s="359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0"/>
      <c r="Q13" s="1343">
        <f t="shared" si="6"/>
        <v>111</v>
      </c>
      <c r="R13" s="701" t="s">
        <v>14</v>
      </c>
      <c r="S13" s="702">
        <f t="shared" si="0"/>
        <v>100</v>
      </c>
      <c r="T13" s="701" t="s">
        <v>14</v>
      </c>
      <c r="U13" s="702">
        <f t="shared" si="1"/>
        <v>100</v>
      </c>
      <c r="V13" s="701" t="s">
        <v>14</v>
      </c>
      <c r="W13" s="702">
        <f t="shared" si="2"/>
        <v>100</v>
      </c>
      <c r="X13" s="703"/>
      <c r="Y13" s="359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0"/>
      <c r="Q14" s="1343">
        <f t="shared" si="6"/>
        <v>111</v>
      </c>
      <c r="R14" s="701" t="s">
        <v>14</v>
      </c>
      <c r="S14" s="702">
        <f t="shared" si="0"/>
        <v>100</v>
      </c>
      <c r="T14" s="701" t="s">
        <v>14</v>
      </c>
      <c r="U14" s="702">
        <f t="shared" si="1"/>
        <v>100</v>
      </c>
      <c r="V14" s="701" t="s">
        <v>14</v>
      </c>
      <c r="W14" s="702">
        <f t="shared" si="2"/>
        <v>100</v>
      </c>
      <c r="X14" s="703"/>
      <c r="Y14" s="3599"/>
      <c r="Z14" s="52">
        <f t="shared" si="7"/>
        <v>111</v>
      </c>
      <c r="AA14" s="704">
        <f>D14/F14</f>
        <v>1</v>
      </c>
      <c r="AB14" s="704">
        <f>D14/H14</f>
        <v>1</v>
      </c>
      <c r="AC14" s="704">
        <f>D14/J14</f>
        <v>1</v>
      </c>
    </row>
    <row r="15" spans="1:30" ht="15">
      <c r="A15" s="391" t="s">
        <v>1688</v>
      </c>
      <c r="B15" s="61" t="s">
        <v>1255</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7" t="s">
        <v>1689</v>
      </c>
      <c r="Q15" s="1352" t="str">
        <f t="shared" si="6"/>
        <v>居住社区成熟度</v>
      </c>
      <c r="R15" s="705" t="s">
        <v>14</v>
      </c>
      <c r="S15" s="706">
        <f t="shared" si="0"/>
        <v>100</v>
      </c>
      <c r="T15" s="705" t="s">
        <v>14</v>
      </c>
      <c r="U15" s="706">
        <f t="shared" si="1"/>
        <v>100</v>
      </c>
      <c r="V15" s="705" t="s">
        <v>14</v>
      </c>
      <c r="W15" s="706">
        <f t="shared" si="2"/>
        <v>100</v>
      </c>
      <c r="X15" s="1355"/>
      <c r="Y15" s="3707"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08"/>
      <c r="Q16" s="1352"/>
      <c r="R16" s="705"/>
      <c r="S16" s="706"/>
      <c r="T16" s="705"/>
      <c r="U16" s="706"/>
      <c r="V16" s="705"/>
      <c r="W16" s="706"/>
      <c r="X16" s="1355"/>
      <c r="Y16" s="3708"/>
      <c r="Z16" s="1356"/>
      <c r="AA16" s="1353">
        <v>1</v>
      </c>
      <c r="AB16" s="1353">
        <v>1</v>
      </c>
      <c r="AC16" s="1353">
        <v>1</v>
      </c>
    </row>
    <row r="17" spans="1:29" ht="15">
      <c r="A17" s="379"/>
      <c r="B17" s="402" t="s">
        <v>1775</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8"/>
      <c r="Q17" s="1352" t="str">
        <f>B17</f>
        <v>商业繁华度</v>
      </c>
      <c r="R17" s="705" t="s">
        <v>14</v>
      </c>
      <c r="S17" s="706">
        <f>F17</f>
        <v>100</v>
      </c>
      <c r="T17" s="705" t="s">
        <v>14</v>
      </c>
      <c r="U17" s="706">
        <f>H17</f>
        <v>100</v>
      </c>
      <c r="V17" s="705" t="s">
        <v>14</v>
      </c>
      <c r="W17" s="706">
        <f>J17</f>
        <v>100</v>
      </c>
      <c r="X17" s="1355"/>
      <c r="Y17" s="370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08"/>
      <c r="Q18" s="1352"/>
      <c r="R18" s="705"/>
      <c r="S18" s="706"/>
      <c r="T18" s="705"/>
      <c r="U18" s="706"/>
      <c r="V18" s="705"/>
      <c r="W18" s="706"/>
      <c r="X18" s="1355"/>
      <c r="Y18" s="3708"/>
      <c r="Z18" s="1356"/>
      <c r="AA18" s="1353">
        <v>1</v>
      </c>
      <c r="AB18" s="1353">
        <v>1</v>
      </c>
      <c r="AC18" s="1353">
        <v>1</v>
      </c>
    </row>
    <row r="19" spans="1:29" ht="15">
      <c r="A19" s="379"/>
      <c r="B19" s="402" t="s">
        <v>1809</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8"/>
      <c r="Q19" s="1352" t="str">
        <f>B19</f>
        <v>办公集聚程度</v>
      </c>
      <c r="R19" s="705" t="s">
        <v>14</v>
      </c>
      <c r="S19" s="706">
        <f>F19</f>
        <v>100</v>
      </c>
      <c r="T19" s="705" t="s">
        <v>14</v>
      </c>
      <c r="U19" s="706">
        <f>H19</f>
        <v>100</v>
      </c>
      <c r="V19" s="705" t="s">
        <v>14</v>
      </c>
      <c r="W19" s="706">
        <f>J19</f>
        <v>100</v>
      </c>
      <c r="X19" s="1355"/>
      <c r="Y19" s="370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08"/>
      <c r="Q20" s="1352"/>
      <c r="R20" s="705"/>
      <c r="S20" s="706"/>
      <c r="T20" s="705"/>
      <c r="U20" s="706"/>
      <c r="V20" s="705"/>
      <c r="W20" s="706"/>
      <c r="X20" s="1355"/>
      <c r="Y20" s="3708"/>
      <c r="Z20" s="1356"/>
      <c r="AA20" s="1353">
        <v>1</v>
      </c>
      <c r="AB20" s="1353">
        <v>1</v>
      </c>
      <c r="AC20" s="1353">
        <v>1</v>
      </c>
    </row>
    <row r="21" spans="1:29" ht="15">
      <c r="A21" s="379"/>
      <c r="B21" s="402" t="s">
        <v>1831</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8"/>
      <c r="Q21" s="1352" t="str">
        <f>B21</f>
        <v>交通便捷度</v>
      </c>
      <c r="R21" s="705" t="s">
        <v>14</v>
      </c>
      <c r="S21" s="706">
        <f>F21</f>
        <v>100</v>
      </c>
      <c r="T21" s="705" t="s">
        <v>14</v>
      </c>
      <c r="U21" s="706">
        <f>H21</f>
        <v>100</v>
      </c>
      <c r="V21" s="705" t="s">
        <v>14</v>
      </c>
      <c r="W21" s="706">
        <f>J21</f>
        <v>100</v>
      </c>
      <c r="X21" s="1355"/>
      <c r="Y21" s="370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08"/>
      <c r="Q22" s="1352"/>
      <c r="R22" s="705"/>
      <c r="S22" s="706"/>
      <c r="T22" s="705"/>
      <c r="U22" s="706"/>
      <c r="V22" s="705"/>
      <c r="W22" s="706"/>
      <c r="X22" s="1355"/>
      <c r="Y22" s="3708"/>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8"/>
      <c r="Q23" s="1352" t="str">
        <f t="shared" ref="Q23:Q37" si="8">B23</f>
        <v>区域土地利用方向</v>
      </c>
      <c r="R23" s="705" t="s">
        <v>14</v>
      </c>
      <c r="S23" s="706">
        <f>F23</f>
        <v>100</v>
      </c>
      <c r="T23" s="705" t="s">
        <v>14</v>
      </c>
      <c r="U23" s="706">
        <f>H23</f>
        <v>100</v>
      </c>
      <c r="V23" s="705" t="s">
        <v>14</v>
      </c>
      <c r="W23" s="706">
        <f>J23</f>
        <v>100</v>
      </c>
      <c r="X23" s="1355"/>
      <c r="Y23" s="370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08"/>
      <c r="Q24" s="1352"/>
      <c r="R24" s="705"/>
      <c r="S24" s="706"/>
      <c r="T24" s="705"/>
      <c r="U24" s="706"/>
      <c r="V24" s="705"/>
      <c r="W24" s="706"/>
      <c r="X24" s="1355"/>
      <c r="Y24" s="3708"/>
      <c r="Z24" s="1356"/>
      <c r="AA24" s="1353"/>
      <c r="AB24" s="1353"/>
      <c r="AC24" s="1353"/>
    </row>
    <row r="25" spans="1:29" ht="27">
      <c r="A25" s="358"/>
      <c r="B25" s="1131" t="s">
        <v>1870</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8"/>
      <c r="Q25" s="1352" t="str">
        <f t="shared" si="8"/>
        <v>自然及人文环境状况</v>
      </c>
      <c r="R25" s="705" t="s">
        <v>14</v>
      </c>
      <c r="S25" s="706">
        <f>F25</f>
        <v>100</v>
      </c>
      <c r="T25" s="705" t="s">
        <v>14</v>
      </c>
      <c r="U25" s="706">
        <f>H25</f>
        <v>100</v>
      </c>
      <c r="V25" s="705" t="s">
        <v>14</v>
      </c>
      <c r="W25" s="706">
        <f>J25</f>
        <v>100</v>
      </c>
      <c r="X25" s="1355"/>
      <c r="Y25" s="370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08"/>
      <c r="Q26" s="1352"/>
      <c r="R26" s="705"/>
      <c r="S26" s="706"/>
      <c r="T26" s="705"/>
      <c r="U26" s="706"/>
      <c r="V26" s="705"/>
      <c r="W26" s="706"/>
      <c r="X26" s="1355"/>
      <c r="Y26" s="3708"/>
      <c r="Z26" s="1356"/>
      <c r="AA26" s="1353">
        <v>1</v>
      </c>
      <c r="AB26" s="1353">
        <v>1</v>
      </c>
      <c r="AC26" s="1353">
        <v>1</v>
      </c>
    </row>
    <row r="27" spans="1:29" s="108" customFormat="1" ht="15">
      <c r="A27" s="597"/>
      <c r="B27" s="1131" t="s">
        <v>1776</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8"/>
      <c r="Q27" s="1343" t="str">
        <f t="shared" si="8"/>
        <v>公共配套设施</v>
      </c>
      <c r="R27" s="701" t="s">
        <v>14</v>
      </c>
      <c r="S27" s="702">
        <f>F27</f>
        <v>100</v>
      </c>
      <c r="T27" s="701" t="s">
        <v>14</v>
      </c>
      <c r="U27" s="702">
        <f>H27</f>
        <v>100</v>
      </c>
      <c r="V27" s="701" t="s">
        <v>14</v>
      </c>
      <c r="W27" s="702">
        <f>J27</f>
        <v>100</v>
      </c>
      <c r="X27" s="703"/>
      <c r="Y27" s="370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08"/>
      <c r="Q28" s="1343"/>
      <c r="R28" s="701"/>
      <c r="S28" s="702"/>
      <c r="T28" s="701"/>
      <c r="U28" s="702"/>
      <c r="V28" s="701"/>
      <c r="W28" s="702"/>
      <c r="X28" s="703"/>
      <c r="Y28" s="3708"/>
      <c r="Z28" s="52"/>
      <c r="AA28" s="1353">
        <v>1</v>
      </c>
      <c r="AB28" s="1353">
        <v>1</v>
      </c>
      <c r="AC28" s="1353">
        <v>1</v>
      </c>
    </row>
    <row r="29" spans="1:29" s="108" customFormat="1" ht="15">
      <c r="A29" s="597"/>
      <c r="B29" s="1131" t="s">
        <v>1777</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8"/>
      <c r="Q29" s="1343" t="str">
        <f t="shared" ref="Q29" si="9">B29</f>
        <v>基础设施水平</v>
      </c>
      <c r="R29" s="701" t="s">
        <v>14</v>
      </c>
      <c r="S29" s="702">
        <f>F29</f>
        <v>100</v>
      </c>
      <c r="T29" s="701" t="s">
        <v>14</v>
      </c>
      <c r="U29" s="702">
        <f>H29</f>
        <v>100</v>
      </c>
      <c r="V29" s="701" t="s">
        <v>14</v>
      </c>
      <c r="W29" s="702">
        <f>J29</f>
        <v>100</v>
      </c>
      <c r="X29" s="703"/>
      <c r="Y29" s="370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08"/>
      <c r="Q30" s="1343"/>
      <c r="R30" s="701"/>
      <c r="S30" s="702"/>
      <c r="T30" s="701"/>
      <c r="U30" s="702"/>
      <c r="V30" s="701"/>
      <c r="W30" s="702"/>
      <c r="X30" s="703"/>
      <c r="Y30" s="3708"/>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8"/>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8"/>
      <c r="Q32" s="1352" t="str">
        <f t="shared" si="8"/>
        <v>毗邻道路的类型与等级</v>
      </c>
      <c r="R32" s="705" t="s">
        <v>14</v>
      </c>
      <c r="S32" s="706">
        <f t="shared" si="10"/>
        <v>100</v>
      </c>
      <c r="T32" s="705" t="s">
        <v>14</v>
      </c>
      <c r="U32" s="706">
        <f t="shared" si="11"/>
        <v>100</v>
      </c>
      <c r="V32" s="705" t="s">
        <v>14</v>
      </c>
      <c r="W32" s="706">
        <f t="shared" si="12"/>
        <v>100</v>
      </c>
      <c r="X32" s="1355"/>
      <c r="Y32" s="370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08"/>
      <c r="Q33" s="1352"/>
      <c r="R33" s="705"/>
      <c r="S33" s="706"/>
      <c r="T33" s="705"/>
      <c r="U33" s="706"/>
      <c r="V33" s="705"/>
      <c r="W33" s="706"/>
      <c r="X33" s="1355"/>
      <c r="Y33" s="3708"/>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8"/>
      <c r="Q34" s="1352" t="str">
        <f t="shared" si="8"/>
        <v>土地级别</v>
      </c>
      <c r="R34" s="705" t="s">
        <v>14</v>
      </c>
      <c r="S34" s="706">
        <f t="shared" si="10"/>
        <v>100</v>
      </c>
      <c r="T34" s="705" t="s">
        <v>14</v>
      </c>
      <c r="U34" s="706">
        <f t="shared" si="11"/>
        <v>100</v>
      </c>
      <c r="V34" s="705" t="s">
        <v>14</v>
      </c>
      <c r="W34" s="706">
        <f t="shared" si="12"/>
        <v>100</v>
      </c>
      <c r="X34" s="1355"/>
      <c r="Y34" s="370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8"/>
      <c r="Q35" s="1352">
        <f t="shared" si="8"/>
        <v>111</v>
      </c>
      <c r="R35" s="705" t="s">
        <v>14</v>
      </c>
      <c r="S35" s="706">
        <f t="shared" si="10"/>
        <v>100</v>
      </c>
      <c r="T35" s="705" t="s">
        <v>14</v>
      </c>
      <c r="U35" s="706">
        <f t="shared" si="11"/>
        <v>100</v>
      </c>
      <c r="V35" s="705" t="s">
        <v>14</v>
      </c>
      <c r="W35" s="706">
        <f t="shared" si="12"/>
        <v>100</v>
      </c>
      <c r="X35" s="1355"/>
      <c r="Y35" s="370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830" t="s">
        <v>1694</v>
      </c>
      <c r="Q36" s="1352">
        <f t="shared" si="8"/>
        <v>111</v>
      </c>
      <c r="R36" s="705" t="s">
        <v>14</v>
      </c>
      <c r="S36" s="706">
        <f t="shared" si="10"/>
        <v>100</v>
      </c>
      <c r="T36" s="705" t="s">
        <v>14</v>
      </c>
      <c r="U36" s="706">
        <f t="shared" si="11"/>
        <v>100</v>
      </c>
      <c r="V36" s="705" t="s">
        <v>14</v>
      </c>
      <c r="W36" s="706">
        <f t="shared" si="12"/>
        <v>100</v>
      </c>
      <c r="X36" s="1355"/>
      <c r="Y36" s="3712"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12"/>
      <c r="Q37" s="1352">
        <f t="shared" si="8"/>
        <v>111</v>
      </c>
      <c r="R37" s="708" t="s">
        <v>14</v>
      </c>
      <c r="S37" s="709">
        <f t="shared" si="10"/>
        <v>100</v>
      </c>
      <c r="T37" s="708" t="s">
        <v>14</v>
      </c>
      <c r="U37" s="709">
        <f t="shared" si="11"/>
        <v>100</v>
      </c>
      <c r="V37" s="708" t="s">
        <v>14</v>
      </c>
      <c r="W37" s="709">
        <f t="shared" si="12"/>
        <v>100</v>
      </c>
      <c r="X37" s="710"/>
      <c r="Y37" s="3712"/>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12"/>
      <c r="Q38" s="1352" t="str">
        <f>B38</f>
        <v>宗地面积</v>
      </c>
      <c r="R38" s="705" t="s">
        <v>14</v>
      </c>
      <c r="S38" s="706" t="e">
        <f t="shared" si="10"/>
        <v>#N/A</v>
      </c>
      <c r="T38" s="705" t="s">
        <v>14</v>
      </c>
      <c r="U38" s="706" t="e">
        <f t="shared" si="11"/>
        <v>#N/A</v>
      </c>
      <c r="V38" s="705" t="s">
        <v>14</v>
      </c>
      <c r="W38" s="706" t="e">
        <f t="shared" si="12"/>
        <v>#N/A</v>
      </c>
      <c r="X38" s="1355"/>
      <c r="Y38" s="3712"/>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12"/>
      <c r="Q39" s="1352" t="str">
        <f t="shared" ref="Q39:Q45" si="14">B39</f>
        <v>宗地形状</v>
      </c>
      <c r="R39" s="705" t="s">
        <v>14</v>
      </c>
      <c r="S39" s="706">
        <f t="shared" si="10"/>
        <v>100</v>
      </c>
      <c r="T39" s="705" t="s">
        <v>14</v>
      </c>
      <c r="U39" s="706">
        <f t="shared" si="11"/>
        <v>100</v>
      </c>
      <c r="V39" s="705" t="s">
        <v>14</v>
      </c>
      <c r="W39" s="706">
        <f t="shared" si="12"/>
        <v>100</v>
      </c>
      <c r="X39" s="1355"/>
      <c r="Y39" s="3712"/>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12"/>
      <c r="Q40" s="1352" t="str">
        <f t="shared" si="14"/>
        <v>临街宽度及深度</v>
      </c>
      <c r="R40" s="705" t="s">
        <v>14</v>
      </c>
      <c r="S40" s="706">
        <f t="shared" si="10"/>
        <v>100</v>
      </c>
      <c r="T40" s="705" t="s">
        <v>14</v>
      </c>
      <c r="U40" s="706">
        <f t="shared" si="11"/>
        <v>100</v>
      </c>
      <c r="V40" s="705" t="s">
        <v>14</v>
      </c>
      <c r="W40" s="706">
        <f t="shared" si="12"/>
        <v>100</v>
      </c>
      <c r="X40" s="1355"/>
      <c r="Y40" s="3712"/>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12"/>
      <c r="Q41" s="1352" t="str">
        <f t="shared" si="14"/>
        <v>宗地开发程度</v>
      </c>
      <c r="R41" s="701" t="s">
        <v>14</v>
      </c>
      <c r="S41" s="702">
        <f t="shared" si="10"/>
        <v>100</v>
      </c>
      <c r="T41" s="701" t="s">
        <v>14</v>
      </c>
      <c r="U41" s="702">
        <f t="shared" si="11"/>
        <v>100</v>
      </c>
      <c r="V41" s="701" t="s">
        <v>14</v>
      </c>
      <c r="W41" s="702">
        <f t="shared" si="12"/>
        <v>100</v>
      </c>
      <c r="X41" s="703"/>
      <c r="Y41" s="3712"/>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12" t="s">
        <v>1694</v>
      </c>
      <c r="Q42" s="1352" t="str">
        <f t="shared" si="14"/>
        <v>工程地质条件</v>
      </c>
      <c r="R42" s="705" t="s">
        <v>14</v>
      </c>
      <c r="S42" s="706">
        <f t="shared" si="10"/>
        <v>100</v>
      </c>
      <c r="T42" s="705" t="s">
        <v>14</v>
      </c>
      <c r="U42" s="706">
        <f t="shared" si="11"/>
        <v>100</v>
      </c>
      <c r="V42" s="705" t="s">
        <v>14</v>
      </c>
      <c r="W42" s="706">
        <f t="shared" si="12"/>
        <v>100</v>
      </c>
      <c r="X42" s="1355"/>
      <c r="Y42" s="3712"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12"/>
      <c r="Q43" s="1352">
        <f t="shared" si="14"/>
        <v>111</v>
      </c>
      <c r="R43" s="705" t="s">
        <v>14</v>
      </c>
      <c r="S43" s="706">
        <f t="shared" si="10"/>
        <v>100</v>
      </c>
      <c r="T43" s="705" t="s">
        <v>14</v>
      </c>
      <c r="U43" s="706">
        <f t="shared" si="11"/>
        <v>100</v>
      </c>
      <c r="V43" s="705" t="s">
        <v>14</v>
      </c>
      <c r="W43" s="706">
        <f t="shared" si="12"/>
        <v>100</v>
      </c>
      <c r="X43" s="1355"/>
      <c r="Y43" s="371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12"/>
      <c r="Q44" s="1352">
        <f t="shared" si="14"/>
        <v>111</v>
      </c>
      <c r="R44" s="705" t="s">
        <v>14</v>
      </c>
      <c r="S44" s="706">
        <f t="shared" si="10"/>
        <v>100</v>
      </c>
      <c r="T44" s="705" t="s">
        <v>14</v>
      </c>
      <c r="U44" s="706">
        <f t="shared" si="11"/>
        <v>100</v>
      </c>
      <c r="V44" s="705" t="s">
        <v>14</v>
      </c>
      <c r="W44" s="706">
        <f t="shared" si="12"/>
        <v>100</v>
      </c>
      <c r="X44" s="1355"/>
      <c r="Y44" s="371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12"/>
      <c r="Q45" s="1352">
        <f t="shared" si="14"/>
        <v>111</v>
      </c>
      <c r="R45" s="708" t="s">
        <v>14</v>
      </c>
      <c r="S45" s="709">
        <f t="shared" si="10"/>
        <v>100</v>
      </c>
      <c r="T45" s="708" t="s">
        <v>14</v>
      </c>
      <c r="U45" s="709">
        <f t="shared" si="11"/>
        <v>100</v>
      </c>
      <c r="V45" s="708" t="s">
        <v>14</v>
      </c>
      <c r="W45" s="709">
        <f t="shared" si="12"/>
        <v>100</v>
      </c>
      <c r="X45" s="710"/>
      <c r="Y45" s="3712"/>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22"/>
      <c r="M46" s="2723"/>
      <c r="N46" s="2714"/>
      <c r="O46" s="2723"/>
      <c r="P46" s="3700" t="str">
        <f>A46</f>
        <v>成交单价</v>
      </c>
      <c r="Q46" s="3700"/>
      <c r="R46" s="3714">
        <f>E46</f>
        <v>0</v>
      </c>
      <c r="S46" s="3714"/>
      <c r="T46" s="3714">
        <f>G46</f>
        <v>0</v>
      </c>
      <c r="U46" s="3714"/>
      <c r="V46" s="3714">
        <f>I46</f>
        <v>0</v>
      </c>
      <c r="W46" s="3714"/>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22"/>
      <c r="M47" s="2723"/>
      <c r="N47" s="2723"/>
      <c r="O47" s="2723"/>
      <c r="P47" s="3700" t="str">
        <f>A47</f>
        <v>比较价值（元/平方米）</v>
      </c>
      <c r="Q47" s="3700"/>
      <c r="R47" s="3832" t="e">
        <f>ROUND(PRODUCT(R46,AA7:AA45),0)</f>
        <v>#DIV/0!</v>
      </c>
      <c r="S47" s="3832"/>
      <c r="T47" s="3832" t="e">
        <f>ROUND(PRODUCT(T46,AB7:AB45),0)</f>
        <v>#DIV/0!</v>
      </c>
      <c r="U47" s="3832"/>
      <c r="V47" s="3832" t="e">
        <f>ROUND(PRODUCT(V46,AC7:AC45),0)</f>
        <v>#DIV/0!</v>
      </c>
      <c r="W47" s="3832"/>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2"/>
      <c r="M48" s="2723"/>
      <c r="N48" s="2723"/>
      <c r="O48" s="2723"/>
      <c r="P48" s="3702" t="str">
        <f>A48</f>
        <v>估价对象XX用房的比较价值（楼面单价，元/平方米）</v>
      </c>
      <c r="Q48" s="3703"/>
      <c r="R48" s="3833" t="e">
        <f>ROUND(IF(D47="简单平均",AVERAGE(R47:W47),R47*F47+T47*H47+V47*J47),0)</f>
        <v>#DIV/0!</v>
      </c>
      <c r="S48" s="3833"/>
      <c r="T48" s="3833"/>
      <c r="U48" s="3833"/>
      <c r="V48" s="3833"/>
      <c r="W48" s="3833"/>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1879</v>
      </c>
      <c r="B55" s="633" t="s">
        <v>1880</v>
      </c>
      <c r="C55" s="1983" t="s">
        <v>1881</v>
      </c>
      <c r="D55" s="1984" t="s">
        <v>1882</v>
      </c>
      <c r="E55" s="634" t="s">
        <v>1883</v>
      </c>
      <c r="F55" s="890" t="s">
        <v>1884</v>
      </c>
      <c r="G55" s="3719" t="s">
        <v>1885</v>
      </c>
      <c r="H55" s="3834"/>
      <c r="I55" s="135" t="s">
        <v>1886</v>
      </c>
      <c r="J55" s="1985">
        <f>项目基本情况!F35</f>
        <v>0</v>
      </c>
      <c r="K55" s="1986" t="s">
        <v>1887</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1888</v>
      </c>
      <c r="B56" s="637" t="e">
        <f>C48</f>
        <v>#DIV/0!</v>
      </c>
      <c r="C56" s="638">
        <v>1</v>
      </c>
      <c r="D56" s="944">
        <v>1</v>
      </c>
      <c r="E56" s="638">
        <f>'数据-汇总表'!E8+'数据-汇总表'!E9</f>
        <v>499.53</v>
      </c>
      <c r="F56" s="886" t="e">
        <f t="shared" ref="F56:F64" si="15">ROUND(B56*E56/10000,0)</f>
        <v>#DIV/0!</v>
      </c>
      <c r="G56" s="3715"/>
      <c r="H56" s="3700"/>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1889</v>
      </c>
      <c r="B57" s="218" t="e">
        <f>ROUND($C$48*C57*D57,0)</f>
        <v>#DIV/0!</v>
      </c>
      <c r="C57" s="171">
        <f t="shared" ref="C57:C64" si="16">IF($C$55="北京市系数",I57,J57)</f>
        <v>0.6</v>
      </c>
      <c r="D57" s="945">
        <v>0.25</v>
      </c>
      <c r="E57" s="642"/>
      <c r="F57" s="886" t="e">
        <f t="shared" si="15"/>
        <v>#DIV/0!</v>
      </c>
      <c r="G57" s="3004" t="s">
        <v>1890</v>
      </c>
      <c r="H57" s="887" t="str">
        <f>项目基本情况!B37</f>
        <v>七级</v>
      </c>
      <c r="I57" s="891">
        <f>SUMIF(修正!A57:A68,H57,修正!B57:B68)</f>
        <v>0.6</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1891</v>
      </c>
      <c r="B58" s="218" t="e">
        <f t="shared" ref="B58:B64" si="17">ROUND($C$48*C58*D58,0)</f>
        <v>#DIV/0!</v>
      </c>
      <c r="C58" s="171">
        <f t="shared" si="16"/>
        <v>0.3</v>
      </c>
      <c r="D58" s="945">
        <v>0.25</v>
      </c>
      <c r="E58" s="642"/>
      <c r="F58" s="886" t="e">
        <f t="shared" si="15"/>
        <v>#DIV/0!</v>
      </c>
      <c r="G58" s="3005"/>
      <c r="H58" s="887" t="str">
        <f>项目基本情况!B37</f>
        <v>七级</v>
      </c>
      <c r="I58" s="891">
        <f>SUMIF(修正!A57:A68,H58,修正!C57:C68)</f>
        <v>0.3</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1892</v>
      </c>
      <c r="B59" s="218" t="e">
        <f t="shared" si="17"/>
        <v>#DIV/0!</v>
      </c>
      <c r="C59" s="171">
        <f t="shared" si="16"/>
        <v>0.25</v>
      </c>
      <c r="D59" s="945">
        <v>0.25</v>
      </c>
      <c r="E59" s="642"/>
      <c r="F59" s="886" t="e">
        <f t="shared" si="15"/>
        <v>#DIV/0!</v>
      </c>
      <c r="G59" s="3005"/>
      <c r="H59" s="887" t="str">
        <f>项目基本情况!B37</f>
        <v>七级</v>
      </c>
      <c r="I59" s="891">
        <f>SUMIF(修正!A57:A68,H59,修正!D57:D68)</f>
        <v>0.25</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1899</v>
      </c>
      <c r="B63" s="218" t="e">
        <f t="shared" si="17"/>
        <v>#DIV/0!</v>
      </c>
      <c r="C63" s="171">
        <f t="shared" si="16"/>
        <v>0.15</v>
      </c>
      <c r="D63" s="945">
        <v>0.25</v>
      </c>
      <c r="E63" s="217">
        <f>'数据-汇总表'!E14</f>
        <v>0</v>
      </c>
      <c r="F63" s="886" t="e">
        <f t="shared" si="15"/>
        <v>#DIV/0!</v>
      </c>
      <c r="G63" s="1987" t="s">
        <v>1890</v>
      </c>
      <c r="H63" s="887" t="str">
        <f>项目基本情况!B37</f>
        <v>七级</v>
      </c>
      <c r="I63" s="891">
        <f>SUMIF(修正!A57:A68,H63,修正!G57:G68)</f>
        <v>0.15</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1901</v>
      </c>
      <c r="B65" s="644" t="s">
        <v>22</v>
      </c>
      <c r="C65" s="644" t="s">
        <v>23</v>
      </c>
      <c r="D65" s="644" t="s">
        <v>392</v>
      </c>
      <c r="E65" s="644">
        <f>IF(B46="楼面地价",SUM(E56:E64),'数据-汇总表'!D3)</f>
        <v>499.53</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3"/>
      <c r="Q67" s="2723"/>
      <c r="R67" s="2723"/>
      <c r="S67" s="2723"/>
      <c r="T67" s="2723"/>
      <c r="U67" s="2723"/>
      <c r="V67" s="2723"/>
      <c r="W67" s="2723"/>
      <c r="X67" s="2723"/>
      <c r="Y67" s="2723"/>
      <c r="Z67" s="2723"/>
      <c r="AA67" s="2723"/>
      <c r="AB67" s="2723"/>
      <c r="AC67" s="2723"/>
    </row>
    <row r="68" spans="1:29" ht="21.75" thickBot="1">
      <c r="A68" s="694" t="s">
        <v>1796</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1902</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4"/>
      <c r="Q69" s="2739"/>
      <c r="R69" s="2739"/>
      <c r="S69" s="2739"/>
      <c r="T69" s="2739"/>
      <c r="U69" s="2739"/>
      <c r="V69" s="2739"/>
      <c r="W69" s="2739"/>
      <c r="X69" s="2739"/>
      <c r="Y69" s="2739"/>
      <c r="Z69" s="2739"/>
      <c r="AA69" s="2739"/>
      <c r="AB69" s="2739"/>
      <c r="AC69" s="2739"/>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1714</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1679</v>
      </c>
      <c r="B72" s="459"/>
      <c r="C72" s="471" t="s">
        <v>1774</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1717</v>
      </c>
      <c r="B74" s="477" t="s">
        <v>1683</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1686</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1688</v>
      </c>
      <c r="B87" s="477" t="s">
        <v>1718</v>
      </c>
      <c r="C87" s="522" t="s">
        <v>1719</v>
      </c>
      <c r="D87" s="522" t="s">
        <v>1720</v>
      </c>
      <c r="E87" s="522" t="s">
        <v>1721</v>
      </c>
      <c r="F87" s="522" t="s">
        <v>1722</v>
      </c>
      <c r="G87" s="522" t="s">
        <v>1723</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1904</v>
      </c>
      <c r="C89" s="527" t="s">
        <v>1719</v>
      </c>
      <c r="D89" s="527" t="s">
        <v>1720</v>
      </c>
      <c r="E89" s="527" t="s">
        <v>1721</v>
      </c>
      <c r="F89" s="527" t="s">
        <v>1722</v>
      </c>
      <c r="G89" s="527" t="s">
        <v>1723</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1819</v>
      </c>
      <c r="C91" s="527" t="s">
        <v>1719</v>
      </c>
      <c r="D91" s="527" t="s">
        <v>1720</v>
      </c>
      <c r="E91" s="527" t="s">
        <v>1721</v>
      </c>
      <c r="F91" s="527" t="s">
        <v>1722</v>
      </c>
      <c r="G91" s="527" t="s">
        <v>1723</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1724</v>
      </c>
      <c r="C93" s="527" t="s">
        <v>1719</v>
      </c>
      <c r="D93" s="527" t="s">
        <v>1720</v>
      </c>
      <c r="E93" s="527" t="s">
        <v>1721</v>
      </c>
      <c r="F93" s="527" t="s">
        <v>1722</v>
      </c>
      <c r="G93" s="527" t="s">
        <v>1723</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1813</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1871</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1912</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1913</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1914</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1915</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1767</v>
      </c>
      <c r="B4" s="356"/>
      <c r="C4" s="3719" t="s">
        <v>1768</v>
      </c>
      <c r="D4" s="3720"/>
      <c r="E4" s="3721" t="s">
        <v>1769</v>
      </c>
      <c r="F4" s="3722"/>
      <c r="G4" s="3719" t="s">
        <v>1770</v>
      </c>
      <c r="H4" s="3720"/>
      <c r="I4" s="3719" t="s">
        <v>1771</v>
      </c>
      <c r="J4" s="3720"/>
      <c r="K4" s="559" t="s">
        <v>1772</v>
      </c>
      <c r="L4" s="2713"/>
      <c r="M4" s="2714"/>
      <c r="N4" s="2714"/>
      <c r="O4" s="2714"/>
      <c r="P4" s="3723" t="s">
        <v>1773</v>
      </c>
      <c r="Q4" s="3724"/>
      <c r="R4" s="3729" t="s">
        <v>1769</v>
      </c>
      <c r="S4" s="3730"/>
      <c r="T4" s="3729" t="s">
        <v>1770</v>
      </c>
      <c r="U4" s="3730"/>
      <c r="V4" s="3714" t="s">
        <v>1771</v>
      </c>
      <c r="W4" s="3714"/>
      <c r="X4" s="1355"/>
      <c r="Y4" s="3729" t="s">
        <v>1773</v>
      </c>
      <c r="Z4" s="3730"/>
      <c r="AA4" s="3716" t="s">
        <v>1769</v>
      </c>
      <c r="AB4" s="3717" t="s">
        <v>1770</v>
      </c>
      <c r="AC4" s="3716" t="s">
        <v>1771</v>
      </c>
    </row>
    <row r="5" spans="1:29" ht="15">
      <c r="A5" s="358"/>
      <c r="B5" s="359"/>
      <c r="C5" s="3737" t="s">
        <v>1671</v>
      </c>
      <c r="D5" s="3738"/>
      <c r="E5" s="3743" t="s">
        <v>1672</v>
      </c>
      <c r="F5" s="3744"/>
      <c r="G5" s="3737" t="s">
        <v>1673</v>
      </c>
      <c r="H5" s="3738"/>
      <c r="I5" s="3737" t="s">
        <v>1674</v>
      </c>
      <c r="J5" s="3738"/>
      <c r="K5" s="559"/>
      <c r="L5" s="2713"/>
      <c r="M5" s="2714"/>
      <c r="N5" s="2714"/>
      <c r="O5" s="2714"/>
      <c r="P5" s="3725"/>
      <c r="Q5" s="3726"/>
      <c r="R5" s="3731"/>
      <c r="S5" s="3732"/>
      <c r="T5" s="3731"/>
      <c r="U5" s="3732"/>
      <c r="V5" s="3714"/>
      <c r="W5" s="3714"/>
      <c r="X5" s="1355"/>
      <c r="Y5" s="3731"/>
      <c r="Z5" s="3732"/>
      <c r="AA5" s="3717"/>
      <c r="AB5" s="3717"/>
      <c r="AC5" s="3717"/>
    </row>
    <row r="6" spans="1:29" ht="15.75" thickBot="1">
      <c r="A6" s="360"/>
      <c r="B6" s="361"/>
      <c r="C6" s="3835" t="s">
        <v>1917</v>
      </c>
      <c r="D6" s="3836"/>
      <c r="E6" s="3837" t="s">
        <v>1917</v>
      </c>
      <c r="F6" s="3838"/>
      <c r="G6" s="3835" t="s">
        <v>1917</v>
      </c>
      <c r="H6" s="3836"/>
      <c r="I6" s="3835" t="s">
        <v>1917</v>
      </c>
      <c r="J6" s="3836"/>
      <c r="K6" s="559" t="s">
        <v>1676</v>
      </c>
      <c r="L6" s="2713"/>
      <c r="M6" s="2714"/>
      <c r="N6" s="2714"/>
      <c r="O6" s="2714"/>
      <c r="P6" s="3727"/>
      <c r="Q6" s="3728"/>
      <c r="R6" s="3731"/>
      <c r="S6" s="3732"/>
      <c r="T6" s="3733"/>
      <c r="U6" s="3734"/>
      <c r="V6" s="3714"/>
      <c r="W6" s="3714"/>
      <c r="X6" s="1355"/>
      <c r="Y6" s="3733"/>
      <c r="Z6" s="3734"/>
      <c r="AA6" s="3718"/>
      <c r="AB6" s="3718"/>
      <c r="AC6" s="3718"/>
    </row>
    <row r="7" spans="1:29" s="108" customFormat="1" ht="15.75" thickBot="1">
      <c r="A7" s="362" t="s">
        <v>1677</v>
      </c>
      <c r="B7" s="363"/>
      <c r="C7" s="364">
        <f>'数据-取费表'!B2</f>
        <v>45495</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39" t="s">
        <v>1678</v>
      </c>
      <c r="Q7" s="3741"/>
      <c r="R7" s="701" t="s">
        <v>14</v>
      </c>
      <c r="S7" s="702">
        <f t="shared" ref="S7:S15" si="0">F7</f>
        <v>0</v>
      </c>
      <c r="T7" s="701" t="s">
        <v>14</v>
      </c>
      <c r="U7" s="702">
        <f t="shared" ref="U7:U15" si="1">H7</f>
        <v>0</v>
      </c>
      <c r="V7" s="701" t="s">
        <v>14</v>
      </c>
      <c r="W7" s="702">
        <f t="shared" ref="W7:W15" si="2">J7</f>
        <v>0</v>
      </c>
      <c r="X7" s="703"/>
      <c r="Y7" s="3739" t="s">
        <v>1678</v>
      </c>
      <c r="Z7" s="3740"/>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39" t="s">
        <v>1681</v>
      </c>
      <c r="Q8" s="3740"/>
      <c r="R8" s="701" t="s">
        <v>14</v>
      </c>
      <c r="S8" s="702">
        <f t="shared" si="0"/>
        <v>0</v>
      </c>
      <c r="T8" s="701" t="s">
        <v>14</v>
      </c>
      <c r="U8" s="702">
        <f t="shared" si="1"/>
        <v>0</v>
      </c>
      <c r="V8" s="701" t="s">
        <v>14</v>
      </c>
      <c r="W8" s="702">
        <f t="shared" si="2"/>
        <v>0</v>
      </c>
      <c r="X8" s="703"/>
      <c r="Y8" s="3739" t="s">
        <v>1681</v>
      </c>
      <c r="Z8" s="3740"/>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00" t="s">
        <v>1684</v>
      </c>
      <c r="Q9" s="1343" t="str">
        <f t="shared" ref="Q9:Q15" si="6">B9</f>
        <v>用途</v>
      </c>
      <c r="R9" s="701" t="s">
        <v>14</v>
      </c>
      <c r="S9" s="702">
        <f t="shared" si="0"/>
        <v>100</v>
      </c>
      <c r="T9" s="701" t="s">
        <v>14</v>
      </c>
      <c r="U9" s="702">
        <f t="shared" si="1"/>
        <v>100</v>
      </c>
      <c r="V9" s="701" t="s">
        <v>14</v>
      </c>
      <c r="W9" s="702">
        <f t="shared" si="2"/>
        <v>100</v>
      </c>
      <c r="X9" s="703"/>
      <c r="Y9" s="3599"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108</v>
      </c>
      <c r="G10" s="383"/>
      <c r="H10" s="127">
        <f>ROUND(100/'数据-取费表'!G16,0)</f>
        <v>108</v>
      </c>
      <c r="I10" s="383"/>
      <c r="J10" s="127">
        <f>ROUND(100/'数据-取费表'!G16,0)</f>
        <v>108</v>
      </c>
      <c r="K10" s="620"/>
      <c r="L10" s="2717"/>
      <c r="M10" s="2718"/>
      <c r="N10" s="2718"/>
      <c r="O10" s="2771"/>
      <c r="P10" s="3700"/>
      <c r="Q10" s="1343" t="str">
        <f t="shared" si="6"/>
        <v>土地使用年限（年）</v>
      </c>
      <c r="R10" s="701" t="s">
        <v>14</v>
      </c>
      <c r="S10" s="702">
        <f t="shared" si="0"/>
        <v>108</v>
      </c>
      <c r="T10" s="701" t="s">
        <v>14</v>
      </c>
      <c r="U10" s="702">
        <f t="shared" si="1"/>
        <v>108</v>
      </c>
      <c r="V10" s="701" t="s">
        <v>14</v>
      </c>
      <c r="W10" s="702">
        <f t="shared" si="2"/>
        <v>108</v>
      </c>
      <c r="X10" s="703"/>
      <c r="Y10" s="3599"/>
      <c r="Z10" s="52" t="str">
        <f t="shared" si="7"/>
        <v>土地使用年限（年）</v>
      </c>
      <c r="AA10" s="704">
        <f t="shared" si="3"/>
        <v>0.92592592592592593</v>
      </c>
      <c r="AB10" s="704">
        <f t="shared" si="4"/>
        <v>0.92592592592592593</v>
      </c>
      <c r="AC10" s="704">
        <f t="shared" si="5"/>
        <v>0.92592592592592593</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0"/>
      <c r="Q11" s="1343" t="str">
        <f t="shared" si="6"/>
        <v>容积率</v>
      </c>
      <c r="R11" s="701" t="s">
        <v>14</v>
      </c>
      <c r="S11" s="702" t="e">
        <f t="shared" si="0"/>
        <v>#N/A</v>
      </c>
      <c r="T11" s="701" t="s">
        <v>14</v>
      </c>
      <c r="U11" s="702" t="e">
        <f t="shared" si="1"/>
        <v>#N/A</v>
      </c>
      <c r="V11" s="701" t="s">
        <v>14</v>
      </c>
      <c r="W11" s="702" t="e">
        <f t="shared" si="2"/>
        <v>#N/A</v>
      </c>
      <c r="X11" s="703"/>
      <c r="Y11" s="359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0"/>
      <c r="Q12" s="1343">
        <f t="shared" si="6"/>
        <v>111</v>
      </c>
      <c r="R12" s="701" t="s">
        <v>14</v>
      </c>
      <c r="S12" s="702">
        <f t="shared" si="0"/>
        <v>100</v>
      </c>
      <c r="T12" s="701" t="s">
        <v>14</v>
      </c>
      <c r="U12" s="702">
        <f t="shared" si="1"/>
        <v>100</v>
      </c>
      <c r="V12" s="701" t="s">
        <v>14</v>
      </c>
      <c r="W12" s="702">
        <f t="shared" si="2"/>
        <v>100</v>
      </c>
      <c r="X12" s="703"/>
      <c r="Y12" s="359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0"/>
      <c r="Q13" s="1343">
        <f t="shared" si="6"/>
        <v>111</v>
      </c>
      <c r="R13" s="701" t="s">
        <v>14</v>
      </c>
      <c r="S13" s="702">
        <f t="shared" si="0"/>
        <v>100</v>
      </c>
      <c r="T13" s="701" t="s">
        <v>14</v>
      </c>
      <c r="U13" s="702">
        <f t="shared" si="1"/>
        <v>100</v>
      </c>
      <c r="V13" s="701" t="s">
        <v>14</v>
      </c>
      <c r="W13" s="702">
        <f t="shared" si="2"/>
        <v>100</v>
      </c>
      <c r="X13" s="703"/>
      <c r="Y13" s="359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0"/>
      <c r="Q14" s="1343">
        <f t="shared" si="6"/>
        <v>111</v>
      </c>
      <c r="R14" s="701" t="s">
        <v>14</v>
      </c>
      <c r="S14" s="702">
        <f t="shared" si="0"/>
        <v>100</v>
      </c>
      <c r="T14" s="701" t="s">
        <v>14</v>
      </c>
      <c r="U14" s="702">
        <f t="shared" si="1"/>
        <v>100</v>
      </c>
      <c r="V14" s="701" t="s">
        <v>14</v>
      </c>
      <c r="W14" s="702">
        <f t="shared" si="2"/>
        <v>100</v>
      </c>
      <c r="X14" s="703"/>
      <c r="Y14" s="3599"/>
      <c r="Z14" s="52">
        <f t="shared" si="7"/>
        <v>111</v>
      </c>
      <c r="AA14" s="704">
        <f t="shared" si="3"/>
        <v>1</v>
      </c>
      <c r="AB14" s="704">
        <f t="shared" si="4"/>
        <v>1</v>
      </c>
      <c r="AC14" s="704">
        <f t="shared" si="5"/>
        <v>1</v>
      </c>
    </row>
    <row r="15" spans="1:29" ht="57">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7" t="s">
        <v>1689</v>
      </c>
      <c r="Q15" s="1352" t="str">
        <f t="shared" si="6"/>
        <v>产业集聚程度</v>
      </c>
      <c r="R15" s="705" t="s">
        <v>14</v>
      </c>
      <c r="S15" s="706">
        <f t="shared" si="0"/>
        <v>100</v>
      </c>
      <c r="T15" s="705" t="s">
        <v>14</v>
      </c>
      <c r="U15" s="706">
        <f t="shared" si="1"/>
        <v>100</v>
      </c>
      <c r="V15" s="705" t="s">
        <v>14</v>
      </c>
      <c r="W15" s="706">
        <f t="shared" si="2"/>
        <v>100</v>
      </c>
      <c r="X15" s="1355"/>
      <c r="Y15" s="3707"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08"/>
      <c r="Q16" s="1352"/>
      <c r="R16" s="705"/>
      <c r="S16" s="706"/>
      <c r="T16" s="705"/>
      <c r="U16" s="706"/>
      <c r="V16" s="705"/>
      <c r="W16" s="706"/>
      <c r="X16" s="1355"/>
      <c r="Y16" s="3708"/>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8"/>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08"/>
      <c r="Q18" s="1352"/>
      <c r="R18" s="705"/>
      <c r="S18" s="706"/>
      <c r="T18" s="705"/>
      <c r="U18" s="706"/>
      <c r="V18" s="705"/>
      <c r="W18" s="706"/>
      <c r="X18" s="1355"/>
      <c r="Y18" s="3708"/>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8"/>
      <c r="Q19" s="1352" t="str">
        <f t="shared" ref="Q19:Q33" si="8">B19</f>
        <v>区域土地利用方向</v>
      </c>
      <c r="R19" s="705" t="s">
        <v>14</v>
      </c>
      <c r="S19" s="706">
        <f>F19</f>
        <v>100</v>
      </c>
      <c r="T19" s="705" t="s">
        <v>14</v>
      </c>
      <c r="U19" s="706">
        <f>H19</f>
        <v>100</v>
      </c>
      <c r="V19" s="705" t="s">
        <v>14</v>
      </c>
      <c r="W19" s="706">
        <f>J19</f>
        <v>100</v>
      </c>
      <c r="X19" s="1355"/>
      <c r="Y19" s="370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08"/>
      <c r="Q20" s="1352"/>
      <c r="R20" s="705"/>
      <c r="S20" s="706"/>
      <c r="T20" s="705"/>
      <c r="U20" s="706"/>
      <c r="V20" s="705"/>
      <c r="W20" s="706"/>
      <c r="X20" s="1355"/>
      <c r="Y20" s="3708"/>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8"/>
      <c r="Q21" s="1352" t="str">
        <f t="shared" si="8"/>
        <v>环境状况</v>
      </c>
      <c r="R21" s="705" t="s">
        <v>14</v>
      </c>
      <c r="S21" s="706">
        <f>F21</f>
        <v>100</v>
      </c>
      <c r="T21" s="705" t="s">
        <v>14</v>
      </c>
      <c r="U21" s="706">
        <f>H21</f>
        <v>100</v>
      </c>
      <c r="V21" s="705" t="s">
        <v>14</v>
      </c>
      <c r="W21" s="706">
        <f>J21</f>
        <v>100</v>
      </c>
      <c r="X21" s="1355"/>
      <c r="Y21" s="370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08"/>
      <c r="Q22" s="1352"/>
      <c r="R22" s="705"/>
      <c r="S22" s="706"/>
      <c r="T22" s="705"/>
      <c r="U22" s="706"/>
      <c r="V22" s="705"/>
      <c r="W22" s="706"/>
      <c r="X22" s="1355"/>
      <c r="Y22" s="3708"/>
      <c r="Z22" s="1356"/>
      <c r="AA22" s="1353">
        <v>1</v>
      </c>
      <c r="AB22" s="1353">
        <v>1</v>
      </c>
      <c r="AC22" s="1353">
        <v>1</v>
      </c>
    </row>
    <row r="23" spans="1:29" s="108" customFormat="1" ht="42.75">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8"/>
      <c r="Q23" s="1343" t="str">
        <f t="shared" si="8"/>
        <v>公共配套设施</v>
      </c>
      <c r="R23" s="701" t="s">
        <v>14</v>
      </c>
      <c r="S23" s="702">
        <f>F23</f>
        <v>100</v>
      </c>
      <c r="T23" s="701" t="s">
        <v>14</v>
      </c>
      <c r="U23" s="702">
        <f>H23</f>
        <v>100</v>
      </c>
      <c r="V23" s="701" t="s">
        <v>14</v>
      </c>
      <c r="W23" s="702">
        <f>J23</f>
        <v>100</v>
      </c>
      <c r="X23" s="703"/>
      <c r="Y23" s="370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08"/>
      <c r="Q24" s="1343"/>
      <c r="R24" s="701"/>
      <c r="S24" s="702"/>
      <c r="T24" s="701"/>
      <c r="U24" s="702"/>
      <c r="V24" s="701"/>
      <c r="W24" s="702"/>
      <c r="X24" s="703"/>
      <c r="Y24" s="3708"/>
      <c r="Z24" s="52"/>
      <c r="AA24" s="704">
        <v>1</v>
      </c>
      <c r="AB24" s="704">
        <v>1</v>
      </c>
      <c r="AC24" s="704">
        <v>1</v>
      </c>
    </row>
    <row r="25" spans="1:29" s="108" customFormat="1" ht="28.5">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8"/>
      <c r="Q25" s="1343" t="str">
        <f t="shared" ref="Q25" si="9">B25</f>
        <v>基础设施水平</v>
      </c>
      <c r="R25" s="701" t="s">
        <v>14</v>
      </c>
      <c r="S25" s="702">
        <f>F25</f>
        <v>100</v>
      </c>
      <c r="T25" s="701" t="s">
        <v>14</v>
      </c>
      <c r="U25" s="702">
        <f>H25</f>
        <v>100</v>
      </c>
      <c r="V25" s="701" t="s">
        <v>14</v>
      </c>
      <c r="W25" s="702">
        <f>J25</f>
        <v>100</v>
      </c>
      <c r="X25" s="703"/>
      <c r="Y25" s="370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08"/>
      <c r="Q26" s="1343"/>
      <c r="R26" s="701"/>
      <c r="S26" s="702"/>
      <c r="T26" s="701"/>
      <c r="U26" s="702"/>
      <c r="V26" s="701"/>
      <c r="W26" s="702"/>
      <c r="X26" s="703"/>
      <c r="Y26" s="3708"/>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8"/>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8"/>
      <c r="Q28" s="1352" t="str">
        <f t="shared" si="8"/>
        <v>毗邻道路的类型与等级</v>
      </c>
      <c r="R28" s="705" t="s">
        <v>14</v>
      </c>
      <c r="S28" s="706">
        <f t="shared" si="10"/>
        <v>100</v>
      </c>
      <c r="T28" s="705" t="s">
        <v>14</v>
      </c>
      <c r="U28" s="706">
        <f t="shared" si="11"/>
        <v>100</v>
      </c>
      <c r="V28" s="705" t="s">
        <v>14</v>
      </c>
      <c r="W28" s="706">
        <f t="shared" si="12"/>
        <v>100</v>
      </c>
      <c r="X28" s="1355"/>
      <c r="Y28" s="370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08"/>
      <c r="Q29" s="1352"/>
      <c r="R29" s="705"/>
      <c r="S29" s="706"/>
      <c r="T29" s="705"/>
      <c r="U29" s="706"/>
      <c r="V29" s="705"/>
      <c r="W29" s="706"/>
      <c r="X29" s="1355"/>
      <c r="Y29" s="3708"/>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8"/>
      <c r="Q30" s="1352" t="str">
        <f t="shared" si="8"/>
        <v>土地级别</v>
      </c>
      <c r="R30" s="705" t="s">
        <v>14</v>
      </c>
      <c r="S30" s="706">
        <f t="shared" si="10"/>
        <v>100</v>
      </c>
      <c r="T30" s="705" t="s">
        <v>14</v>
      </c>
      <c r="U30" s="706">
        <f t="shared" si="11"/>
        <v>100</v>
      </c>
      <c r="V30" s="705" t="s">
        <v>14</v>
      </c>
      <c r="W30" s="706">
        <f t="shared" si="12"/>
        <v>100</v>
      </c>
      <c r="X30" s="1355"/>
      <c r="Y30" s="370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8"/>
      <c r="Q31" s="1352">
        <f t="shared" si="8"/>
        <v>111</v>
      </c>
      <c r="R31" s="705" t="s">
        <v>14</v>
      </c>
      <c r="S31" s="706">
        <f t="shared" si="10"/>
        <v>100</v>
      </c>
      <c r="T31" s="705" t="s">
        <v>14</v>
      </c>
      <c r="U31" s="706">
        <f t="shared" si="11"/>
        <v>100</v>
      </c>
      <c r="V31" s="705" t="s">
        <v>14</v>
      </c>
      <c r="W31" s="706">
        <f t="shared" si="12"/>
        <v>100</v>
      </c>
      <c r="X31" s="1355"/>
      <c r="Y31" s="370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830" t="s">
        <v>1694</v>
      </c>
      <c r="Q32" s="1352">
        <f t="shared" si="8"/>
        <v>111</v>
      </c>
      <c r="R32" s="705" t="s">
        <v>14</v>
      </c>
      <c r="S32" s="706">
        <f t="shared" si="10"/>
        <v>100</v>
      </c>
      <c r="T32" s="705" t="s">
        <v>14</v>
      </c>
      <c r="U32" s="706">
        <f t="shared" si="11"/>
        <v>100</v>
      </c>
      <c r="V32" s="705" t="s">
        <v>14</v>
      </c>
      <c r="W32" s="706">
        <f t="shared" si="12"/>
        <v>100</v>
      </c>
      <c r="X32" s="1355"/>
      <c r="Y32" s="3712"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12"/>
      <c r="Q33" s="1352">
        <f t="shared" si="8"/>
        <v>111</v>
      </c>
      <c r="R33" s="708" t="s">
        <v>14</v>
      </c>
      <c r="S33" s="709">
        <f t="shared" si="10"/>
        <v>100</v>
      </c>
      <c r="T33" s="708" t="s">
        <v>14</v>
      </c>
      <c r="U33" s="709">
        <f t="shared" si="11"/>
        <v>100</v>
      </c>
      <c r="V33" s="708" t="s">
        <v>14</v>
      </c>
      <c r="W33" s="709">
        <f t="shared" si="12"/>
        <v>100</v>
      </c>
      <c r="X33" s="710"/>
      <c r="Y33" s="3712"/>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12"/>
      <c r="Q34" s="1352" t="str">
        <f>B34</f>
        <v>宗地面积</v>
      </c>
      <c r="R34" s="705" t="s">
        <v>14</v>
      </c>
      <c r="S34" s="706" t="e">
        <f t="shared" si="10"/>
        <v>#N/A</v>
      </c>
      <c r="T34" s="705" t="s">
        <v>14</v>
      </c>
      <c r="U34" s="706" t="e">
        <f t="shared" si="11"/>
        <v>#N/A</v>
      </c>
      <c r="V34" s="705" t="s">
        <v>14</v>
      </c>
      <c r="W34" s="706" t="e">
        <f t="shared" si="12"/>
        <v>#N/A</v>
      </c>
      <c r="X34" s="1355"/>
      <c r="Y34" s="3712"/>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12"/>
      <c r="Q35" s="1352" t="str">
        <f t="shared" ref="Q35:Q40" si="14">B35</f>
        <v>宗地形状</v>
      </c>
      <c r="R35" s="705" t="s">
        <v>14</v>
      </c>
      <c r="S35" s="706">
        <f t="shared" si="10"/>
        <v>100</v>
      </c>
      <c r="T35" s="705" t="s">
        <v>14</v>
      </c>
      <c r="U35" s="706">
        <f t="shared" si="11"/>
        <v>100</v>
      </c>
      <c r="V35" s="705" t="s">
        <v>14</v>
      </c>
      <c r="W35" s="706">
        <f t="shared" si="12"/>
        <v>100</v>
      </c>
      <c r="X35" s="1355"/>
      <c r="Y35" s="3712"/>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12"/>
      <c r="Q36" s="1352" t="str">
        <f t="shared" si="14"/>
        <v>宗地开发程度</v>
      </c>
      <c r="R36" s="701" t="s">
        <v>14</v>
      </c>
      <c r="S36" s="702">
        <f t="shared" si="10"/>
        <v>100</v>
      </c>
      <c r="T36" s="701" t="s">
        <v>14</v>
      </c>
      <c r="U36" s="702">
        <f t="shared" si="11"/>
        <v>100</v>
      </c>
      <c r="V36" s="701" t="s">
        <v>14</v>
      </c>
      <c r="W36" s="702">
        <f t="shared" si="12"/>
        <v>100</v>
      </c>
      <c r="X36" s="703"/>
      <c r="Y36" s="3712"/>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12" t="s">
        <v>1694</v>
      </c>
      <c r="Q37" s="1352" t="str">
        <f t="shared" si="14"/>
        <v>工程地质条件</v>
      </c>
      <c r="R37" s="705" t="s">
        <v>14</v>
      </c>
      <c r="S37" s="706">
        <f t="shared" si="10"/>
        <v>100</v>
      </c>
      <c r="T37" s="705" t="s">
        <v>14</v>
      </c>
      <c r="U37" s="706">
        <f t="shared" si="11"/>
        <v>100</v>
      </c>
      <c r="V37" s="705" t="s">
        <v>14</v>
      </c>
      <c r="W37" s="706">
        <f t="shared" si="12"/>
        <v>100</v>
      </c>
      <c r="X37" s="1355"/>
      <c r="Y37" s="3712"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12"/>
      <c r="Q38" s="1352">
        <f t="shared" si="14"/>
        <v>111</v>
      </c>
      <c r="R38" s="705" t="s">
        <v>14</v>
      </c>
      <c r="S38" s="706">
        <f t="shared" si="10"/>
        <v>100</v>
      </c>
      <c r="T38" s="705" t="s">
        <v>14</v>
      </c>
      <c r="U38" s="706">
        <f t="shared" si="11"/>
        <v>100</v>
      </c>
      <c r="V38" s="705" t="s">
        <v>14</v>
      </c>
      <c r="W38" s="706">
        <f t="shared" si="12"/>
        <v>100</v>
      </c>
      <c r="X38" s="1355"/>
      <c r="Y38" s="371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12"/>
      <c r="Q39" s="1352">
        <f t="shared" si="14"/>
        <v>111</v>
      </c>
      <c r="R39" s="705" t="s">
        <v>14</v>
      </c>
      <c r="S39" s="706">
        <f t="shared" si="10"/>
        <v>100</v>
      </c>
      <c r="T39" s="705" t="s">
        <v>14</v>
      </c>
      <c r="U39" s="706">
        <f t="shared" si="11"/>
        <v>100</v>
      </c>
      <c r="V39" s="705" t="s">
        <v>14</v>
      </c>
      <c r="W39" s="706">
        <f t="shared" si="12"/>
        <v>100</v>
      </c>
      <c r="X39" s="1355"/>
      <c r="Y39" s="371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12"/>
      <c r="Q40" s="1352">
        <f t="shared" si="14"/>
        <v>111</v>
      </c>
      <c r="R40" s="708" t="s">
        <v>14</v>
      </c>
      <c r="S40" s="709">
        <f t="shared" si="10"/>
        <v>100</v>
      </c>
      <c r="T40" s="708" t="s">
        <v>14</v>
      </c>
      <c r="U40" s="709">
        <f t="shared" si="11"/>
        <v>100</v>
      </c>
      <c r="V40" s="708" t="s">
        <v>14</v>
      </c>
      <c r="W40" s="709">
        <f t="shared" si="12"/>
        <v>100</v>
      </c>
      <c r="X40" s="710"/>
      <c r="Y40" s="3712"/>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22"/>
      <c r="M41" s="2714"/>
      <c r="N41" s="2714"/>
      <c r="O41" s="2723"/>
      <c r="P41" s="3700" t="str">
        <f>A41</f>
        <v>成交单价</v>
      </c>
      <c r="Q41" s="3700"/>
      <c r="R41" s="3714">
        <f>E41</f>
        <v>0</v>
      </c>
      <c r="S41" s="3714"/>
      <c r="T41" s="3714">
        <f>G41</f>
        <v>0</v>
      </c>
      <c r="U41" s="3714"/>
      <c r="V41" s="3714">
        <f>I41</f>
        <v>0</v>
      </c>
      <c r="W41" s="3714"/>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22"/>
      <c r="M42" s="2714"/>
      <c r="N42" s="2714"/>
      <c r="O42" s="2723"/>
      <c r="P42" s="3700" t="str">
        <f>A42</f>
        <v>比较价值（元/平方米）</v>
      </c>
      <c r="Q42" s="3700"/>
      <c r="R42" s="3832" t="e">
        <f>ROUND(PRODUCT(R41,AA7:AA40),0)</f>
        <v>#DIV/0!</v>
      </c>
      <c r="S42" s="3832"/>
      <c r="T42" s="3832" t="e">
        <f>ROUND(PRODUCT(T41,AB7:AB40),0)</f>
        <v>#DIV/0!</v>
      </c>
      <c r="U42" s="3832"/>
      <c r="V42" s="3832" t="e">
        <f>ROUND(PRODUCT(V41,AC7:AC40),0)</f>
        <v>#DIV/0!</v>
      </c>
      <c r="W42" s="3832"/>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2"/>
      <c r="M43" s="2714"/>
      <c r="N43" s="2714"/>
      <c r="O43" s="2723"/>
      <c r="P43" s="3702" t="str">
        <f>A43</f>
        <v>估价对象XX用房的比较价值（楼面单价，元/平方米）</v>
      </c>
      <c r="Q43" s="3703"/>
      <c r="R43" s="3833" t="e">
        <f>ROUND(IF(D42="简单平均",AVERAGE(R42:W42),R42*F42+T42*H42+V42*J42),0)</f>
        <v>#DIV/0!</v>
      </c>
      <c r="S43" s="3833"/>
      <c r="T43" s="3833"/>
      <c r="U43" s="3833"/>
      <c r="V43" s="3833"/>
      <c r="W43" s="3833"/>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1879</v>
      </c>
      <c r="B50" s="633" t="s">
        <v>1880</v>
      </c>
      <c r="C50" s="1983" t="s">
        <v>1881</v>
      </c>
      <c r="D50" s="1984" t="s">
        <v>1882</v>
      </c>
      <c r="E50" s="634" t="s">
        <v>1883</v>
      </c>
      <c r="F50" s="635" t="s">
        <v>1884</v>
      </c>
      <c r="G50" s="3719" t="s">
        <v>1885</v>
      </c>
      <c r="H50" s="3834"/>
      <c r="I50" s="1356" t="s">
        <v>1921</v>
      </c>
      <c r="J50" s="1356">
        <f>项目基本情况!F35</f>
        <v>0</v>
      </c>
      <c r="K50" s="1986" t="s">
        <v>1887</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1888</v>
      </c>
      <c r="B51" s="637" t="e">
        <f>C43</f>
        <v>#DIV/0!</v>
      </c>
      <c r="C51" s="638">
        <v>1</v>
      </c>
      <c r="D51" s="944">
        <v>1</v>
      </c>
      <c r="E51" s="638">
        <f>'数据-汇总表'!E8+'数据-汇总表'!E9</f>
        <v>499.53</v>
      </c>
      <c r="F51" s="639" t="e">
        <f t="shared" ref="F51:F60" si="15">ROUND(B51*E51/10000,0)</f>
        <v>#DIV/0!</v>
      </c>
      <c r="G51" s="3715"/>
      <c r="H51" s="3700"/>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1889</v>
      </c>
      <c r="B52" s="218" t="e">
        <f>ROUND($C$43*C52*D52,0)</f>
        <v>#DIV/0!</v>
      </c>
      <c r="C52" s="171">
        <f t="shared" ref="C52:C60" si="16">IF($C$50="北京市系数",I52,J52)</f>
        <v>0.6</v>
      </c>
      <c r="D52" s="945">
        <v>0.25</v>
      </c>
      <c r="E52" s="642"/>
      <c r="F52" s="639" t="e">
        <f t="shared" si="15"/>
        <v>#DIV/0!</v>
      </c>
      <c r="G52" s="3004" t="s">
        <v>1890</v>
      </c>
      <c r="H52" s="887" t="str">
        <f>项目基本情况!B37</f>
        <v>七级</v>
      </c>
      <c r="I52" s="773">
        <f>SUMIF(修正!A57:A68,H52,修正!B57:B68)</f>
        <v>0.6</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1891</v>
      </c>
      <c r="B53" s="218" t="e">
        <f t="shared" ref="B53:B60" si="17">ROUND($C$43*C53*D53,0)</f>
        <v>#DIV/0!</v>
      </c>
      <c r="C53" s="171">
        <f t="shared" si="16"/>
        <v>0.3</v>
      </c>
      <c r="D53" s="945">
        <v>0.25</v>
      </c>
      <c r="E53" s="642"/>
      <c r="F53" s="639" t="e">
        <f t="shared" si="15"/>
        <v>#DIV/0!</v>
      </c>
      <c r="G53" s="3005"/>
      <c r="H53" s="887" t="str">
        <f>项目基本情况!B37</f>
        <v>七级</v>
      </c>
      <c r="I53" s="773">
        <f>SUMIF(修正!A57:A68,H53,修正!C57:C68)</f>
        <v>0.3</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1892</v>
      </c>
      <c r="B54" s="218" t="e">
        <f t="shared" si="17"/>
        <v>#DIV/0!</v>
      </c>
      <c r="C54" s="171">
        <f t="shared" si="16"/>
        <v>0.25</v>
      </c>
      <c r="D54" s="945">
        <v>0.25</v>
      </c>
      <c r="E54" s="642"/>
      <c r="F54" s="639" t="e">
        <f t="shared" si="15"/>
        <v>#DIV/0!</v>
      </c>
      <c r="G54" s="3005"/>
      <c r="H54" s="887" t="str">
        <f>项目基本情况!B37</f>
        <v>七级</v>
      </c>
      <c r="I54" s="773">
        <f>SUMIF(修正!A57:A68,H54,修正!D57:D68)</f>
        <v>0.25</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1899</v>
      </c>
      <c r="B59" s="218" t="e">
        <f t="shared" si="17"/>
        <v>#DIV/0!</v>
      </c>
      <c r="C59" s="171">
        <f t="shared" si="16"/>
        <v>0.15</v>
      </c>
      <c r="D59" s="945">
        <v>0.25</v>
      </c>
      <c r="E59" s="217">
        <f>'数据-汇总表'!E14</f>
        <v>0</v>
      </c>
      <c r="F59" s="639" t="e">
        <f t="shared" si="15"/>
        <v>#DIV/0!</v>
      </c>
      <c r="G59" s="1987" t="s">
        <v>1890</v>
      </c>
      <c r="H59" s="887" t="str">
        <f>项目基本情况!B37</f>
        <v>七级</v>
      </c>
      <c r="I59" s="773">
        <f>SUMIF(修正!A57:A68,H59,修正!G57:G68)</f>
        <v>0.15</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3"/>
      <c r="Q63" s="2723"/>
      <c r="R63" s="2723"/>
      <c r="S63" s="2723"/>
      <c r="T63" s="2723"/>
      <c r="U63" s="2723"/>
      <c r="V63" s="2723"/>
      <c r="W63" s="2723"/>
      <c r="X63" s="2723"/>
      <c r="Y63" s="2723"/>
      <c r="Z63" s="2723"/>
      <c r="AA63" s="2723"/>
      <c r="AB63" s="2723"/>
      <c r="AC63" s="2723"/>
      <c r="AD63" s="2723"/>
      <c r="AE63" s="2723"/>
    </row>
    <row r="64" spans="1:31" ht="21.75" thickBot="1">
      <c r="A64" s="694" t="s">
        <v>1796</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1902</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1714</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1679</v>
      </c>
      <c r="B68" s="459"/>
      <c r="C68" s="471" t="s">
        <v>1774</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1717</v>
      </c>
      <c r="B70" s="477" t="s">
        <v>1683</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1686</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1688</v>
      </c>
      <c r="B83" s="477" t="s">
        <v>1827</v>
      </c>
      <c r="C83" s="522" t="s">
        <v>1719</v>
      </c>
      <c r="D83" s="522" t="s">
        <v>1720</v>
      </c>
      <c r="E83" s="522" t="s">
        <v>1721</v>
      </c>
      <c r="F83" s="522" t="s">
        <v>1722</v>
      </c>
      <c r="G83" s="522" t="s">
        <v>1723</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1724</v>
      </c>
      <c r="C85" s="527" t="s">
        <v>1719</v>
      </c>
      <c r="D85" s="527" t="s">
        <v>1720</v>
      </c>
      <c r="E85" s="527" t="s">
        <v>1721</v>
      </c>
      <c r="F85" s="527" t="s">
        <v>1722</v>
      </c>
      <c r="G85" s="527" t="s">
        <v>1723</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1813</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1871</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1912</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1914</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1915</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842" t="s">
        <v>2082</v>
      </c>
      <c r="D1" s="3843"/>
      <c r="E1" s="3843"/>
      <c r="F1" s="3843"/>
      <c r="G1" s="3843"/>
      <c r="H1" s="3843"/>
      <c r="I1" s="3843"/>
      <c r="J1" s="3843"/>
      <c r="K1" s="3843"/>
      <c r="L1" s="3843"/>
      <c r="M1" s="3843"/>
      <c r="N1" s="3843"/>
      <c r="O1" s="3843"/>
      <c r="P1" s="3843"/>
      <c r="Q1" s="3843"/>
      <c r="R1" s="3843"/>
      <c r="S1" s="3844"/>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839" t="s">
        <v>27</v>
      </c>
      <c r="D22" s="3840"/>
      <c r="E22" s="3840"/>
      <c r="F22" s="3840"/>
      <c r="G22" s="3840"/>
      <c r="H22" s="3840"/>
      <c r="I22" s="3840"/>
      <c r="J22" s="3840"/>
      <c r="K22" s="3840"/>
      <c r="L22" s="3840"/>
      <c r="M22" s="3840"/>
      <c r="N22" s="3840"/>
      <c r="O22" s="3840"/>
      <c r="P22" s="3840"/>
      <c r="Q22" s="3841"/>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91"/>
      <c r="G1" s="2791"/>
      <c r="H1" s="2791"/>
      <c r="I1" s="2791"/>
      <c r="J1" s="2791"/>
      <c r="K1" s="2791"/>
      <c r="L1" s="2791"/>
      <c r="M1" s="2791"/>
      <c r="N1" s="2791"/>
      <c r="O1" s="2791"/>
      <c r="P1" s="2791"/>
    </row>
    <row r="2" spans="1:16" ht="15.75">
      <c r="A2" s="2145" t="s">
        <v>2071</v>
      </c>
      <c r="B2" s="2600">
        <f ca="1">SUMIF(B6:B13,"&lt;&gt;#ref!",B6:B13)</f>
        <v>658</v>
      </c>
      <c r="C2" s="2145" t="s">
        <v>2072</v>
      </c>
      <c r="D2" s="2145" t="s">
        <v>2073</v>
      </c>
      <c r="E2" s="2610">
        <f ca="1">SUMIF(E6:E13,"&lt;&gt;#ref!",E6:E13)</f>
        <v>499.53</v>
      </c>
      <c r="F2" s="2791"/>
      <c r="G2" s="2791"/>
      <c r="H2" s="2791"/>
      <c r="I2" s="2791"/>
      <c r="J2" s="2791"/>
      <c r="K2" s="2791"/>
      <c r="L2" s="2791"/>
      <c r="M2" s="2791"/>
      <c r="N2" s="2791"/>
      <c r="O2" s="2791"/>
      <c r="P2" s="2791"/>
    </row>
    <row r="3" spans="1:16" ht="15.75">
      <c r="A3" s="2145" t="s">
        <v>2074</v>
      </c>
      <c r="B3" s="2600">
        <f ca="1">ROUND(B2*10000/E2,0)</f>
        <v>13172</v>
      </c>
      <c r="C3" s="2145" t="s">
        <v>2080</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2075</v>
      </c>
      <c r="B5" s="2608" t="s">
        <v>2076</v>
      </c>
      <c r="C5" s="2146"/>
      <c r="D5" s="2791"/>
      <c r="E5" s="2609" t="s">
        <v>2077</v>
      </c>
      <c r="F5" s="2791"/>
      <c r="G5" s="2791"/>
      <c r="H5" s="2791"/>
      <c r="I5" s="2791"/>
      <c r="J5" s="2791"/>
      <c r="K5" s="2791"/>
      <c r="L5" s="2791"/>
      <c r="M5" s="2791"/>
      <c r="N5" s="2791"/>
      <c r="O5" s="2791"/>
      <c r="P5" s="2791"/>
    </row>
    <row r="6" spans="1:16" ht="15.75">
      <c r="A6" s="2607" t="s">
        <v>2078</v>
      </c>
      <c r="B6" s="2600">
        <f ca="1">SUMIF(INDIRECT("'"&amp;A6&amp;"'"&amp;"!A:A"),"总价",INDIRECT("'"&amp;A6&amp;"'"&amp;"!B:B"))</f>
        <v>658</v>
      </c>
      <c r="C6" s="2145" t="s">
        <v>2072</v>
      </c>
      <c r="D6" s="2791"/>
      <c r="E6" s="2610">
        <f ca="1">SUMIF(INDIRECT("'"&amp;A6&amp;"'"&amp;"!C:C"),"建筑面积",INDIRECT("'"&amp;A6&amp;"'"&amp;"!D:D"))</f>
        <v>499.53</v>
      </c>
      <c r="F6" s="2791"/>
      <c r="G6" s="2791"/>
      <c r="H6" s="2791"/>
      <c r="I6" s="2791"/>
      <c r="J6" s="2791"/>
      <c r="K6" s="2791"/>
      <c r="L6" s="2791"/>
      <c r="M6" s="2791"/>
      <c r="N6" s="2791"/>
      <c r="O6" s="2791"/>
      <c r="P6" s="2791"/>
    </row>
    <row r="7" spans="1:16" ht="15.75">
      <c r="A7" s="2607"/>
      <c r="B7" s="2600" t="e">
        <f ca="1">SUMIF(INDIRECT("'"&amp;A7&amp;"'"&amp;"!A:A"),"总价",INDIRECT("'"&amp;A7&amp;"'"&amp;"!B:B"))</f>
        <v>#REF!</v>
      </c>
      <c r="C7" s="2145" t="s">
        <v>2072</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2072</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2072</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2072</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2072</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2072</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2072</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L36" sqref="L3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22">
        <f ca="1">ROUND(IF(D2="——",C52/10000,C52/10000-E2),4)</f>
        <v>1277.3594000000001</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25571</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6879370.0999999996</v>
      </c>
      <c r="D5" s="211" t="s">
        <v>1467</v>
      </c>
      <c r="E5" s="212" t="s">
        <v>1468</v>
      </c>
      <c r="F5" s="212" t="s">
        <v>1469</v>
      </c>
      <c r="G5" s="213"/>
    </row>
    <row r="6" spans="1:8" s="214" customFormat="1" ht="13.5" customHeight="1">
      <c r="A6" s="778" t="s">
        <v>1470</v>
      </c>
      <c r="B6" s="215" t="s">
        <v>1471</v>
      </c>
      <c r="C6" s="216">
        <f>基准地价修正!C33*基准地价修正!D33</f>
        <v>6578810.0999999996</v>
      </c>
      <c r="D6" s="217"/>
      <c r="E6" s="218"/>
      <c r="F6" s="218"/>
      <c r="G6" s="219"/>
    </row>
    <row r="7" spans="1:8" s="214" customFormat="1" ht="13.5" customHeight="1">
      <c r="A7" s="778" t="s">
        <v>1472</v>
      </c>
      <c r="B7" s="215" t="s">
        <v>1473</v>
      </c>
      <c r="C7" s="220">
        <f>ROUND(C6*F7,0)</f>
        <v>200654</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99906</v>
      </c>
      <c r="D8" s="222"/>
      <c r="E8" s="220"/>
      <c r="F8" s="221"/>
      <c r="G8" s="1856" t="s">
        <v>3417</v>
      </c>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99906</v>
      </c>
      <c r="D10" s="845">
        <f ca="1">IF(B1="",'数据-汇总表'!E6,IF(INDIRECT("'数据-取费表'!c"&amp;$G$1)="住宅",INDIRECT("'数据-取费表'!s"&amp;$G$1),INDIRECT("'数据-取费表'!k"&amp;$G$1)+INDIRECT("'数据-取费表'!s"&amp;$G$1)))</f>
        <v>499.53</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t="str">
        <f>IF(G19="已包含在土地取得成本中","0",ROUND(D19*E19,0))</f>
        <v>0</v>
      </c>
      <c r="D19" s="849">
        <f ca="1">D9+D10</f>
        <v>499.53</v>
      </c>
      <c r="E19" s="211">
        <f>'数据-取费表'!B31</f>
        <v>180</v>
      </c>
      <c r="F19" s="231"/>
      <c r="G19" s="1856" t="s">
        <v>3418</v>
      </c>
    </row>
    <row r="20" spans="1:7" s="214" customFormat="1" ht="13.5" customHeight="1">
      <c r="A20" s="255" t="s">
        <v>1572</v>
      </c>
      <c r="B20" s="210" t="s">
        <v>1573</v>
      </c>
      <c r="C20" s="232">
        <f ca="1">ROUND((C5+C19)*F20,0)</f>
        <v>137587</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487612</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482865</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0</v>
      </c>
      <c r="D24" s="238"/>
      <c r="E24" s="238"/>
      <c r="F24" s="239"/>
      <c r="G24" s="240" t="s">
        <v>1584</v>
      </c>
    </row>
    <row r="25" spans="1:7" s="214" customFormat="1" ht="24">
      <c r="A25" s="780" t="s">
        <v>1474</v>
      </c>
      <c r="B25" s="215" t="s">
        <v>1585</v>
      </c>
      <c r="C25" s="1128">
        <f ca="1">ROUND(IF('数据-取费表'!B22&lt;=1,C20*F22*'数据-取费表'!B22/2,C20*(POWER((1+F22),'数据-取费表'!B22/2)-1)),0)</f>
        <v>4747</v>
      </c>
      <c r="D25" s="238"/>
      <c r="E25" s="241"/>
      <c r="F25" s="239"/>
      <c r="G25" s="242" t="s">
        <v>1586</v>
      </c>
    </row>
    <row r="26" spans="1:7" s="214" customFormat="1">
      <c r="A26" s="780"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1403391</v>
      </c>
      <c r="D27" s="235">
        <f ca="1">C29</f>
        <v>4.0000000000000001E-3</v>
      </c>
      <c r="E27" s="236" t="s">
        <v>1512</v>
      </c>
      <c r="F27" s="246">
        <f ca="1">IF(B1="",'数据-取费表'!Q16,INDIRECT("'数据-取费表'!q"&amp;$G$1))</f>
        <v>0.2</v>
      </c>
      <c r="G27" s="247" t="s">
        <v>1513</v>
      </c>
    </row>
    <row r="28" spans="1:7" s="214" customFormat="1" ht="13.5" customHeight="1">
      <c r="A28" s="780" t="s">
        <v>346</v>
      </c>
      <c r="B28" s="248" t="s">
        <v>1514</v>
      </c>
      <c r="C28" s="249">
        <f ca="1">ROUND((C5+C19+C20)*F27,0)</f>
        <v>1403391</v>
      </c>
      <c r="D28" s="235"/>
      <c r="E28" s="236"/>
      <c r="F28" s="246"/>
      <c r="G28" s="247"/>
    </row>
    <row r="29" spans="1:7" s="214" customFormat="1" ht="13.5" customHeight="1">
      <c r="A29" s="780" t="s">
        <v>347</v>
      </c>
      <c r="B29" s="248" t="s">
        <v>1515</v>
      </c>
      <c r="C29" s="238">
        <f ca="1">ROUND(C21*F27,4)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9661562</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2450195</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2247885</v>
      </c>
      <c r="D34" s="217"/>
      <c r="E34" s="220"/>
      <c r="F34" s="257"/>
      <c r="G34" s="219"/>
    </row>
    <row r="35" spans="1:7" ht="13.5" customHeight="1">
      <c r="A35" s="780" t="s">
        <v>351</v>
      </c>
      <c r="B35" s="215" t="s">
        <v>1525</v>
      </c>
      <c r="C35" s="220">
        <f ca="1">ROUND(C34*F35,0)</f>
        <v>67437</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89915</v>
      </c>
      <c r="D37" s="217">
        <f ca="1">D19</f>
        <v>499.53</v>
      </c>
      <c r="E37" s="249">
        <f>'数据-取费表'!B35</f>
        <v>180</v>
      </c>
      <c r="F37" s="259"/>
      <c r="G37" s="261"/>
    </row>
    <row r="38" spans="1:7" ht="13.5" customHeight="1">
      <c r="A38" s="780" t="s">
        <v>354</v>
      </c>
      <c r="B38" s="215" t="s">
        <v>1531</v>
      </c>
      <c r="C38" s="220">
        <f ca="1">ROUND(C34*F38,0)</f>
        <v>44958</v>
      </c>
      <c r="D38" s="220"/>
      <c r="E38" s="220"/>
      <c r="F38" s="259">
        <f>'数据-取费表'!B36</f>
        <v>0.02</v>
      </c>
      <c r="G38" s="219" t="s">
        <v>1526</v>
      </c>
    </row>
    <row r="39" spans="1:7" s="214" customFormat="1" ht="13.5" customHeight="1">
      <c r="A39" s="255" t="s">
        <v>1532</v>
      </c>
      <c r="B39" s="210" t="s">
        <v>1533</v>
      </c>
      <c r="C39" s="232">
        <f ca="1">ROUND(C33*F20,0)</f>
        <v>49004</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86223</v>
      </c>
      <c r="D41" s="235">
        <f ca="1">C44</f>
        <v>6.9999999999999999E-4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84532</v>
      </c>
      <c r="D42" s="238"/>
      <c r="E42" s="238"/>
      <c r="F42" s="239"/>
      <c r="G42" s="3692" t="s">
        <v>1589</v>
      </c>
    </row>
    <row r="43" spans="1:7" ht="13.5" customHeight="1">
      <c r="A43" s="780" t="s">
        <v>347</v>
      </c>
      <c r="B43" s="215" t="s">
        <v>1543</v>
      </c>
      <c r="C43" s="238">
        <f ca="1">ROUND(IF('数据-取费表'!B22&lt;=1,C39*F22*'数据-取费表'!B20/2,C39*(POWER((1+F22),'数据-取费表'!B20/2)-1)),0)</f>
        <v>1691</v>
      </c>
      <c r="D43" s="238"/>
      <c r="E43" s="238"/>
      <c r="F43" s="239"/>
      <c r="G43" s="3693"/>
    </row>
    <row r="44" spans="1:7" ht="13.5" customHeight="1">
      <c r="A44" s="780" t="s">
        <v>348</v>
      </c>
      <c r="B44" s="215" t="s">
        <v>1544</v>
      </c>
      <c r="C44" s="238">
        <f ca="1">ROUND(IF('数据-取费表'!B22&lt;=1,C40*F22*'数据-取费表'!B20/2,C40*(POWER((1+F22),'数据-取费表'!B20/2)-1)),4)</f>
        <v>6.9999999999999999E-4</v>
      </c>
      <c r="D44" s="238"/>
      <c r="E44" s="238"/>
      <c r="F44" s="239"/>
      <c r="G44" s="3694"/>
    </row>
    <row r="45" spans="1:7" s="214" customFormat="1" ht="13.5" customHeight="1">
      <c r="A45" s="255" t="s">
        <v>1545</v>
      </c>
      <c r="B45" s="244" t="s">
        <v>1511</v>
      </c>
      <c r="C45" s="245">
        <f ca="1">C46</f>
        <v>499840</v>
      </c>
      <c r="D45" s="235">
        <f ca="1">C47</f>
        <v>4.0000000000000001E-3</v>
      </c>
      <c r="E45" s="236" t="s">
        <v>1537</v>
      </c>
      <c r="F45" s="246">
        <f ca="1">F27</f>
        <v>0.2</v>
      </c>
      <c r="G45" s="247" t="s">
        <v>1546</v>
      </c>
    </row>
    <row r="46" spans="1:7" s="214" customFormat="1" ht="13.5" customHeight="1">
      <c r="A46" s="780" t="s">
        <v>346</v>
      </c>
      <c r="B46" s="248" t="s">
        <v>1547</v>
      </c>
      <c r="C46" s="249">
        <f ca="1">ROUND((C33+C39)*F27,0)</f>
        <v>499840</v>
      </c>
      <c r="D46" s="263"/>
      <c r="E46" s="236"/>
      <c r="F46" s="246"/>
      <c r="G46" s="247"/>
    </row>
    <row r="47" spans="1:7" s="214" customFormat="1" ht="13.5" customHeight="1">
      <c r="A47" s="780" t="s">
        <v>347</v>
      </c>
      <c r="B47" s="248" t="s">
        <v>1548</v>
      </c>
      <c r="C47" s="238">
        <f ca="1">ROUND(C40*F27,4)</f>
        <v>4.0000000000000001E-3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3346271</v>
      </c>
      <c r="D49" s="232"/>
      <c r="E49" s="232"/>
      <c r="F49" s="264"/>
      <c r="G49" s="234" t="s">
        <v>1552</v>
      </c>
    </row>
    <row r="50" spans="1:7" s="258" customFormat="1">
      <c r="A50" s="255" t="s">
        <v>1553</v>
      </c>
      <c r="B50" s="210" t="s">
        <v>1554</v>
      </c>
      <c r="C50" s="232"/>
      <c r="D50" s="232"/>
      <c r="E50" s="232"/>
      <c r="F50" s="264">
        <f>IF('数据-取费表'!B24=0,'数据-取费表'!N16,1)</f>
        <v>0.93</v>
      </c>
      <c r="G50" s="247"/>
    </row>
    <row r="51" spans="1:7" ht="16.5" customHeight="1">
      <c r="A51" s="255" t="s">
        <v>1556</v>
      </c>
      <c r="B51" s="210" t="s">
        <v>1591</v>
      </c>
      <c r="C51" s="232">
        <f ca="1">ROUND(C49*F50,0)</f>
        <v>3112032</v>
      </c>
      <c r="D51" s="232"/>
      <c r="E51" s="232"/>
      <c r="F51" s="264"/>
      <c r="G51" s="234" t="s">
        <v>1558</v>
      </c>
    </row>
    <row r="52" spans="1:7" s="208" customFormat="1" ht="16.5" thickBot="1">
      <c r="A52" s="265" t="s">
        <v>1559</v>
      </c>
      <c r="B52" s="266"/>
      <c r="C52" s="267">
        <f ca="1">C31+C51</f>
        <v>12773594</v>
      </c>
      <c r="D52" s="266"/>
      <c r="E52" s="266"/>
      <c r="F52" s="266"/>
      <c r="G52" s="268"/>
    </row>
    <row r="55" spans="1:7" ht="15">
      <c r="B55" s="270" t="s">
        <v>1560</v>
      </c>
      <c r="C55" s="271"/>
    </row>
    <row r="56" spans="1:7">
      <c r="B56" s="273" t="s">
        <v>802</v>
      </c>
      <c r="C56" s="275">
        <f ca="1">1-C57</f>
        <v>0.75600000000000001</v>
      </c>
    </row>
    <row r="57" spans="1:7">
      <c r="B57" s="273" t="s">
        <v>803</v>
      </c>
      <c r="C57" s="274">
        <f ca="1">ROUND(C51/C52,3)</f>
        <v>0.24399999999999999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90" zoomScaleNormal="80" zoomScaleSheetLayoutView="90" workbookViewId="0">
      <selection activeCell="U3" sqref="U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499.53</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658</v>
      </c>
      <c r="C2" s="1999" t="s">
        <v>1933</v>
      </c>
      <c r="D2" s="2000" t="s">
        <v>1934</v>
      </c>
      <c r="E2" s="3420" t="s">
        <v>673</v>
      </c>
      <c r="F2" s="2000" t="s">
        <v>1935</v>
      </c>
      <c r="G2" s="2001" t="str">
        <f>IF(E2="商业",项目基本情况!B37,IF(E2="办公",项目基本情况!C37,IF(E2="住宅",项目基本情况!D37,IF(E2="工业",项目基本情况!E37,项目基本情况!F37))))</f>
        <v>七级</v>
      </c>
      <c r="H2" s="2000" t="s">
        <v>1936</v>
      </c>
      <c r="I2" s="2001" t="str">
        <f>IF(E2="商业",项目基本情况!B38,IF(E2="办公",项目基本情况!C38,IF(E2="住宅",项目基本情况!D38,IF(E2="工业",项目基本情况!E38,项目基本情况!F38))))</f>
        <v>Ⅶ-门1</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13170</v>
      </c>
      <c r="U2" s="1213">
        <f>'数据-汇总表'!E3</f>
        <v>499.53</v>
      </c>
      <c r="V2" s="3359">
        <f>ROUND(T2*U2/10000,0)</f>
        <v>658</v>
      </c>
      <c r="W2" s="1216"/>
      <c r="X2" s="1216"/>
      <c r="Y2" s="1216"/>
      <c r="Z2" s="1216"/>
      <c r="AA2" s="1216"/>
      <c r="AB2" s="1216"/>
      <c r="AC2" s="1217"/>
      <c r="AD2" s="1218"/>
      <c r="AE2" s="1218"/>
      <c r="AF2" s="1218"/>
      <c r="AG2" s="1218"/>
      <c r="AH2" s="1218"/>
      <c r="AI2" s="1218"/>
      <c r="AJ2" s="1219"/>
    </row>
    <row r="3" spans="1:36" ht="15.75">
      <c r="A3" s="203" t="s">
        <v>1938</v>
      </c>
      <c r="B3" s="204">
        <f>ROUND(B2*10000/D1,0)</f>
        <v>13172</v>
      </c>
      <c r="C3" s="1999" t="s">
        <v>1939</v>
      </c>
      <c r="D3" s="2000" t="s">
        <v>1940</v>
      </c>
      <c r="E3" s="3418" t="s">
        <v>2434</v>
      </c>
      <c r="F3" s="2004" t="s">
        <v>3411</v>
      </c>
      <c r="G3" s="752" t="e">
        <f>IF(F3="宗地容积率",'数据-汇总表'!I4,IF(F3="估价对象容积率",'数据-汇总表'!I6,'数据-汇总表'!I7))</f>
        <v>#DIV/0!</v>
      </c>
      <c r="H3" s="170" t="s">
        <v>1941</v>
      </c>
      <c r="I3" s="775">
        <v>1</v>
      </c>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10380</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852"/>
      <c r="B4" s="3853"/>
      <c r="C4" s="3853"/>
      <c r="D4" s="3854"/>
      <c r="E4" s="3854"/>
      <c r="F4" s="3854"/>
      <c r="G4" s="3854"/>
      <c r="H4" s="3854"/>
      <c r="I4" s="3854"/>
      <c r="J4" s="3855"/>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8773</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8674</v>
      </c>
      <c r="D5" s="1339">
        <f>ROUND(C6*C17+C20,0)</f>
        <v>8674</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7738</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8690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0.84799999999999998</v>
      </c>
      <c r="T6" s="3359">
        <f t="shared" si="0"/>
        <v>7436</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3232</v>
      </c>
      <c r="B7" s="2021" t="s">
        <v>1950</v>
      </c>
      <c r="C7" s="755">
        <f>IF(C8="不临65条商业街",1,ROUND(1+(1.6*E8+1.2*E9+0.8*E10+0.4*E11)*C9,4))</f>
        <v>1</v>
      </c>
      <c r="D7" s="2022" t="s">
        <v>1951</v>
      </c>
      <c r="E7" s="776"/>
      <c r="F7" s="2023"/>
      <c r="G7" s="2024"/>
      <c r="H7" s="2024"/>
      <c r="I7" s="2024"/>
      <c r="J7" s="2025"/>
      <c r="K7" s="1384"/>
      <c r="L7" s="2003" t="s">
        <v>1952</v>
      </c>
      <c r="M7" s="864">
        <f>SUMPRODUCT((区片价!B190:B233=I2)*(区片价!C3:G3=E2)*(区片价!C190:G233))</f>
        <v>8690</v>
      </c>
      <c r="N7" s="866">
        <f>SUMPRODUCT((因素修正幅度!B190:B233=I2)*(因素修正幅度!C3:G3=E2)*(因素修正幅度!C190:G233))</f>
        <v>0.13</v>
      </c>
      <c r="O7" s="1119"/>
      <c r="P7" s="1119"/>
      <c r="Q7" s="1119"/>
      <c r="R7" s="1212">
        <v>6</v>
      </c>
      <c r="S7" s="3417"/>
      <c r="T7" s="3359">
        <f t="shared" si="0"/>
        <v>0</v>
      </c>
      <c r="U7" s="1213"/>
      <c r="V7" s="3359">
        <f t="shared" si="1"/>
        <v>0</v>
      </c>
      <c r="W7" s="1358" t="s">
        <v>1953</v>
      </c>
      <c r="X7" s="1214" t="str">
        <f>G2</f>
        <v>七级</v>
      </c>
      <c r="Y7" s="1214" t="s">
        <v>1954</v>
      </c>
      <c r="Z7" s="1215" t="e">
        <f>G3</f>
        <v>#DIV/0!</v>
      </c>
      <c r="AA7" s="1216"/>
      <c r="AB7" s="1216"/>
      <c r="AC7" s="1217"/>
      <c r="AD7" s="1218"/>
      <c r="AE7" s="1218"/>
      <c r="AF7" s="1218"/>
      <c r="AG7" s="1218"/>
      <c r="AH7" s="1218"/>
      <c r="AI7" s="1218"/>
      <c r="AJ7" s="1219"/>
    </row>
    <row r="8" spans="1:36" ht="25.5">
      <c r="A8" s="3297"/>
      <c r="B8" s="170" t="s">
        <v>1955</v>
      </c>
      <c r="C8" s="2026" t="s">
        <v>3412</v>
      </c>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849" t="s">
        <v>1958</v>
      </c>
      <c r="X8" s="3850"/>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7"/>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851"/>
      <c r="X9" s="3360" t="s">
        <v>3262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851"/>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3233</v>
      </c>
      <c r="B12" s="3303" t="s">
        <v>3234</v>
      </c>
      <c r="C12" s="3304">
        <v>1</v>
      </c>
      <c r="D12" s="3305" t="s">
        <v>3235</v>
      </c>
      <c r="E12" s="3306" t="s">
        <v>3236</v>
      </c>
      <c r="F12" s="3307"/>
      <c r="G12" s="3308"/>
      <c r="H12" s="3308"/>
      <c r="I12" s="3308"/>
      <c r="J12" s="3309"/>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3237</v>
      </c>
      <c r="B13" s="2034" t="s">
        <v>1980</v>
      </c>
      <c r="C13" s="755">
        <f>ROUND(C16*D16*E16*F16*G16*H16*I16*J16,4)</f>
        <v>0</v>
      </c>
      <c r="D13" s="2035" t="s">
        <v>1981</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1983</v>
      </c>
      <c r="C14" s="2041" t="s">
        <v>1984</v>
      </c>
      <c r="D14" s="1350" t="s">
        <v>1985</v>
      </c>
      <c r="E14" s="27" t="s">
        <v>1986</v>
      </c>
      <c r="F14" s="3310" t="s">
        <v>3238</v>
      </c>
      <c r="G14" s="3310" t="s">
        <v>3238</v>
      </c>
      <c r="H14" s="3310" t="s">
        <v>3238</v>
      </c>
      <c r="I14" s="3310" t="s">
        <v>3238</v>
      </c>
      <c r="J14" s="3310" t="s">
        <v>3238</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3239</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1987</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3240</v>
      </c>
      <c r="B17" s="3319" t="s">
        <v>3241</v>
      </c>
      <c r="C17" s="3329">
        <f>ROUND(IF(OR(E2="工业",E2="公共服务"),1,IF(AND(E18=0,E19=0),1,IF(AND(E18=J24,E19=G19),0.8,IF(E19=0,1+E17*(-0.2),1+E17*G17*(-0.2))))),4)</f>
        <v>1</v>
      </c>
      <c r="D17" s="3320" t="s">
        <v>3242</v>
      </c>
      <c r="E17" s="3329">
        <f>ROUND(G18/I18,2)</f>
        <v>0</v>
      </c>
      <c r="F17" s="3320" t="s">
        <v>3245</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3243</v>
      </c>
      <c r="E18" s="3327"/>
      <c r="F18" s="3322" t="s">
        <v>3246</v>
      </c>
      <c r="G18" s="3326">
        <f>ROUND(1-(1/(POWER(1+G24,E18))),4)</f>
        <v>0</v>
      </c>
      <c r="H18" s="3322" t="s">
        <v>3248</v>
      </c>
      <c r="I18" s="3326">
        <f>ROUND(1-(1/(POWER(1+G24,J24))),4)</f>
        <v>0.88249999999999995</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3244</v>
      </c>
      <c r="E19" s="3336"/>
      <c r="F19" s="3337" t="s">
        <v>3247</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856" t="s">
        <v>3249</v>
      </c>
      <c r="B20" s="167" t="s">
        <v>1992</v>
      </c>
      <c r="C20" s="3323">
        <f>ROUND(IF(F21="与级别开发程度一致",0,(G21-E21)/C21),0)</f>
        <v>-16</v>
      </c>
      <c r="D20" s="3339" t="s">
        <v>1996</v>
      </c>
      <c r="E20" s="3340"/>
      <c r="F20" s="3862" t="s">
        <v>1993</v>
      </c>
      <c r="G20" s="3863"/>
      <c r="H20" s="3324" t="s">
        <v>3386</v>
      </c>
      <c r="I20" s="3324" t="s">
        <v>3387</v>
      </c>
      <c r="J20" s="3325" t="s">
        <v>3388</v>
      </c>
      <c r="K20" s="2047" t="s">
        <v>3389</v>
      </c>
      <c r="L20" s="2047" t="s">
        <v>3390</v>
      </c>
      <c r="M20" s="2047" t="s">
        <v>3391</v>
      </c>
      <c r="N20" s="2047" t="s">
        <v>3392</v>
      </c>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857"/>
      <c r="B21" s="2164" t="s">
        <v>1995</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3413</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15</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1998</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1999</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2054" t="s">
        <v>2000</v>
      </c>
      <c r="E23" s="761">
        <v>44197</v>
      </c>
      <c r="F23" s="2054" t="s">
        <v>2001</v>
      </c>
      <c r="G23" s="762">
        <f>'数据-取费表'!B2</f>
        <v>45495</v>
      </c>
      <c r="H23" s="3341" t="s">
        <v>3250</v>
      </c>
      <c r="I23" s="3342" t="str">
        <f>IF(H23="季度增幅（自定义）",SUMIF(N25:N28,E2,O25:O28),"")</f>
        <v/>
      </c>
      <c r="J23" s="3444" t="s">
        <v>3414</v>
      </c>
      <c r="K23" s="1125"/>
      <c r="L23" s="2055" t="s">
        <v>2002</v>
      </c>
      <c r="M23" s="1328">
        <f>ROUND(SUMIF(地价!B2:G2,E2,地价!B16:G16),0)</f>
        <v>350</v>
      </c>
      <c r="N23" s="2056" t="s">
        <v>2003</v>
      </c>
      <c r="O23" s="763">
        <f>ROUNDDOWN(DATEDIF(E23,G23,"M")/3,0)</f>
        <v>14</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0.92520000000000002</v>
      </c>
      <c r="D24" s="2060" t="s">
        <v>2005</v>
      </c>
      <c r="E24" s="1335">
        <f>存贷款利率!E24/100</f>
        <v>4.3499999999999997E-2</v>
      </c>
      <c r="F24" s="2060" t="s">
        <v>1997</v>
      </c>
      <c r="G24" s="768">
        <f>SUMIF(M30:Q30,E2,M33:Q33)</f>
        <v>5.5E-2</v>
      </c>
      <c r="H24" s="2060" t="s">
        <v>2006</v>
      </c>
      <c r="I24" s="769">
        <f>SUMIF('数据-取费表'!C6:C15,E2,'数据-取费表'!F6:F15)/COUNTIF('数据-取费表'!C6:C15,E2)</f>
        <v>31.67</v>
      </c>
      <c r="J24" s="770">
        <f>IF(E2="住宅",70,IF(E2="商业",40,50))</f>
        <v>40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3415</v>
      </c>
      <c r="C25" s="771">
        <f>IF(B25="容积率修正",IF(G3&lt;10,D26,J26),C27)</f>
        <v>1.5019</v>
      </c>
      <c r="D25" s="2067"/>
      <c r="E25" s="2067"/>
      <c r="F25" s="2067"/>
      <c r="G25" s="2067"/>
      <c r="H25" s="2067"/>
      <c r="I25" s="2067"/>
      <c r="J25" s="2068"/>
      <c r="K25" s="1125"/>
      <c r="L25" s="2786"/>
      <c r="M25" s="2786"/>
      <c r="N25" s="2069" t="s">
        <v>2011</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3" t="s">
        <v>3251</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3" t="s">
        <v>3252</v>
      </c>
      <c r="J26" s="772" t="e">
        <f>IF(G3&gt;=10,D115,"——")</f>
        <v>#DIV/0!</v>
      </c>
      <c r="K26" s="1125"/>
      <c r="L26" s="2786"/>
      <c r="M26" s="2786"/>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1.5019</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1.0472999999999999</v>
      </c>
      <c r="D28" s="2052"/>
      <c r="E28" s="2077"/>
      <c r="F28" s="2077"/>
      <c r="G28" s="2077"/>
      <c r="H28" s="2077"/>
      <c r="I28" s="2077"/>
      <c r="J28" s="2078"/>
      <c r="K28" s="1125"/>
      <c r="L28" s="2786"/>
      <c r="M28" s="2786"/>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3" t="s">
        <v>2021</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f>IF(B25="容积率修正",E33+SUM(E37:E42),SUM(V2:V16)+SUM(E37:E42))</f>
        <v>658</v>
      </c>
      <c r="D30" s="2083"/>
      <c r="E30" s="2046"/>
      <c r="F30" s="2084"/>
      <c r="G30" s="2046"/>
      <c r="H30" s="2046"/>
      <c r="I30" s="2046"/>
      <c r="J30" s="2085"/>
      <c r="K30" s="1119"/>
      <c r="L30" s="3349" t="s">
        <v>1934</v>
      </c>
      <c r="M30" s="3350" t="s">
        <v>1988</v>
      </c>
      <c r="N30" s="3350" t="s">
        <v>1989</v>
      </c>
      <c r="O30" s="3350" t="s">
        <v>1990</v>
      </c>
      <c r="P30" s="3350" t="s">
        <v>1991</v>
      </c>
      <c r="Q30" s="3353" t="s">
        <v>3256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f>E34+SUM(I37:I42)</f>
        <v>0</v>
      </c>
      <c r="D31" s="2087"/>
      <c r="E31" s="2088"/>
      <c r="F31" s="2089"/>
      <c r="G31" s="2088"/>
      <c r="H31" s="2088"/>
      <c r="I31" s="2088"/>
      <c r="J31" s="2090"/>
      <c r="K31" s="1119"/>
      <c r="L31" s="3351" t="s">
        <v>1994</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2" t="s">
        <v>1997</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f>ROUND(C5*C22*C23*C24*C25*C28,0)</f>
        <v>13170</v>
      </c>
      <c r="D33" s="2098">
        <f>'数据-汇总表'!E3</f>
        <v>499.53</v>
      </c>
      <c r="E33" s="773">
        <f>ROUND(C33*D33/10000,0)</f>
        <v>658</v>
      </c>
      <c r="F33" s="3344" t="s">
        <v>3254</v>
      </c>
      <c r="G33" s="2099"/>
      <c r="H33" s="2099"/>
      <c r="I33" s="2099"/>
      <c r="J33" s="2100"/>
      <c r="K33" s="1119"/>
      <c r="L33" s="3347" t="s">
        <v>3257</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t="e">
        <f>ROUND(IF(E2="工业",C33*M42,IF(B25="楼层修正",SUM(V2:V16)*M41*10000/D34,C33*M41)),0)</f>
        <v>#DIV/0!</v>
      </c>
      <c r="D34" s="2103"/>
      <c r="E34" s="773">
        <f>ROUND(IF(B25="楼层修正",SUM(V2:V16)*M40,C34*D34/10000),0)</f>
        <v>0</v>
      </c>
      <c r="F34" s="2104" t="s">
        <v>2030</v>
      </c>
      <c r="G34" s="2105"/>
      <c r="H34" s="2105"/>
      <c r="I34" s="2105"/>
      <c r="J34" s="2106"/>
      <c r="K34" s="1119"/>
      <c r="L34" s="3347" t="s">
        <v>3258</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5" t="s">
        <v>3255</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5" t="s">
        <v>3259</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60"/>
      <c r="B37" s="2113" t="s">
        <v>2034</v>
      </c>
      <c r="C37" s="175">
        <f>ROUND(D5*C22*C23*C24*C28*F37,0)</f>
        <v>5261</v>
      </c>
      <c r="D37" s="2098"/>
      <c r="E37" s="171">
        <f>ROUND(C37*D37/10000,0)</f>
        <v>0</v>
      </c>
      <c r="F37" s="171">
        <f>SUMIF(修正!A57:A68,G2,修正!B57:B68)</f>
        <v>0.6</v>
      </c>
      <c r="G37" s="171">
        <f>ROUND(IF(E2="工业",C37*$M$42,C37*$M$41),0)</f>
        <v>1315</v>
      </c>
      <c r="H37" s="171">
        <f>D37</f>
        <v>0</v>
      </c>
      <c r="I37" s="171">
        <f>ROUND(G37*H37/10000,0)</f>
        <v>0</v>
      </c>
      <c r="J37" s="3010"/>
      <c r="K37" s="3357" t="s">
        <v>3260</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61"/>
      <c r="B38" s="2041" t="s">
        <v>2035</v>
      </c>
      <c r="C38" s="175">
        <f>ROUND(D5*C22*C23*C24*C28*F38,0)</f>
        <v>2631</v>
      </c>
      <c r="D38" s="2098"/>
      <c r="E38" s="171">
        <f t="shared" ref="E38:E42" si="4">ROUND(C38*D38/10000,0)</f>
        <v>0</v>
      </c>
      <c r="F38" s="171">
        <f>SUMIF(修正!A57:A68,G2,修正!C57:C68)</f>
        <v>0.3</v>
      </c>
      <c r="G38" s="171">
        <f>ROUND(IF(E2="工业",C38*$M$42,C38*$M$41),0)</f>
        <v>658</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861"/>
      <c r="B39" s="2041" t="s">
        <v>3253</v>
      </c>
      <c r="C39" s="175">
        <f>ROUND(D5*C22*C23*C24*C28*F39,0)</f>
        <v>2192</v>
      </c>
      <c r="D39" s="2098"/>
      <c r="E39" s="171">
        <f t="shared" si="4"/>
        <v>0</v>
      </c>
      <c r="F39" s="171">
        <f>SUMIF(修正!A57:A68,G2,修正!D57:D68)</f>
        <v>0.25</v>
      </c>
      <c r="G39" s="171">
        <f>ROUND(IF(E2="工业",C39*$M$42,C39*$M$41),0)</f>
        <v>548</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2192</v>
      </c>
      <c r="D40" s="2098"/>
      <c r="E40" s="171">
        <f t="shared" si="4"/>
        <v>0</v>
      </c>
      <c r="F40" s="175">
        <f>SUMIF(修正!A57:A68,G2,修正!E57:E68)</f>
        <v>0.25</v>
      </c>
      <c r="G40" s="171">
        <f>ROUND(IF(E2="工业",C40*$M$42,C40*$M$41),0)</f>
        <v>548</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8" t="s">
        <v>3261</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1997</v>
      </c>
      <c r="E44" s="2153">
        <f>G24</f>
        <v>5.5E-2</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1.0472999999999999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30" t="s">
        <v>2050</v>
      </c>
      <c r="B50" s="2133" t="str">
        <f>估价对象房地状况!C4</f>
        <v>较好</v>
      </c>
      <c r="C50" s="2044" t="s">
        <v>3402</v>
      </c>
      <c r="D50" s="1065">
        <f t="shared" ref="D50:D58" si="7">SUMIF($J$49:$N$49,C50,J50:N50)</f>
        <v>1.95E-2</v>
      </c>
      <c r="E50" s="744">
        <f>ROUND(SUM(D50:D58),4)</f>
        <v>4.7300000000000002E-2</v>
      </c>
      <c r="F50" s="1814">
        <f>IF(E2="商业",SUMIF(L1:L12,G2,N1:N12),"——")</f>
        <v>0.13</v>
      </c>
      <c r="G50" s="1063">
        <v>1.95E-2</v>
      </c>
      <c r="H50" s="1066">
        <f t="shared" ref="H50:H58" si="8">IFERROR(ROUNDDOWN($F$50*I50/2,4),"——")</f>
        <v>1.95E-2</v>
      </c>
      <c r="I50" s="3365">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30" t="s">
        <v>2051</v>
      </c>
      <c r="B51" s="2134" t="str">
        <f>估价对象房地状况!C18</f>
        <v>一般</v>
      </c>
      <c r="C51" s="2044" t="s">
        <v>3405</v>
      </c>
      <c r="D51" s="1065">
        <f t="shared" si="7"/>
        <v>0</v>
      </c>
      <c r="E51" s="745"/>
      <c r="F51" s="1814"/>
      <c r="G51" s="1063">
        <v>1.43E-2</v>
      </c>
      <c r="H51" s="1066">
        <f t="shared" si="8"/>
        <v>1.43E-2</v>
      </c>
      <c r="I51" s="3365">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7" t="s">
        <v>3263</v>
      </c>
      <c r="B52" s="2134">
        <f>估价对象房地状况!C19</f>
        <v>0</v>
      </c>
      <c r="C52" s="2044" t="s">
        <v>3402</v>
      </c>
      <c r="D52" s="1065">
        <f t="shared" si="7"/>
        <v>7.7999999999999996E-3</v>
      </c>
      <c r="E52" s="745"/>
      <c r="F52" s="1814"/>
      <c r="G52" s="1063">
        <v>7.7999999999999996E-3</v>
      </c>
      <c r="H52" s="1066">
        <f t="shared" si="8"/>
        <v>7.7999999999999996E-3</v>
      </c>
      <c r="I52" s="3365">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2052</v>
      </c>
      <c r="B53" s="2135" t="s">
        <v>2053</v>
      </c>
      <c r="C53" s="2044" t="s">
        <v>3402</v>
      </c>
      <c r="D53" s="1065">
        <f t="shared" si="7"/>
        <v>3.2000000000000002E-3</v>
      </c>
      <c r="E53" s="745"/>
      <c r="F53" s="1814"/>
      <c r="G53" s="1063">
        <v>3.2000000000000002E-3</v>
      </c>
      <c r="H53" s="1066">
        <f t="shared" si="8"/>
        <v>3.2000000000000002E-3</v>
      </c>
      <c r="I53" s="3365">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t="s">
        <v>3405</v>
      </c>
      <c r="D54" s="1065">
        <f t="shared" si="7"/>
        <v>0</v>
      </c>
      <c r="E54" s="745"/>
      <c r="F54" s="1814"/>
      <c r="G54" s="1063">
        <v>5.1999999999999998E-3</v>
      </c>
      <c r="H54" s="1066">
        <f t="shared" si="8"/>
        <v>5.1999999999999998E-3</v>
      </c>
      <c r="I54" s="3365">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2055</v>
      </c>
      <c r="B55" s="2136" t="s">
        <v>2056</v>
      </c>
      <c r="C55" s="2044" t="s">
        <v>3402</v>
      </c>
      <c r="D55" s="1065">
        <f t="shared" si="7"/>
        <v>3.2000000000000002E-3</v>
      </c>
      <c r="E55" s="745"/>
      <c r="F55" s="1814"/>
      <c r="G55" s="1063">
        <v>3.2000000000000002E-3</v>
      </c>
      <c r="H55" s="1066">
        <f t="shared" si="8"/>
        <v>3.2000000000000002E-3</v>
      </c>
      <c r="I55" s="3365">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7" t="s">
        <v>2057</v>
      </c>
      <c r="B56" s="1326" t="str">
        <f>估价对象房地状况!C21</f>
        <v>较好</v>
      </c>
      <c r="C56" s="2044" t="s">
        <v>3402</v>
      </c>
      <c r="D56" s="1065">
        <f t="shared" si="7"/>
        <v>3.2000000000000002E-3</v>
      </c>
      <c r="E56" s="745"/>
      <c r="F56" s="1814"/>
      <c r="G56" s="1063">
        <v>3.2000000000000002E-3</v>
      </c>
      <c r="H56" s="1066">
        <f t="shared" si="8"/>
        <v>3.2000000000000002E-3</v>
      </c>
      <c r="I56" s="3365">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7" t="s">
        <v>2058</v>
      </c>
      <c r="B57" s="2134" t="str">
        <f>估价对象房地状况!C22</f>
        <v>七通</v>
      </c>
      <c r="C57" s="2044" t="s">
        <v>3416</v>
      </c>
      <c r="D57" s="1065">
        <f t="shared" si="7"/>
        <v>1.04E-2</v>
      </c>
      <c r="E57" s="745"/>
      <c r="F57" s="1814"/>
      <c r="G57" s="1063">
        <v>5.1999999999999998E-3</v>
      </c>
      <c r="H57" s="1066">
        <f t="shared" si="8"/>
        <v>5.1999999999999998E-3</v>
      </c>
      <c r="I57" s="3365">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8" t="s">
        <v>2059</v>
      </c>
      <c r="B58" s="2139" t="str">
        <f>估价对象房地状况!C20</f>
        <v>一般</v>
      </c>
      <c r="C58" s="2044" t="s">
        <v>3405</v>
      </c>
      <c r="D58" s="1065">
        <f t="shared" si="7"/>
        <v>0</v>
      </c>
      <c r="E58" s="746"/>
      <c r="F58" s="1814"/>
      <c r="G58" s="1063">
        <v>3.2000000000000002E-3</v>
      </c>
      <c r="H58" s="1066">
        <f t="shared" si="8"/>
        <v>3.2000000000000002E-3</v>
      </c>
      <c r="I58" s="3366">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30" t="s">
        <v>2062</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2051</v>
      </c>
      <c r="B62" s="2134" t="str">
        <f>估价对象房地状况!C18</f>
        <v>一般</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3263</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2057</v>
      </c>
      <c r="B67" s="1326" t="str">
        <f>估价对象房地状况!C21</f>
        <v>较好</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2058</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2059</v>
      </c>
      <c r="B69" s="2140" t="str">
        <f>估价对象房地状况!C20</f>
        <v>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30" t="s">
        <v>2064</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2051</v>
      </c>
      <c r="B73" s="2134" t="str">
        <f>估价对象房地状况!C18</f>
        <v>一般</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3263</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2057</v>
      </c>
      <c r="B76" s="1326" t="str">
        <f>估价对象房地状况!C21</f>
        <v>较好</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2058</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2059</v>
      </c>
      <c r="B79" s="2133" t="str">
        <f>估价对象房地状况!C20</f>
        <v>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3264</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2065</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2057</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2058</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2055</v>
      </c>
      <c r="B89" s="2136" t="s">
        <v>2069</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2070</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2607</v>
      </c>
      <c r="B91" s="3376">
        <f>1+E93</f>
        <v>1</v>
      </c>
      <c r="C91" s="3369"/>
      <c r="D91" s="3370"/>
      <c r="E91" s="1814"/>
      <c r="F91" s="1814"/>
      <c r="G91" s="3371"/>
      <c r="H91" s="3372"/>
      <c r="I91" s="3373"/>
      <c r="J91" s="3374"/>
      <c r="K91" s="3374"/>
      <c r="L91" s="3374"/>
      <c r="M91" s="3374"/>
      <c r="N91" s="3374"/>
    </row>
    <row r="92" spans="1:37" ht="24.75">
      <c r="A92" s="3377" t="s">
        <v>3265</v>
      </c>
      <c r="B92" s="3364"/>
      <c r="C92" s="3364" t="s">
        <v>3274</v>
      </c>
      <c r="D92" s="3364" t="s">
        <v>3275</v>
      </c>
      <c r="E92" s="3346" t="s">
        <v>3276</v>
      </c>
      <c r="F92" s="3379" t="s">
        <v>3277</v>
      </c>
      <c r="G92" s="3364" t="s">
        <v>3278</v>
      </c>
      <c r="H92" s="3386" t="s">
        <v>3281</v>
      </c>
      <c r="I92" s="3364" t="s">
        <v>3282</v>
      </c>
      <c r="J92" s="3387" t="s">
        <v>3283</v>
      </c>
      <c r="K92" s="3387" t="s">
        <v>3284</v>
      </c>
      <c r="L92" s="3387" t="s">
        <v>3285</v>
      </c>
      <c r="M92" s="3387" t="s">
        <v>3286</v>
      </c>
      <c r="N92" s="3387" t="s">
        <v>3287</v>
      </c>
    </row>
    <row r="93" spans="1:37" ht="24">
      <c r="A93" s="3367" t="s">
        <v>3266</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4.25">
      <c r="A94" s="3377" t="s">
        <v>3267</v>
      </c>
      <c r="B94" s="3368" t="str">
        <f>估价对象房地状况!C18</f>
        <v>一般</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3263</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3268</v>
      </c>
      <c r="B96" s="3383" t="s">
        <v>3279</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3269</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3270</v>
      </c>
      <c r="B98" s="3384" t="s">
        <v>3280</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4">
      <c r="A99" s="3377" t="s">
        <v>3271</v>
      </c>
      <c r="B99" s="3368" t="str">
        <f>估价对象房地状况!C21</f>
        <v>较好</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4">
      <c r="A100" s="3377" t="s">
        <v>3272</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4.75" thickBot="1">
      <c r="A101" s="3378" t="s">
        <v>3273</v>
      </c>
      <c r="B101" s="3385" t="str">
        <f>估价对象房地状况!C20</f>
        <v>一般</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858" t="s">
        <v>3288</v>
      </c>
      <c r="B103" s="3858"/>
      <c r="C103" s="3858"/>
      <c r="D103" s="3858"/>
      <c r="E103" s="3858"/>
      <c r="F103" s="3858"/>
      <c r="G103" s="3858"/>
      <c r="H103" s="3858"/>
      <c r="I103" s="3858"/>
      <c r="J103" s="3858"/>
      <c r="K103" s="3388"/>
      <c r="L103" s="3388"/>
      <c r="M103" s="3388"/>
      <c r="N103" s="3388"/>
    </row>
    <row r="104" spans="1:14">
      <c r="A104" s="3859" t="s">
        <v>3289</v>
      </c>
      <c r="B104" s="3859" t="s">
        <v>3290</v>
      </c>
      <c r="C104" s="3389" t="s">
        <v>3291</v>
      </c>
      <c r="D104" s="3390"/>
      <c r="E104" s="3390"/>
      <c r="F104" s="3390"/>
      <c r="G104" s="3390"/>
      <c r="H104" s="3390"/>
      <c r="I104" s="3390"/>
      <c r="J104" s="3391"/>
      <c r="K104" s="3392"/>
      <c r="L104" s="3392"/>
      <c r="M104" s="3392"/>
      <c r="N104" s="3392"/>
    </row>
    <row r="105" spans="1:14">
      <c r="A105" s="3859"/>
      <c r="B105" s="3859"/>
      <c r="C105" s="3393" t="s">
        <v>3292</v>
      </c>
      <c r="D105" s="3393" t="s">
        <v>3293</v>
      </c>
      <c r="E105" s="3393" t="s">
        <v>3294</v>
      </c>
      <c r="F105" s="3393" t="s">
        <v>3295</v>
      </c>
      <c r="G105" s="3393" t="s">
        <v>3296</v>
      </c>
      <c r="H105" s="3393" t="s">
        <v>3297</v>
      </c>
      <c r="I105" s="3393" t="s">
        <v>3298</v>
      </c>
      <c r="J105" s="3393" t="s">
        <v>3299</v>
      </c>
      <c r="K105" s="3393" t="s">
        <v>3300</v>
      </c>
      <c r="L105" s="3393" t="s">
        <v>3301</v>
      </c>
      <c r="M105" s="3393" t="s">
        <v>3302</v>
      </c>
      <c r="N105" s="3393" t="s">
        <v>3303</v>
      </c>
    </row>
    <row r="106" spans="1:14">
      <c r="A106" s="3845" t="s">
        <v>3304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846"/>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846"/>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846"/>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846"/>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846"/>
      <c r="B111" s="3393" t="s">
        <v>3262</v>
      </c>
      <c r="C111" s="3394">
        <f>$I$3</f>
        <v>1</v>
      </c>
      <c r="D111" s="3394">
        <f t="shared" ref="D111:M111" si="32">$I$3</f>
        <v>1</v>
      </c>
      <c r="E111" s="3394">
        <f t="shared" si="32"/>
        <v>1</v>
      </c>
      <c r="F111" s="3394">
        <f t="shared" si="32"/>
        <v>1</v>
      </c>
      <c r="G111" s="3394">
        <f t="shared" si="32"/>
        <v>1</v>
      </c>
      <c r="H111" s="3394">
        <f t="shared" si="32"/>
        <v>1</v>
      </c>
      <c r="I111" s="3394">
        <f t="shared" si="32"/>
        <v>1</v>
      </c>
      <c r="J111" s="3394">
        <f t="shared" si="32"/>
        <v>1</v>
      </c>
      <c r="K111" s="3394">
        <f t="shared" si="32"/>
        <v>1</v>
      </c>
      <c r="L111" s="3394">
        <f t="shared" si="32"/>
        <v>1</v>
      </c>
      <c r="M111" s="3394">
        <f t="shared" si="32"/>
        <v>1</v>
      </c>
      <c r="N111" s="3394">
        <f>$I$3</f>
        <v>1</v>
      </c>
    </row>
    <row r="112" spans="1:14">
      <c r="A112" s="3847"/>
      <c r="B112" s="3393">
        <v>6</v>
      </c>
      <c r="C112" s="3386">
        <f>(-0.5556*(C111^2)-0.2719*C111+8944)*(10^(-4))</f>
        <v>0.89431725000000006</v>
      </c>
      <c r="D112" s="3386">
        <f>(-0.5556*(D111^2)-0.2719*D111+8944)*(10^(-4))</f>
        <v>0.89431725000000006</v>
      </c>
      <c r="E112" s="3386">
        <f>(-0.7912*(E111^2)-11.3794*E111+8482)*(10^(-4))</f>
        <v>0.84698294000000007</v>
      </c>
      <c r="F112" s="3386">
        <f t="shared" ref="F112:I112" si="33">(-0.7912*(F111^2)-11.3794*F111+8482)*(10^(-4))</f>
        <v>0.84698294000000007</v>
      </c>
      <c r="G112" s="3386">
        <f t="shared" si="33"/>
        <v>0.84698294000000007</v>
      </c>
      <c r="H112" s="3386">
        <f t="shared" si="33"/>
        <v>0.84698294000000007</v>
      </c>
      <c r="I112" s="3386">
        <f t="shared" si="33"/>
        <v>0.84698294000000007</v>
      </c>
      <c r="J112" s="3386">
        <f>(-0.989*(J111^2)-63.78*J111+7771)*(10^(-4))</f>
        <v>0.77062310000000001</v>
      </c>
      <c r="K112" s="3386">
        <f t="shared" ref="K112:N112" si="34">(-0.989*(K111^2)-63.78*K111+7771)*(10^(-4))</f>
        <v>0.77062310000000001</v>
      </c>
      <c r="L112" s="3386">
        <f t="shared" si="34"/>
        <v>0.77062310000000001</v>
      </c>
      <c r="M112" s="3386">
        <f t="shared" si="34"/>
        <v>0.77062310000000001</v>
      </c>
      <c r="N112" s="3386">
        <f t="shared" si="34"/>
        <v>0.77062310000000001</v>
      </c>
    </row>
    <row r="113" spans="1:14">
      <c r="A113" s="3848" t="s">
        <v>3305</v>
      </c>
      <c r="B113" s="3848"/>
      <c r="C113" s="3848"/>
      <c r="D113" s="3848"/>
      <c r="E113" s="3848"/>
      <c r="F113" s="3848"/>
      <c r="G113" s="3848"/>
      <c r="H113" s="3848"/>
      <c r="I113" s="3848"/>
      <c r="J113" s="3848"/>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3306</v>
      </c>
      <c r="B116" s="3414" t="e">
        <f>G3</f>
        <v>#DIV/0!</v>
      </c>
      <c r="C116" s="3398" t="s">
        <v>3307</v>
      </c>
      <c r="D116" s="3399" t="e">
        <f>SUMPRODUCT((A118:A122=F116)*(B117:M117=H116)*B118:M122)</f>
        <v>#DIV/0!</v>
      </c>
      <c r="E116" s="2000" t="s">
        <v>3308</v>
      </c>
      <c r="F116" s="3400" t="str">
        <f>E2</f>
        <v>商业</v>
      </c>
      <c r="G116" s="2000" t="s">
        <v>3309</v>
      </c>
      <c r="H116" s="3400" t="str">
        <f>G2</f>
        <v>七级</v>
      </c>
      <c r="I116" s="2000"/>
      <c r="J116" s="3401"/>
      <c r="K116" s="3401"/>
      <c r="L116" s="3401"/>
      <c r="M116" s="3401"/>
      <c r="N116" s="3396"/>
    </row>
    <row r="117" spans="1:14">
      <c r="A117" s="3402"/>
      <c r="B117" s="3403" t="s">
        <v>3310</v>
      </c>
      <c r="C117" s="3403" t="s">
        <v>3311</v>
      </c>
      <c r="D117" s="3403" t="s">
        <v>3312</v>
      </c>
      <c r="E117" s="3404" t="s">
        <v>3313</v>
      </c>
      <c r="F117" s="3404" t="s">
        <v>3314</v>
      </c>
      <c r="G117" s="3404" t="s">
        <v>3315</v>
      </c>
      <c r="H117" s="3405" t="s">
        <v>3316</v>
      </c>
      <c r="I117" s="3405" t="s">
        <v>3317</v>
      </c>
      <c r="J117" s="3406" t="s">
        <v>3318</v>
      </c>
      <c r="K117" s="3406" t="s">
        <v>3319</v>
      </c>
      <c r="L117" s="3406" t="s">
        <v>3320</v>
      </c>
      <c r="M117" s="3407" t="s">
        <v>3321</v>
      </c>
      <c r="N117" s="3396"/>
    </row>
    <row r="118" spans="1:14">
      <c r="A118" s="3408" t="s">
        <v>3322</v>
      </c>
      <c r="B118" s="3386" t="e">
        <f>ROUND(0.9968-0.011*B116,4)</f>
        <v>#DIV/0!</v>
      </c>
      <c r="C118" s="3386" t="e">
        <f>B118</f>
        <v>#DIV/0!</v>
      </c>
      <c r="D118" s="3386" t="e">
        <f>ROUND(0.949-0.014*B116,4)</f>
        <v>#DIV/0!</v>
      </c>
      <c r="E118" s="3386" t="e">
        <f>D118</f>
        <v>#DIV/0!</v>
      </c>
      <c r="F118" s="3386" t="e">
        <f>E118</f>
        <v>#DIV/0!</v>
      </c>
      <c r="G118" s="3386" t="e">
        <f>F118</f>
        <v>#DIV/0!</v>
      </c>
      <c r="H118" s="3386" t="e">
        <f>G118</f>
        <v>#DIV/0!</v>
      </c>
      <c r="I118" s="3386" t="e">
        <f>ROUND(0.8486-0.018*B116,4)</f>
        <v>#DIV/0!</v>
      </c>
      <c r="J118" s="3386" t="e">
        <f t="shared" ref="J118:M122" si="35">I118</f>
        <v>#DIV/0!</v>
      </c>
      <c r="K118" s="3386" t="e">
        <f t="shared" si="35"/>
        <v>#DIV/0!</v>
      </c>
      <c r="L118" s="3386" t="e">
        <f t="shared" si="35"/>
        <v>#DIV/0!</v>
      </c>
      <c r="M118" s="3409" t="e">
        <f t="shared" si="35"/>
        <v>#DIV/0!</v>
      </c>
      <c r="N118" s="3396"/>
    </row>
    <row r="119" spans="1:14">
      <c r="A119" s="3408" t="s">
        <v>3323</v>
      </c>
      <c r="B119" s="3386" t="e">
        <f>ROUND(0.993-0.0112*B116,4)</f>
        <v>#DIV/0!</v>
      </c>
      <c r="C119" s="3386" t="e">
        <f>B119</f>
        <v>#DIV/0!</v>
      </c>
      <c r="D119" s="3386" t="e">
        <f>ROUND(0.9415-0.0142*B116,4)</f>
        <v>#DIV/0!</v>
      </c>
      <c r="E119" s="3386" t="e">
        <f t="shared" ref="E119:H120" si="36">D119</f>
        <v>#DIV/0!</v>
      </c>
      <c r="F119" s="3386" t="e">
        <f t="shared" si="36"/>
        <v>#DIV/0!</v>
      </c>
      <c r="G119" s="3386" t="e">
        <f t="shared" si="36"/>
        <v>#DIV/0!</v>
      </c>
      <c r="H119" s="3386" t="e">
        <f t="shared" si="36"/>
        <v>#DIV/0!</v>
      </c>
      <c r="I119" s="3386" t="e">
        <f>ROUND(0.838-0.0182*B116,4)</f>
        <v>#DIV/0!</v>
      </c>
      <c r="J119" s="3386" t="e">
        <f t="shared" si="35"/>
        <v>#DIV/0!</v>
      </c>
      <c r="K119" s="3386" t="e">
        <f t="shared" si="35"/>
        <v>#DIV/0!</v>
      </c>
      <c r="L119" s="3386" t="e">
        <f t="shared" si="35"/>
        <v>#DIV/0!</v>
      </c>
      <c r="M119" s="3409" t="e">
        <f t="shared" si="35"/>
        <v>#DIV/0!</v>
      </c>
      <c r="N119" s="3396"/>
    </row>
    <row r="120" spans="1:14">
      <c r="A120" s="3408" t="s">
        <v>3324</v>
      </c>
      <c r="B120" s="3386" t="e">
        <f>ROUND(0.9448-0.0115*B116,4)</f>
        <v>#DIV/0!</v>
      </c>
      <c r="C120" s="3386" t="e">
        <f>B120</f>
        <v>#DIV/0!</v>
      </c>
      <c r="D120" s="3386" t="e">
        <f>ROUND(0.937-0.0145*B116,4)</f>
        <v>#DIV/0!</v>
      </c>
      <c r="E120" s="3386" t="e">
        <f t="shared" si="36"/>
        <v>#DIV/0!</v>
      </c>
      <c r="F120" s="3386" t="e">
        <f t="shared" si="36"/>
        <v>#DIV/0!</v>
      </c>
      <c r="G120" s="3386" t="e">
        <f t="shared" si="36"/>
        <v>#DIV/0!</v>
      </c>
      <c r="H120" s="3386" t="e">
        <f t="shared" si="36"/>
        <v>#DIV/0!</v>
      </c>
      <c r="I120" s="3386" t="e">
        <f>ROUND(0.7965-0.0185*B116,4)</f>
        <v>#DIV/0!</v>
      </c>
      <c r="J120" s="3386" t="e">
        <f t="shared" si="35"/>
        <v>#DIV/0!</v>
      </c>
      <c r="K120" s="3386" t="e">
        <f t="shared" si="35"/>
        <v>#DIV/0!</v>
      </c>
      <c r="L120" s="3386" t="e">
        <f t="shared" si="35"/>
        <v>#DIV/0!</v>
      </c>
      <c r="M120" s="3409" t="e">
        <f t="shared" si="35"/>
        <v>#DIV/0!</v>
      </c>
      <c r="N120" s="3396"/>
    </row>
    <row r="121" spans="1:14" ht="13.5" thickBot="1">
      <c r="A121" s="3410" t="s">
        <v>3325</v>
      </c>
      <c r="B121" s="3411" t="e">
        <f>ROUND(0.7836-0.012*B116,4)</f>
        <v>#DIV/0!</v>
      </c>
      <c r="C121" s="3411" t="e">
        <f>B121</f>
        <v>#DIV/0!</v>
      </c>
      <c r="D121" s="3411" t="e">
        <f>ROUND(0.753-0.015*B116,4)</f>
        <v>#DIV/0!</v>
      </c>
      <c r="E121" s="3411" t="e">
        <f>D121</f>
        <v>#DIV/0!</v>
      </c>
      <c r="F121" s="3411" t="e">
        <f>E121</f>
        <v>#DIV/0!</v>
      </c>
      <c r="G121" s="3411" t="e">
        <f>ROUND(0.6612-0.018*B116,4)</f>
        <v>#DIV/0!</v>
      </c>
      <c r="H121" s="3411" t="e">
        <f>G121</f>
        <v>#DIV/0!</v>
      </c>
      <c r="I121" s="3411" t="e">
        <f>ROUND(0.5905-0.019*B116,4)</f>
        <v>#DIV/0!</v>
      </c>
      <c r="J121" s="3411" t="e">
        <f t="shared" si="35"/>
        <v>#DIV/0!</v>
      </c>
      <c r="K121" s="3411" t="e">
        <f t="shared" si="35"/>
        <v>#DIV/0!</v>
      </c>
      <c r="L121" s="3411" t="e">
        <f t="shared" si="35"/>
        <v>#DIV/0!</v>
      </c>
      <c r="M121" s="3412" t="e">
        <f t="shared" si="35"/>
        <v>#DIV/0!</v>
      </c>
      <c r="N121" s="3396"/>
    </row>
    <row r="122" spans="1:14">
      <c r="A122" s="3413" t="s">
        <v>2607</v>
      </c>
      <c r="B122" s="3386" t="e">
        <f>ROUND(0.9404-0.0106*B116,4)</f>
        <v>#DIV/0!</v>
      </c>
      <c r="C122" s="3386" t="e">
        <f>B122</f>
        <v>#DIV/0!</v>
      </c>
      <c r="D122" s="3386" t="e">
        <f>ROUND(0.8955-0.0135*B116,4)</f>
        <v>#DIV/0!</v>
      </c>
      <c r="E122" s="3386" t="e">
        <f t="shared" ref="E122:H122" si="37">D122</f>
        <v>#DIV/0!</v>
      </c>
      <c r="F122" s="3386" t="e">
        <f t="shared" si="37"/>
        <v>#DIV/0!</v>
      </c>
      <c r="G122" s="3386" t="e">
        <f t="shared" si="37"/>
        <v>#DIV/0!</v>
      </c>
      <c r="H122" s="3386" t="e">
        <f t="shared" si="37"/>
        <v>#DIV/0!</v>
      </c>
      <c r="I122" s="3386" t="e">
        <f>ROUND(0.7632-0.0166*B116,4)</f>
        <v>#DIV/0!</v>
      </c>
      <c r="J122" s="3386" t="e">
        <f t="shared" si="35"/>
        <v>#DIV/0!</v>
      </c>
      <c r="K122" s="3386" t="e">
        <f t="shared" si="35"/>
        <v>#DIV/0!</v>
      </c>
      <c r="L122" s="3386" t="e">
        <f t="shared" si="35"/>
        <v>#DIV/0!</v>
      </c>
      <c r="M122" s="3409" t="e">
        <f t="shared" si="35"/>
        <v>#DIV/0!</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2589</v>
      </c>
      <c r="B1" s="3070" t="s">
        <v>2590</v>
      </c>
      <c r="C1" s="3070" t="s">
        <v>2591</v>
      </c>
      <c r="D1" s="3070" t="s">
        <v>2592</v>
      </c>
      <c r="E1" s="3070" t="s">
        <v>2593</v>
      </c>
      <c r="F1" s="3070" t="s">
        <v>2594</v>
      </c>
      <c r="G1" s="3070" t="s">
        <v>2595</v>
      </c>
      <c r="H1" s="3070" t="s">
        <v>2596</v>
      </c>
      <c r="I1" s="3070" t="s">
        <v>2597</v>
      </c>
      <c r="J1" s="3070" t="s">
        <v>2598</v>
      </c>
      <c r="K1" s="3070" t="s">
        <v>2599</v>
      </c>
      <c r="L1" s="3070" t="s">
        <v>2600</v>
      </c>
      <c r="M1" s="3071" t="s">
        <v>2601</v>
      </c>
    </row>
    <row r="2" spans="1:13" ht="19.5" customHeight="1">
      <c r="A2" s="3073" t="s">
        <v>2602</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2603</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2604</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2605</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2606</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2607</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2608</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2609</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2610</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2611</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2612</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2613</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2614</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2615</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2616</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2617</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2618</v>
      </c>
      <c r="B18" s="3095"/>
      <c r="C18" s="3096"/>
      <c r="D18" s="3096"/>
      <c r="E18" s="3095"/>
      <c r="F18" s="3096"/>
      <c r="G18" s="3096"/>
    </row>
    <row r="19" spans="1:13" ht="19.5" customHeight="1" thickBot="1">
      <c r="A19" s="3093" t="s">
        <v>2619</v>
      </c>
      <c r="B19" s="3098" t="s">
        <v>2620</v>
      </c>
      <c r="C19" s="3098" t="s">
        <v>2621</v>
      </c>
      <c r="D19" s="3099"/>
      <c r="E19" s="3093" t="s">
        <v>2622</v>
      </c>
      <c r="F19" s="3100"/>
      <c r="G19" s="3100"/>
    </row>
    <row r="20" spans="1:13" ht="19.5" customHeight="1">
      <c r="A20" s="3873" t="s">
        <v>2602</v>
      </c>
      <c r="B20" s="3868" t="s">
        <v>2623</v>
      </c>
      <c r="C20" s="3101" t="s">
        <v>2434</v>
      </c>
      <c r="D20" s="3102"/>
      <c r="E20" s="3103">
        <v>1</v>
      </c>
      <c r="F20" s="3104" t="s">
        <v>2435</v>
      </c>
      <c r="G20" s="3104"/>
    </row>
    <row r="21" spans="1:13" ht="19.5" customHeight="1">
      <c r="A21" s="3874"/>
      <c r="B21" s="3867"/>
      <c r="C21" s="3105" t="s">
        <v>2436</v>
      </c>
      <c r="D21" s="3106"/>
      <c r="E21" s="3107">
        <v>1</v>
      </c>
      <c r="F21" s="3104" t="s">
        <v>2437</v>
      </c>
      <c r="G21" s="3104"/>
    </row>
    <row r="22" spans="1:13" ht="19.5" customHeight="1">
      <c r="A22" s="3874"/>
      <c r="B22" s="3867"/>
      <c r="C22" s="3105" t="s">
        <v>2438</v>
      </c>
      <c r="D22" s="3106"/>
      <c r="E22" s="3107">
        <v>0.9</v>
      </c>
      <c r="F22" s="3104" t="s">
        <v>2439</v>
      </c>
      <c r="G22" s="3104"/>
    </row>
    <row r="23" spans="1:13" ht="19.5" customHeight="1">
      <c r="A23" s="3874"/>
      <c r="B23" s="3867"/>
      <c r="C23" s="3105" t="s">
        <v>2440</v>
      </c>
      <c r="D23" s="3106"/>
      <c r="E23" s="3107">
        <v>0.9</v>
      </c>
      <c r="F23" s="3104" t="s">
        <v>2441</v>
      </c>
      <c r="G23" s="3104"/>
    </row>
    <row r="24" spans="1:13" ht="19.5" customHeight="1">
      <c r="A24" s="3874"/>
      <c r="B24" s="3867"/>
      <c r="C24" s="3105" t="s">
        <v>2442</v>
      </c>
      <c r="D24" s="3106"/>
      <c r="E24" s="3107">
        <v>0.8</v>
      </c>
      <c r="F24" s="3104" t="s">
        <v>2443</v>
      </c>
      <c r="G24" s="3104"/>
    </row>
    <row r="25" spans="1:13" ht="19.5" customHeight="1" thickBot="1">
      <c r="A25" s="3875"/>
      <c r="B25" s="3869"/>
      <c r="C25" s="3108" t="s">
        <v>2444</v>
      </c>
      <c r="D25" s="3109"/>
      <c r="E25" s="3110">
        <v>0.8</v>
      </c>
      <c r="F25" s="3104" t="s">
        <v>2445</v>
      </c>
      <c r="G25" s="3104"/>
    </row>
    <row r="26" spans="1:13" ht="19.5" customHeight="1" thickBot="1">
      <c r="A26" s="3111" t="s">
        <v>2624</v>
      </c>
      <c r="B26" s="3112" t="s">
        <v>2623</v>
      </c>
      <c r="C26" s="3113" t="s">
        <v>2625</v>
      </c>
      <c r="D26" s="3114"/>
      <c r="E26" s="3115">
        <v>1</v>
      </c>
      <c r="F26" s="3104" t="s">
        <v>2446</v>
      </c>
      <c r="G26" s="3104"/>
    </row>
    <row r="27" spans="1:13" ht="19.5" customHeight="1">
      <c r="A27" s="3870" t="s">
        <v>2626</v>
      </c>
      <c r="B27" s="3868" t="s">
        <v>2607</v>
      </c>
      <c r="C27" s="3101" t="s">
        <v>2447</v>
      </c>
      <c r="D27" s="3102"/>
      <c r="E27" s="3103">
        <v>1</v>
      </c>
      <c r="F27" s="3104" t="s">
        <v>2448</v>
      </c>
      <c r="G27" s="3104"/>
    </row>
    <row r="28" spans="1:13" ht="19.5" customHeight="1">
      <c r="A28" s="3871"/>
      <c r="B28" s="3867"/>
      <c r="C28" s="3105" t="s">
        <v>2449</v>
      </c>
      <c r="D28" s="3106"/>
      <c r="E28" s="3107">
        <v>1</v>
      </c>
      <c r="F28" s="3104" t="s">
        <v>2450</v>
      </c>
      <c r="G28" s="3104"/>
    </row>
    <row r="29" spans="1:13" ht="19.5" customHeight="1">
      <c r="A29" s="3871"/>
      <c r="B29" s="3867"/>
      <c r="C29" s="3105" t="s">
        <v>2451</v>
      </c>
      <c r="D29" s="3106"/>
      <c r="E29" s="3107">
        <v>0.8</v>
      </c>
      <c r="F29" s="3104" t="s">
        <v>2452</v>
      </c>
      <c r="G29" s="3104"/>
    </row>
    <row r="30" spans="1:13" ht="19.5" customHeight="1">
      <c r="A30" s="3871"/>
      <c r="B30" s="3867"/>
      <c r="C30" s="3105" t="s">
        <v>2453</v>
      </c>
      <c r="D30" s="3106"/>
      <c r="E30" s="3107">
        <v>0.8</v>
      </c>
      <c r="F30" s="3104" t="s">
        <v>2454</v>
      </c>
      <c r="G30" s="3104"/>
    </row>
    <row r="31" spans="1:13" ht="19.5" customHeight="1">
      <c r="A31" s="3871"/>
      <c r="B31" s="3867"/>
      <c r="C31" s="3105" t="s">
        <v>2455</v>
      </c>
      <c r="D31" s="3106"/>
      <c r="E31" s="3107">
        <v>0.8</v>
      </c>
      <c r="F31" s="3104" t="s">
        <v>2456</v>
      </c>
      <c r="G31" s="3104"/>
    </row>
    <row r="32" spans="1:13" ht="19.5" customHeight="1">
      <c r="A32" s="3871"/>
      <c r="B32" s="3867"/>
      <c r="C32" s="3105" t="s">
        <v>2457</v>
      </c>
      <c r="D32" s="3106"/>
      <c r="E32" s="3107">
        <v>0.7</v>
      </c>
      <c r="F32" s="3104" t="s">
        <v>2458</v>
      </c>
      <c r="G32" s="3104"/>
    </row>
    <row r="33" spans="1:7" ht="19.5" customHeight="1">
      <c r="A33" s="3871"/>
      <c r="B33" s="3867"/>
      <c r="C33" s="3105" t="s">
        <v>2459</v>
      </c>
      <c r="D33" s="3106"/>
      <c r="E33" s="3107">
        <v>0.8</v>
      </c>
      <c r="F33" s="3104" t="s">
        <v>2460</v>
      </c>
      <c r="G33" s="3104"/>
    </row>
    <row r="34" spans="1:7" ht="19.5" customHeight="1">
      <c r="A34" s="3871"/>
      <c r="B34" s="3867"/>
      <c r="C34" s="3105" t="s">
        <v>2461</v>
      </c>
      <c r="D34" s="3106"/>
      <c r="E34" s="3107">
        <v>0.6</v>
      </c>
      <c r="F34" s="3104" t="s">
        <v>2462</v>
      </c>
      <c r="G34" s="3104"/>
    </row>
    <row r="35" spans="1:7" ht="19.5" customHeight="1">
      <c r="A35" s="3871"/>
      <c r="B35" s="3867"/>
      <c r="C35" s="3105" t="s">
        <v>2463</v>
      </c>
      <c r="D35" s="3106"/>
      <c r="E35" s="3107">
        <v>0.2</v>
      </c>
      <c r="F35" s="3104" t="s">
        <v>2464</v>
      </c>
      <c r="G35" s="3104"/>
    </row>
    <row r="36" spans="1:7" ht="19.5" customHeight="1">
      <c r="A36" s="3871"/>
      <c r="B36" s="3867"/>
      <c r="C36" s="3105" t="s">
        <v>2465</v>
      </c>
      <c r="D36" s="3106"/>
      <c r="E36" s="3107">
        <v>0.2</v>
      </c>
      <c r="F36" s="3104" t="s">
        <v>2466</v>
      </c>
      <c r="G36" s="3104"/>
    </row>
    <row r="37" spans="1:7" ht="19.5" customHeight="1">
      <c r="A37" s="3871"/>
      <c r="B37" s="3865" t="s">
        <v>2627</v>
      </c>
      <c r="C37" s="3105" t="s">
        <v>2467</v>
      </c>
      <c r="D37" s="3106"/>
      <c r="E37" s="3107">
        <v>0.6</v>
      </c>
      <c r="F37" s="3104" t="s">
        <v>2468</v>
      </c>
      <c r="G37" s="3104"/>
    </row>
    <row r="38" spans="1:7" ht="19.5" customHeight="1">
      <c r="A38" s="3871"/>
      <c r="B38" s="3867"/>
      <c r="C38" s="3105" t="s">
        <v>2469</v>
      </c>
      <c r="D38" s="3106"/>
      <c r="E38" s="3107">
        <v>0.6</v>
      </c>
      <c r="F38" s="3104" t="s">
        <v>2470</v>
      </c>
      <c r="G38" s="3104"/>
    </row>
    <row r="39" spans="1:7" ht="19.5" customHeight="1" thickBot="1">
      <c r="A39" s="3872"/>
      <c r="B39" s="3869"/>
      <c r="C39" s="3108" t="s">
        <v>2471</v>
      </c>
      <c r="D39" s="3109"/>
      <c r="E39" s="3110">
        <v>0.6</v>
      </c>
      <c r="F39" s="3104" t="s">
        <v>2472</v>
      </c>
      <c r="G39" s="3104"/>
    </row>
    <row r="40" spans="1:7" ht="19.5" customHeight="1" thickBot="1">
      <c r="A40" s="3111" t="s">
        <v>2604</v>
      </c>
      <c r="B40" s="3112" t="s">
        <v>2604</v>
      </c>
      <c r="C40" s="3113" t="s">
        <v>2628</v>
      </c>
      <c r="D40" s="3114"/>
      <c r="E40" s="3115">
        <v>1</v>
      </c>
      <c r="F40" s="3104" t="s">
        <v>2473</v>
      </c>
      <c r="G40" s="3104"/>
    </row>
    <row r="41" spans="1:7" ht="19.5" customHeight="1">
      <c r="A41" s="3873" t="s">
        <v>2605</v>
      </c>
      <c r="B41" s="3868" t="s">
        <v>2629</v>
      </c>
      <c r="C41" s="3101" t="s">
        <v>2474</v>
      </c>
      <c r="D41" s="3102"/>
      <c r="E41" s="3103">
        <v>1</v>
      </c>
      <c r="F41" s="3104" t="s">
        <v>2475</v>
      </c>
      <c r="G41" s="3104"/>
    </row>
    <row r="42" spans="1:7" ht="19.5" customHeight="1">
      <c r="A42" s="3874"/>
      <c r="B42" s="3867"/>
      <c r="C42" s="3105" t="s">
        <v>2476</v>
      </c>
      <c r="D42" s="3106"/>
      <c r="E42" s="3107">
        <v>1</v>
      </c>
      <c r="F42" s="3104" t="s">
        <v>2477</v>
      </c>
      <c r="G42" s="3104"/>
    </row>
    <row r="43" spans="1:7" ht="19.5" customHeight="1">
      <c r="A43" s="3874"/>
      <c r="B43" s="3866"/>
      <c r="C43" s="3105" t="s">
        <v>2478</v>
      </c>
      <c r="D43" s="3106"/>
      <c r="E43" s="3107">
        <v>1.5</v>
      </c>
      <c r="F43" s="3104" t="s">
        <v>2479</v>
      </c>
      <c r="G43" s="3104"/>
    </row>
    <row r="44" spans="1:7" ht="19.5" customHeight="1">
      <c r="A44" s="3874"/>
      <c r="B44" s="3116" t="s">
        <v>2630</v>
      </c>
      <c r="C44" s="3105" t="s">
        <v>2631</v>
      </c>
      <c r="D44" s="3106"/>
      <c r="E44" s="3107">
        <v>2</v>
      </c>
      <c r="F44" s="3104" t="s">
        <v>2480</v>
      </c>
      <c r="G44" s="3104"/>
    </row>
    <row r="45" spans="1:7" ht="19.5" customHeight="1">
      <c r="A45" s="3874"/>
      <c r="B45" s="3865" t="s">
        <v>2632</v>
      </c>
      <c r="C45" s="3105" t="s">
        <v>2481</v>
      </c>
      <c r="D45" s="3106"/>
      <c r="E45" s="3107">
        <v>1</v>
      </c>
      <c r="F45" s="3104" t="s">
        <v>2482</v>
      </c>
      <c r="G45" s="3104"/>
    </row>
    <row r="46" spans="1:7" ht="19.5" customHeight="1">
      <c r="A46" s="3874"/>
      <c r="B46" s="3867"/>
      <c r="C46" s="3105" t="s">
        <v>2483</v>
      </c>
      <c r="D46" s="3106"/>
      <c r="E46" s="3107">
        <v>1</v>
      </c>
      <c r="F46" s="3104" t="s">
        <v>2484</v>
      </c>
      <c r="G46" s="3104"/>
    </row>
    <row r="47" spans="1:7" ht="19.5" customHeight="1">
      <c r="A47" s="3874"/>
      <c r="B47" s="3867"/>
      <c r="C47" s="3105" t="s">
        <v>2485</v>
      </c>
      <c r="D47" s="3106"/>
      <c r="E47" s="3107">
        <v>1</v>
      </c>
      <c r="F47" s="3104" t="s">
        <v>2486</v>
      </c>
      <c r="G47" s="3104"/>
    </row>
    <row r="48" spans="1:7" ht="19.5" customHeight="1">
      <c r="A48" s="3874"/>
      <c r="B48" s="3867"/>
      <c r="C48" s="3105" t="s">
        <v>2487</v>
      </c>
      <c r="D48" s="3106"/>
      <c r="E48" s="3107">
        <v>1</v>
      </c>
      <c r="F48" s="3104" t="s">
        <v>2488</v>
      </c>
      <c r="G48" s="3104"/>
    </row>
    <row r="49" spans="1:7" ht="19.5" customHeight="1">
      <c r="A49" s="3874"/>
      <c r="B49" s="3867"/>
      <c r="C49" s="3105" t="s">
        <v>2489</v>
      </c>
      <c r="D49" s="3106"/>
      <c r="E49" s="3107">
        <v>1</v>
      </c>
      <c r="F49" s="3104" t="s">
        <v>2490</v>
      </c>
      <c r="G49" s="3104"/>
    </row>
    <row r="50" spans="1:7" ht="19.5" customHeight="1">
      <c r="A50" s="3874"/>
      <c r="B50" s="3867"/>
      <c r="C50" s="3105" t="s">
        <v>2491</v>
      </c>
      <c r="D50" s="3106"/>
      <c r="E50" s="3107">
        <v>1</v>
      </c>
      <c r="F50" s="3104" t="s">
        <v>2492</v>
      </c>
      <c r="G50" s="3104"/>
    </row>
    <row r="51" spans="1:7" ht="19.5" customHeight="1" thickBot="1">
      <c r="A51" s="3875"/>
      <c r="B51" s="3869"/>
      <c r="C51" s="3108" t="s">
        <v>2493</v>
      </c>
      <c r="D51" s="3109"/>
      <c r="E51" s="3110">
        <v>1</v>
      </c>
      <c r="F51" s="3104" t="s">
        <v>2494</v>
      </c>
      <c r="G51" s="3104"/>
    </row>
    <row r="52" spans="1:7" ht="19.5" customHeight="1">
      <c r="A52" s="3117"/>
      <c r="B52" s="3117"/>
      <c r="C52" s="3117"/>
      <c r="D52" s="3117"/>
      <c r="E52" s="3117"/>
      <c r="F52" s="3117"/>
      <c r="G52" s="3117"/>
    </row>
    <row r="54" spans="1:7" ht="19.5" customHeight="1">
      <c r="A54" s="3118"/>
      <c r="B54" s="3090" t="s">
        <v>2633</v>
      </c>
      <c r="C54" s="3090" t="s">
        <v>2633</v>
      </c>
      <c r="D54" s="3090" t="s">
        <v>2633</v>
      </c>
      <c r="E54" s="3093" t="s">
        <v>2633</v>
      </c>
      <c r="F54" s="3093" t="s">
        <v>2634</v>
      </c>
      <c r="G54" s="3093" t="s">
        <v>2635</v>
      </c>
    </row>
    <row r="55" spans="1:7" ht="19.5" customHeight="1">
      <c r="A55" s="3119"/>
      <c r="B55" s="3093" t="s">
        <v>2602</v>
      </c>
      <c r="C55" s="3093" t="s">
        <v>2602</v>
      </c>
      <c r="D55" s="3093" t="s">
        <v>2602</v>
      </c>
      <c r="E55" s="3090" t="s">
        <v>2603</v>
      </c>
      <c r="F55" s="3090" t="s">
        <v>2605</v>
      </c>
      <c r="G55" s="3090" t="s">
        <v>2636</v>
      </c>
    </row>
    <row r="56" spans="1:7" ht="19.5" customHeight="1">
      <c r="A56" s="3120"/>
      <c r="B56" s="3090">
        <v>1</v>
      </c>
      <c r="C56" s="3090">
        <v>2</v>
      </c>
      <c r="D56" s="3090">
        <v>3</v>
      </c>
      <c r="E56" s="3121" t="s">
        <v>2637</v>
      </c>
      <c r="F56" s="3121" t="s">
        <v>2637</v>
      </c>
      <c r="G56" s="3121" t="s">
        <v>2637</v>
      </c>
    </row>
    <row r="57" spans="1:7" ht="19.5" customHeight="1">
      <c r="A57" s="3122" t="s">
        <v>2590</v>
      </c>
      <c r="B57" s="3090">
        <v>0.7</v>
      </c>
      <c r="C57" s="3090">
        <v>0.4</v>
      </c>
      <c r="D57" s="3090">
        <v>0.3</v>
      </c>
      <c r="E57" s="3121">
        <v>0.3</v>
      </c>
      <c r="F57" s="3090">
        <v>0.3</v>
      </c>
      <c r="G57" s="3090">
        <v>0.2</v>
      </c>
    </row>
    <row r="58" spans="1:7" ht="19.5" customHeight="1">
      <c r="A58" s="3122" t="s">
        <v>2591</v>
      </c>
      <c r="B58" s="3090">
        <v>0.7</v>
      </c>
      <c r="C58" s="3090">
        <v>0.4</v>
      </c>
      <c r="D58" s="3090">
        <v>0.3</v>
      </c>
      <c r="E58" s="3090">
        <v>0.3</v>
      </c>
      <c r="F58" s="3090">
        <v>0.3</v>
      </c>
      <c r="G58" s="3090">
        <v>0.2</v>
      </c>
    </row>
    <row r="59" spans="1:7" ht="19.5" customHeight="1">
      <c r="A59" s="3122" t="s">
        <v>2592</v>
      </c>
      <c r="B59" s="3090">
        <v>0.6</v>
      </c>
      <c r="C59" s="3090">
        <v>0.3</v>
      </c>
      <c r="D59" s="3090">
        <v>0.25</v>
      </c>
      <c r="E59" s="3090">
        <v>0.25</v>
      </c>
      <c r="F59" s="3090">
        <v>0.25</v>
      </c>
      <c r="G59" s="3090">
        <v>0.15</v>
      </c>
    </row>
    <row r="60" spans="1:7" ht="19.5" customHeight="1">
      <c r="A60" s="3122" t="s">
        <v>2593</v>
      </c>
      <c r="B60" s="3090">
        <v>0.6</v>
      </c>
      <c r="C60" s="3090">
        <v>0.3</v>
      </c>
      <c r="D60" s="3090">
        <v>0.25</v>
      </c>
      <c r="E60" s="3090">
        <v>0.25</v>
      </c>
      <c r="F60" s="3090">
        <v>0.25</v>
      </c>
      <c r="G60" s="3090">
        <v>0.15</v>
      </c>
    </row>
    <row r="61" spans="1:7" ht="19.5" customHeight="1">
      <c r="A61" s="3122" t="s">
        <v>2594</v>
      </c>
      <c r="B61" s="3090">
        <v>0.6</v>
      </c>
      <c r="C61" s="3090">
        <v>0.3</v>
      </c>
      <c r="D61" s="3090">
        <v>0.25</v>
      </c>
      <c r="E61" s="3090">
        <v>0.25</v>
      </c>
      <c r="F61" s="3090">
        <v>0.25</v>
      </c>
      <c r="G61" s="3090">
        <v>0.15</v>
      </c>
    </row>
    <row r="62" spans="1:7" ht="19.5" customHeight="1">
      <c r="A62" s="3122" t="s">
        <v>2595</v>
      </c>
      <c r="B62" s="3090">
        <v>0.6</v>
      </c>
      <c r="C62" s="3090">
        <v>0.3</v>
      </c>
      <c r="D62" s="3090">
        <v>0.25</v>
      </c>
      <c r="E62" s="3090">
        <v>0.25</v>
      </c>
      <c r="F62" s="3090">
        <v>0.25</v>
      </c>
      <c r="G62" s="3090">
        <v>0.15</v>
      </c>
    </row>
    <row r="63" spans="1:7" ht="19.5" customHeight="1">
      <c r="A63" s="3122" t="s">
        <v>2596</v>
      </c>
      <c r="B63" s="3090">
        <v>0.6</v>
      </c>
      <c r="C63" s="3090">
        <v>0.3</v>
      </c>
      <c r="D63" s="3090">
        <v>0.25</v>
      </c>
      <c r="E63" s="3090">
        <v>0.25</v>
      </c>
      <c r="F63" s="3090">
        <v>0.25</v>
      </c>
      <c r="G63" s="3090">
        <v>0.15</v>
      </c>
    </row>
    <row r="64" spans="1:7" ht="19.5" customHeight="1">
      <c r="A64" s="3122" t="s">
        <v>2597</v>
      </c>
      <c r="B64" s="3090">
        <v>0.5</v>
      </c>
      <c r="C64" s="3090">
        <v>0.2</v>
      </c>
      <c r="D64" s="3090">
        <v>0.2</v>
      </c>
      <c r="E64" s="3090">
        <v>0.2</v>
      </c>
      <c r="F64" s="3090">
        <v>0.2</v>
      </c>
      <c r="G64" s="3090">
        <v>0.1</v>
      </c>
    </row>
    <row r="65" spans="1:7" ht="19.5" customHeight="1">
      <c r="A65" s="3122" t="s">
        <v>2598</v>
      </c>
      <c r="B65" s="3090">
        <v>0.5</v>
      </c>
      <c r="C65" s="3090">
        <v>0.2</v>
      </c>
      <c r="D65" s="3090">
        <v>0.2</v>
      </c>
      <c r="E65" s="3090">
        <v>0.2</v>
      </c>
      <c r="F65" s="3090">
        <v>0.2</v>
      </c>
      <c r="G65" s="3090">
        <v>0.1</v>
      </c>
    </row>
    <row r="66" spans="1:7" ht="19.5" customHeight="1">
      <c r="A66" s="3122" t="s">
        <v>2599</v>
      </c>
      <c r="B66" s="3090">
        <v>0.5</v>
      </c>
      <c r="C66" s="3090">
        <v>0.2</v>
      </c>
      <c r="D66" s="3090">
        <v>0.2</v>
      </c>
      <c r="E66" s="3090">
        <v>0.2</v>
      </c>
      <c r="F66" s="3090">
        <v>0.2</v>
      </c>
      <c r="G66" s="3090">
        <v>0.1</v>
      </c>
    </row>
    <row r="67" spans="1:7" ht="19.5" customHeight="1">
      <c r="A67" s="3122" t="s">
        <v>2600</v>
      </c>
      <c r="B67" s="3090">
        <v>0.5</v>
      </c>
      <c r="C67" s="3090">
        <v>0.2</v>
      </c>
      <c r="D67" s="3090">
        <v>0.2</v>
      </c>
      <c r="E67" s="3090">
        <v>0.2</v>
      </c>
      <c r="F67" s="3090">
        <v>0.2</v>
      </c>
      <c r="G67" s="3090">
        <v>0.1</v>
      </c>
    </row>
    <row r="68" spans="1:7" ht="19.5" customHeight="1">
      <c r="A68" s="3122" t="s">
        <v>2601</v>
      </c>
      <c r="B68" s="3090">
        <v>0.5</v>
      </c>
      <c r="C68" s="3090">
        <v>0.2</v>
      </c>
      <c r="D68" s="3090">
        <v>0.2</v>
      </c>
      <c r="E68" s="3090">
        <v>0.2</v>
      </c>
      <c r="F68" s="3090">
        <v>0.2</v>
      </c>
      <c r="G68" s="3090">
        <v>0.1</v>
      </c>
    </row>
    <row r="70" spans="1:7" ht="19.5" customHeight="1">
      <c r="A70" s="3123"/>
      <c r="B70" s="3124"/>
      <c r="C70" s="3124"/>
      <c r="D70" s="3124" t="s">
        <v>2638</v>
      </c>
      <c r="E70" s="3124"/>
      <c r="F70" s="3124"/>
    </row>
    <row r="71" spans="1:7" ht="19.5" customHeight="1">
      <c r="A71" s="3116" t="s">
        <v>2639</v>
      </c>
      <c r="B71" s="3116" t="s">
        <v>2640</v>
      </c>
      <c r="C71" s="3116" t="s">
        <v>2641</v>
      </c>
      <c r="D71" s="3116" t="s">
        <v>2642</v>
      </c>
      <c r="E71" s="3116" t="s">
        <v>2643</v>
      </c>
      <c r="F71" s="3116" t="s">
        <v>2644</v>
      </c>
    </row>
    <row r="72" spans="1:7" ht="13.5">
      <c r="A72" s="3116"/>
      <c r="B72" s="3116"/>
      <c r="C72" s="3116" t="s">
        <v>2645</v>
      </c>
      <c r="D72" s="3116"/>
      <c r="E72" s="3116" t="s">
        <v>2616</v>
      </c>
      <c r="F72" s="3116" t="s">
        <v>2616</v>
      </c>
    </row>
    <row r="73" spans="1:7" ht="13.5">
      <c r="A73" s="3116">
        <v>1</v>
      </c>
      <c r="B73" s="3865" t="s">
        <v>2646</v>
      </c>
      <c r="C73" s="3090" t="s">
        <v>2647</v>
      </c>
      <c r="D73" s="3090" t="s">
        <v>2648</v>
      </c>
      <c r="E73" s="3116">
        <v>0.2</v>
      </c>
      <c r="F73" s="3116">
        <v>25</v>
      </c>
    </row>
    <row r="74" spans="1:7" ht="24">
      <c r="A74" s="3116">
        <v>2</v>
      </c>
      <c r="B74" s="3867"/>
      <c r="C74" s="3090" t="s">
        <v>2649</v>
      </c>
      <c r="D74" s="3090" t="s">
        <v>2650</v>
      </c>
      <c r="E74" s="3116">
        <v>0.2</v>
      </c>
      <c r="F74" s="3116">
        <v>25</v>
      </c>
    </row>
    <row r="75" spans="1:7" ht="24">
      <c r="A75" s="3116">
        <v>3</v>
      </c>
      <c r="B75" s="3867"/>
      <c r="C75" s="3090" t="s">
        <v>2651</v>
      </c>
      <c r="D75" s="3090" t="s">
        <v>2652</v>
      </c>
      <c r="E75" s="3116">
        <v>0.2</v>
      </c>
      <c r="F75" s="3116">
        <v>25</v>
      </c>
    </row>
    <row r="76" spans="1:7" ht="13.5">
      <c r="A76" s="3116">
        <v>4</v>
      </c>
      <c r="B76" s="3867"/>
      <c r="C76" s="3090" t="s">
        <v>2653</v>
      </c>
      <c r="D76" s="3090" t="s">
        <v>2654</v>
      </c>
      <c r="E76" s="3116">
        <v>0.15</v>
      </c>
      <c r="F76" s="3116">
        <v>20</v>
      </c>
    </row>
    <row r="77" spans="1:7" ht="24">
      <c r="A77" s="3116">
        <v>5</v>
      </c>
      <c r="B77" s="3867"/>
      <c r="C77" s="3090" t="s">
        <v>2655</v>
      </c>
      <c r="D77" s="3090" t="s">
        <v>2656</v>
      </c>
      <c r="E77" s="3116">
        <v>0.15</v>
      </c>
      <c r="F77" s="3116">
        <v>20</v>
      </c>
    </row>
    <row r="78" spans="1:7" ht="24">
      <c r="A78" s="3116">
        <v>6</v>
      </c>
      <c r="B78" s="3867"/>
      <c r="C78" s="3090" t="s">
        <v>2657</v>
      </c>
      <c r="D78" s="3090" t="s">
        <v>2658</v>
      </c>
      <c r="E78" s="3116">
        <v>0.15</v>
      </c>
      <c r="F78" s="3116">
        <v>20</v>
      </c>
    </row>
    <row r="79" spans="1:7" ht="24">
      <c r="A79" s="3116">
        <v>7</v>
      </c>
      <c r="B79" s="3867"/>
      <c r="C79" s="3090" t="s">
        <v>2659</v>
      </c>
      <c r="D79" s="3090" t="s">
        <v>2660</v>
      </c>
      <c r="E79" s="3116">
        <v>0.15</v>
      </c>
      <c r="F79" s="3116">
        <v>20</v>
      </c>
    </row>
    <row r="80" spans="1:7" ht="24">
      <c r="A80" s="3116">
        <v>8</v>
      </c>
      <c r="B80" s="3867"/>
      <c r="C80" s="3090" t="s">
        <v>2661</v>
      </c>
      <c r="D80" s="3090" t="s">
        <v>2662</v>
      </c>
      <c r="E80" s="3116">
        <v>0.1</v>
      </c>
      <c r="F80" s="3116">
        <v>15</v>
      </c>
    </row>
    <row r="81" spans="1:6" ht="24">
      <c r="A81" s="3116">
        <v>9</v>
      </c>
      <c r="B81" s="3867"/>
      <c r="C81" s="3090" t="s">
        <v>2663</v>
      </c>
      <c r="D81" s="3090" t="s">
        <v>2664</v>
      </c>
      <c r="E81" s="3116">
        <v>0.1</v>
      </c>
      <c r="F81" s="3116">
        <v>15</v>
      </c>
    </row>
    <row r="82" spans="1:6" ht="24">
      <c r="A82" s="3116">
        <v>10</v>
      </c>
      <c r="B82" s="3867"/>
      <c r="C82" s="3090" t="s">
        <v>2665</v>
      </c>
      <c r="D82" s="3090" t="s">
        <v>2666</v>
      </c>
      <c r="E82" s="3116">
        <v>0.1</v>
      </c>
      <c r="F82" s="3116">
        <v>15</v>
      </c>
    </row>
    <row r="83" spans="1:6" ht="24">
      <c r="A83" s="3116">
        <v>11</v>
      </c>
      <c r="B83" s="3867"/>
      <c r="C83" s="3090" t="s">
        <v>2667</v>
      </c>
      <c r="D83" s="3090" t="s">
        <v>2668</v>
      </c>
      <c r="E83" s="3116">
        <v>0.1</v>
      </c>
      <c r="F83" s="3116">
        <v>15</v>
      </c>
    </row>
    <row r="84" spans="1:6" ht="24">
      <c r="A84" s="3116">
        <v>12</v>
      </c>
      <c r="B84" s="3867"/>
      <c r="C84" s="3090" t="s">
        <v>2669</v>
      </c>
      <c r="D84" s="3090" t="s">
        <v>2670</v>
      </c>
      <c r="E84" s="3116">
        <v>0.1</v>
      </c>
      <c r="F84" s="3116">
        <v>15</v>
      </c>
    </row>
    <row r="85" spans="1:6" ht="13.5">
      <c r="A85" s="3116">
        <v>13</v>
      </c>
      <c r="B85" s="3867"/>
      <c r="C85" s="3090" t="s">
        <v>2671</v>
      </c>
      <c r="D85" s="3090" t="s">
        <v>2672</v>
      </c>
      <c r="E85" s="3116">
        <v>0.1</v>
      </c>
      <c r="F85" s="3116">
        <v>15</v>
      </c>
    </row>
    <row r="86" spans="1:6" ht="13.5">
      <c r="A86" s="3116">
        <v>14</v>
      </c>
      <c r="B86" s="3867"/>
      <c r="C86" s="3090" t="s">
        <v>2673</v>
      </c>
      <c r="D86" s="3090" t="s">
        <v>2674</v>
      </c>
      <c r="E86" s="3116">
        <v>0.1</v>
      </c>
      <c r="F86" s="3116">
        <v>15</v>
      </c>
    </row>
    <row r="87" spans="1:6" ht="13.5">
      <c r="A87" s="3116">
        <v>15</v>
      </c>
      <c r="B87" s="3867"/>
      <c r="C87" s="3090" t="s">
        <v>2675</v>
      </c>
      <c r="D87" s="3090" t="s">
        <v>2676</v>
      </c>
      <c r="E87" s="3116">
        <v>0.1</v>
      </c>
      <c r="F87" s="3116">
        <v>15</v>
      </c>
    </row>
    <row r="88" spans="1:6" ht="24">
      <c r="A88" s="3116">
        <v>16</v>
      </c>
      <c r="B88" s="3867"/>
      <c r="C88" s="3090" t="s">
        <v>2677</v>
      </c>
      <c r="D88" s="3090" t="s">
        <v>2678</v>
      </c>
      <c r="E88" s="3116">
        <v>0.1</v>
      </c>
      <c r="F88" s="3116">
        <v>15</v>
      </c>
    </row>
    <row r="89" spans="1:6" ht="24">
      <c r="A89" s="3116">
        <v>17</v>
      </c>
      <c r="B89" s="3866"/>
      <c r="C89" s="3090" t="s">
        <v>2679</v>
      </c>
      <c r="D89" s="3090" t="s">
        <v>2680</v>
      </c>
      <c r="E89" s="3116">
        <v>0.1</v>
      </c>
      <c r="F89" s="3116">
        <v>15</v>
      </c>
    </row>
    <row r="90" spans="1:6" ht="13.5">
      <c r="A90" s="3116">
        <v>18</v>
      </c>
      <c r="B90" s="3865" t="s">
        <v>2681</v>
      </c>
      <c r="C90" s="3090" t="s">
        <v>2682</v>
      </c>
      <c r="D90" s="3090" t="s">
        <v>2683</v>
      </c>
      <c r="E90" s="3116">
        <v>0.2</v>
      </c>
      <c r="F90" s="3116">
        <v>25</v>
      </c>
    </row>
    <row r="91" spans="1:6" ht="24">
      <c r="A91" s="3116">
        <v>19</v>
      </c>
      <c r="B91" s="3867"/>
      <c r="C91" s="3090" t="s">
        <v>2684</v>
      </c>
      <c r="D91" s="3090" t="s">
        <v>2685</v>
      </c>
      <c r="E91" s="3116">
        <v>0.2</v>
      </c>
      <c r="F91" s="3116">
        <v>25</v>
      </c>
    </row>
    <row r="92" spans="1:6" ht="13.5">
      <c r="A92" s="3116">
        <v>20</v>
      </c>
      <c r="B92" s="3867"/>
      <c r="C92" s="3090" t="s">
        <v>2686</v>
      </c>
      <c r="D92" s="3090" t="s">
        <v>2687</v>
      </c>
      <c r="E92" s="3116">
        <v>0.15</v>
      </c>
      <c r="F92" s="3116">
        <v>20</v>
      </c>
    </row>
    <row r="93" spans="1:6" ht="13.5">
      <c r="A93" s="3116">
        <v>21</v>
      </c>
      <c r="B93" s="3867"/>
      <c r="C93" s="3090" t="s">
        <v>2688</v>
      </c>
      <c r="D93" s="3090" t="s">
        <v>2689</v>
      </c>
      <c r="E93" s="3116">
        <v>0.15</v>
      </c>
      <c r="F93" s="3116">
        <v>20</v>
      </c>
    </row>
    <row r="94" spans="1:6" ht="13.5">
      <c r="A94" s="3116">
        <v>22</v>
      </c>
      <c r="B94" s="3867"/>
      <c r="C94" s="3090" t="s">
        <v>2690</v>
      </c>
      <c r="D94" s="3090" t="s">
        <v>2691</v>
      </c>
      <c r="E94" s="3116">
        <v>0.15</v>
      </c>
      <c r="F94" s="3116">
        <v>20</v>
      </c>
    </row>
    <row r="95" spans="1:6" ht="36">
      <c r="A95" s="3116">
        <v>23</v>
      </c>
      <c r="B95" s="3867"/>
      <c r="C95" s="3090" t="s">
        <v>2692</v>
      </c>
      <c r="D95" s="3090" t="s">
        <v>2693</v>
      </c>
      <c r="E95" s="3116">
        <v>0.15</v>
      </c>
      <c r="F95" s="3116">
        <v>20</v>
      </c>
    </row>
    <row r="96" spans="1:6" ht="13.5">
      <c r="A96" s="3116">
        <v>24</v>
      </c>
      <c r="B96" s="3867"/>
      <c r="C96" s="3090" t="s">
        <v>2694</v>
      </c>
      <c r="D96" s="3090" t="s">
        <v>2695</v>
      </c>
      <c r="E96" s="3116">
        <v>0.1</v>
      </c>
      <c r="F96" s="3116">
        <v>15</v>
      </c>
    </row>
    <row r="97" spans="1:6" ht="13.5">
      <c r="A97" s="3116">
        <v>25</v>
      </c>
      <c r="B97" s="3867"/>
      <c r="C97" s="3090" t="s">
        <v>2696</v>
      </c>
      <c r="D97" s="3090" t="s">
        <v>2697</v>
      </c>
      <c r="E97" s="3116">
        <v>0.1</v>
      </c>
      <c r="F97" s="3116">
        <v>15</v>
      </c>
    </row>
    <row r="98" spans="1:6" ht="24">
      <c r="A98" s="3116">
        <v>26</v>
      </c>
      <c r="B98" s="3867"/>
      <c r="C98" s="3090" t="s">
        <v>2698</v>
      </c>
      <c r="D98" s="3090" t="s">
        <v>2699</v>
      </c>
      <c r="E98" s="3116">
        <v>0.1</v>
      </c>
      <c r="F98" s="3116">
        <v>15</v>
      </c>
    </row>
    <row r="99" spans="1:6" ht="24">
      <c r="A99" s="3116">
        <v>27</v>
      </c>
      <c r="B99" s="3867"/>
      <c r="C99" s="3090" t="s">
        <v>2700</v>
      </c>
      <c r="D99" s="3090" t="s">
        <v>2701</v>
      </c>
      <c r="E99" s="3116">
        <v>0.1</v>
      </c>
      <c r="F99" s="3116">
        <v>15</v>
      </c>
    </row>
    <row r="100" spans="1:6" ht="13.5">
      <c r="A100" s="3116">
        <v>28</v>
      </c>
      <c r="B100" s="3867"/>
      <c r="C100" s="3090" t="s">
        <v>2702</v>
      </c>
      <c r="D100" s="3090" t="s">
        <v>2703</v>
      </c>
      <c r="E100" s="3116">
        <v>0.1</v>
      </c>
      <c r="F100" s="3116">
        <v>15</v>
      </c>
    </row>
    <row r="101" spans="1:6" ht="13.5">
      <c r="A101" s="3116">
        <v>29</v>
      </c>
      <c r="B101" s="3867"/>
      <c r="C101" s="3090" t="s">
        <v>2704</v>
      </c>
      <c r="D101" s="3090" t="s">
        <v>2705</v>
      </c>
      <c r="E101" s="3116">
        <v>0.1</v>
      </c>
      <c r="F101" s="3116">
        <v>15</v>
      </c>
    </row>
    <row r="102" spans="1:6" ht="13.5">
      <c r="A102" s="3116">
        <v>30</v>
      </c>
      <c r="B102" s="3867"/>
      <c r="C102" s="3090" t="s">
        <v>2706</v>
      </c>
      <c r="D102" s="3090" t="s">
        <v>2707</v>
      </c>
      <c r="E102" s="3116">
        <v>0.1</v>
      </c>
      <c r="F102" s="3116">
        <v>15</v>
      </c>
    </row>
    <row r="103" spans="1:6" ht="24">
      <c r="A103" s="3116">
        <v>31</v>
      </c>
      <c r="B103" s="3867"/>
      <c r="C103" s="3090" t="s">
        <v>2708</v>
      </c>
      <c r="D103" s="3090" t="s">
        <v>2709</v>
      </c>
      <c r="E103" s="3116">
        <v>0.1</v>
      </c>
      <c r="F103" s="3116">
        <v>15</v>
      </c>
    </row>
    <row r="104" spans="1:6" ht="24">
      <c r="A104" s="3116">
        <v>32</v>
      </c>
      <c r="B104" s="3867"/>
      <c r="C104" s="3090" t="s">
        <v>2710</v>
      </c>
      <c r="D104" s="3090" t="s">
        <v>2711</v>
      </c>
      <c r="E104" s="3116">
        <v>0.1</v>
      </c>
      <c r="F104" s="3116">
        <v>15</v>
      </c>
    </row>
    <row r="105" spans="1:6" ht="24">
      <c r="A105" s="3116">
        <v>33</v>
      </c>
      <c r="B105" s="3867"/>
      <c r="C105" s="3090" t="s">
        <v>2712</v>
      </c>
      <c r="D105" s="3090" t="s">
        <v>2713</v>
      </c>
      <c r="E105" s="3116">
        <v>0.1</v>
      </c>
      <c r="F105" s="3116">
        <v>15</v>
      </c>
    </row>
    <row r="106" spans="1:6" ht="24">
      <c r="A106" s="3116">
        <v>34</v>
      </c>
      <c r="B106" s="3866"/>
      <c r="C106" s="3090" t="s">
        <v>2714</v>
      </c>
      <c r="D106" s="3090" t="s">
        <v>2715</v>
      </c>
      <c r="E106" s="3116">
        <v>0.1</v>
      </c>
      <c r="F106" s="3116">
        <v>15</v>
      </c>
    </row>
    <row r="107" spans="1:6" ht="24">
      <c r="A107" s="3116">
        <v>35</v>
      </c>
      <c r="B107" s="3865" t="s">
        <v>2716</v>
      </c>
      <c r="C107" s="3116" t="s">
        <v>2717</v>
      </c>
      <c r="D107" s="3090" t="s">
        <v>2718</v>
      </c>
      <c r="E107" s="3116">
        <v>0.15</v>
      </c>
      <c r="F107" s="3116">
        <v>20</v>
      </c>
    </row>
    <row r="108" spans="1:6" ht="13.5">
      <c r="A108" s="3116">
        <v>36</v>
      </c>
      <c r="B108" s="3867"/>
      <c r="C108" s="3116" t="s">
        <v>2719</v>
      </c>
      <c r="D108" s="3090" t="s">
        <v>2720</v>
      </c>
      <c r="E108" s="3116">
        <v>0.15</v>
      </c>
      <c r="F108" s="3116">
        <v>20</v>
      </c>
    </row>
    <row r="109" spans="1:6" ht="13.5">
      <c r="A109" s="3116">
        <v>37</v>
      </c>
      <c r="B109" s="3867"/>
      <c r="C109" s="3116" t="s">
        <v>2721</v>
      </c>
      <c r="D109" s="3090" t="s">
        <v>2722</v>
      </c>
      <c r="E109" s="3116">
        <v>0.15</v>
      </c>
      <c r="F109" s="3116">
        <v>20</v>
      </c>
    </row>
    <row r="110" spans="1:6" ht="13.5">
      <c r="A110" s="3116">
        <v>38</v>
      </c>
      <c r="B110" s="3867"/>
      <c r="C110" s="3116" t="s">
        <v>2723</v>
      </c>
      <c r="D110" s="3090" t="s">
        <v>2724</v>
      </c>
      <c r="E110" s="3116">
        <v>0.1</v>
      </c>
      <c r="F110" s="3116">
        <v>15</v>
      </c>
    </row>
    <row r="111" spans="1:6" ht="24">
      <c r="A111" s="3116">
        <v>39</v>
      </c>
      <c r="B111" s="3867"/>
      <c r="C111" s="3116" t="s">
        <v>2725</v>
      </c>
      <c r="D111" s="3090" t="s">
        <v>2726</v>
      </c>
      <c r="E111" s="3116">
        <v>0.1</v>
      </c>
      <c r="F111" s="3116">
        <v>15</v>
      </c>
    </row>
    <row r="112" spans="1:6" ht="24">
      <c r="A112" s="3116">
        <v>40</v>
      </c>
      <c r="B112" s="3866"/>
      <c r="C112" s="3116" t="s">
        <v>2727</v>
      </c>
      <c r="D112" s="3090" t="s">
        <v>2728</v>
      </c>
      <c r="E112" s="3116">
        <v>0.1</v>
      </c>
      <c r="F112" s="3116">
        <v>15</v>
      </c>
    </row>
    <row r="113" spans="1:6" ht="13.5">
      <c r="A113" s="3116">
        <v>41</v>
      </c>
      <c r="B113" s="3864" t="s">
        <v>2729</v>
      </c>
      <c r="C113" s="3116" t="s">
        <v>2730</v>
      </c>
      <c r="D113" s="3090" t="s">
        <v>2731</v>
      </c>
      <c r="E113" s="3116">
        <v>0.1</v>
      </c>
      <c r="F113" s="3116">
        <v>15</v>
      </c>
    </row>
    <row r="114" spans="1:6" ht="13.5">
      <c r="A114" s="3116">
        <v>42</v>
      </c>
      <c r="B114" s="3864"/>
      <c r="C114" s="3116" t="s">
        <v>2732</v>
      </c>
      <c r="D114" s="3090" t="s">
        <v>2733</v>
      </c>
      <c r="E114" s="3116">
        <v>0.1</v>
      </c>
      <c r="F114" s="3116">
        <v>15</v>
      </c>
    </row>
    <row r="115" spans="1:6" ht="24">
      <c r="A115" s="3116">
        <v>43</v>
      </c>
      <c r="B115" s="3864"/>
      <c r="C115" s="3116" t="s">
        <v>2734</v>
      </c>
      <c r="D115" s="3090" t="s">
        <v>2735</v>
      </c>
      <c r="E115" s="3116">
        <v>0.1</v>
      </c>
      <c r="F115" s="3116">
        <v>15</v>
      </c>
    </row>
    <row r="116" spans="1:6" ht="13.5">
      <c r="A116" s="3116">
        <v>44</v>
      </c>
      <c r="B116" s="3865" t="s">
        <v>2736</v>
      </c>
      <c r="C116" s="3116" t="s">
        <v>2737</v>
      </c>
      <c r="D116" s="3090" t="s">
        <v>2738</v>
      </c>
      <c r="E116" s="3116">
        <v>0.1</v>
      </c>
      <c r="F116" s="3116">
        <v>15</v>
      </c>
    </row>
    <row r="117" spans="1:6" ht="24">
      <c r="A117" s="3116">
        <v>45</v>
      </c>
      <c r="B117" s="3866"/>
      <c r="C117" s="3090" t="s">
        <v>2739</v>
      </c>
      <c r="D117" s="3090" t="s">
        <v>2740</v>
      </c>
      <c r="E117" s="3116">
        <v>0.1</v>
      </c>
      <c r="F117" s="3116">
        <v>15</v>
      </c>
    </row>
    <row r="118" spans="1:6" ht="24">
      <c r="A118" s="3116">
        <v>46</v>
      </c>
      <c r="B118" s="3865" t="s">
        <v>2741</v>
      </c>
      <c r="C118" s="3116" t="s">
        <v>2742</v>
      </c>
      <c r="D118" s="3090" t="s">
        <v>2743</v>
      </c>
      <c r="E118" s="3116">
        <v>0.1</v>
      </c>
      <c r="F118" s="3116">
        <v>15</v>
      </c>
    </row>
    <row r="119" spans="1:6" ht="24">
      <c r="A119" s="3116">
        <v>47</v>
      </c>
      <c r="B119" s="3866"/>
      <c r="C119" s="3116" t="s">
        <v>2744</v>
      </c>
      <c r="D119" s="3090" t="s">
        <v>2745</v>
      </c>
      <c r="E119" s="3116">
        <v>0.1</v>
      </c>
      <c r="F119" s="3116">
        <v>15</v>
      </c>
    </row>
    <row r="120" spans="1:6" ht="13.5">
      <c r="A120" s="3116">
        <v>48</v>
      </c>
      <c r="B120" s="3865" t="s">
        <v>2746</v>
      </c>
      <c r="C120" s="3116" t="s">
        <v>2747</v>
      </c>
      <c r="D120" s="3090" t="s">
        <v>2748</v>
      </c>
      <c r="E120" s="3116">
        <v>0.1</v>
      </c>
      <c r="F120" s="3116">
        <v>15</v>
      </c>
    </row>
    <row r="121" spans="1:6" ht="13.5">
      <c r="A121" s="3116">
        <v>49</v>
      </c>
      <c r="B121" s="3866"/>
      <c r="C121" s="3116" t="s">
        <v>2749</v>
      </c>
      <c r="D121" s="3090" t="s">
        <v>2750</v>
      </c>
      <c r="E121" s="3116">
        <v>0.1</v>
      </c>
      <c r="F121" s="3116">
        <v>15</v>
      </c>
    </row>
    <row r="122" spans="1:6" ht="24">
      <c r="A122" s="3116">
        <v>50</v>
      </c>
      <c r="B122" s="3864" t="s">
        <v>2751</v>
      </c>
      <c r="C122" s="3116" t="s">
        <v>2752</v>
      </c>
      <c r="D122" s="3090" t="s">
        <v>2753</v>
      </c>
      <c r="E122" s="3116">
        <v>0.1</v>
      </c>
      <c r="F122" s="3116">
        <v>15</v>
      </c>
    </row>
    <row r="123" spans="1:6" ht="24">
      <c r="A123" s="3116">
        <v>51</v>
      </c>
      <c r="B123" s="3864"/>
      <c r="C123" s="3116" t="s">
        <v>2754</v>
      </c>
      <c r="D123" s="3090" t="s">
        <v>2755</v>
      </c>
      <c r="E123" s="3116">
        <v>0.1</v>
      </c>
      <c r="F123" s="3116">
        <v>15</v>
      </c>
    </row>
    <row r="124" spans="1:6" ht="24">
      <c r="A124" s="3116">
        <v>52</v>
      </c>
      <c r="B124" s="3864" t="s">
        <v>2756</v>
      </c>
      <c r="C124" s="3116" t="s">
        <v>2757</v>
      </c>
      <c r="D124" s="3090" t="s">
        <v>2758</v>
      </c>
      <c r="E124" s="3116">
        <v>0.1</v>
      </c>
      <c r="F124" s="3116">
        <v>15</v>
      </c>
    </row>
    <row r="125" spans="1:6" ht="24">
      <c r="A125" s="3116">
        <v>53</v>
      </c>
      <c r="B125" s="3864"/>
      <c r="C125" s="3116" t="s">
        <v>2759</v>
      </c>
      <c r="D125" s="3090" t="s">
        <v>2760</v>
      </c>
      <c r="E125" s="3116">
        <v>0.1</v>
      </c>
      <c r="F125" s="3116">
        <v>15</v>
      </c>
    </row>
    <row r="126" spans="1:6" ht="13.5">
      <c r="A126" s="3116">
        <v>54</v>
      </c>
      <c r="B126" s="3116" t="s">
        <v>2761</v>
      </c>
      <c r="C126" s="3116" t="s">
        <v>2762</v>
      </c>
      <c r="D126" s="3090" t="s">
        <v>2763</v>
      </c>
      <c r="E126" s="3116">
        <v>0.1</v>
      </c>
      <c r="F126" s="3116">
        <v>15</v>
      </c>
    </row>
    <row r="127" spans="1:6" ht="13.5">
      <c r="A127" s="3116">
        <v>55</v>
      </c>
      <c r="B127" s="3864" t="s">
        <v>2764</v>
      </c>
      <c r="C127" s="3116" t="s">
        <v>2765</v>
      </c>
      <c r="D127" s="3090" t="s">
        <v>2766</v>
      </c>
      <c r="E127" s="3116">
        <v>0.1</v>
      </c>
      <c r="F127" s="3116">
        <v>15</v>
      </c>
    </row>
    <row r="128" spans="1:6" ht="13.5">
      <c r="A128" s="3116">
        <v>56</v>
      </c>
      <c r="B128" s="3864"/>
      <c r="C128" s="3116" t="s">
        <v>2767</v>
      </c>
      <c r="D128" s="3090" t="s">
        <v>2768</v>
      </c>
      <c r="E128" s="3116">
        <v>0.1</v>
      </c>
      <c r="F128" s="3116">
        <v>15</v>
      </c>
    </row>
    <row r="129" spans="1:6" ht="24">
      <c r="A129" s="3116">
        <v>57</v>
      </c>
      <c r="B129" s="3864"/>
      <c r="C129" s="3116" t="s">
        <v>2769</v>
      </c>
      <c r="D129" s="3090" t="s">
        <v>2770</v>
      </c>
      <c r="E129" s="3116">
        <v>0.1</v>
      </c>
      <c r="F129" s="3116">
        <v>15</v>
      </c>
    </row>
    <row r="130" spans="1:6" ht="24">
      <c r="A130" s="3116">
        <v>58</v>
      </c>
      <c r="B130" s="3864" t="s">
        <v>2771</v>
      </c>
      <c r="C130" s="3116" t="s">
        <v>2772</v>
      </c>
      <c r="D130" s="3090" t="s">
        <v>2773</v>
      </c>
      <c r="E130" s="3116">
        <v>0.1</v>
      </c>
      <c r="F130" s="3116">
        <v>15</v>
      </c>
    </row>
    <row r="131" spans="1:6" ht="13.5">
      <c r="A131" s="3116">
        <v>59</v>
      </c>
      <c r="B131" s="3864"/>
      <c r="C131" s="3116" t="s">
        <v>2774</v>
      </c>
      <c r="D131" s="3090" t="s">
        <v>2775</v>
      </c>
      <c r="E131" s="3116">
        <v>0.1</v>
      </c>
      <c r="F131" s="3116">
        <v>15</v>
      </c>
    </row>
    <row r="132" spans="1:6" ht="13.5">
      <c r="A132" s="3116">
        <v>60</v>
      </c>
      <c r="B132" s="3865" t="s">
        <v>2776</v>
      </c>
      <c r="C132" s="3116" t="s">
        <v>2777</v>
      </c>
      <c r="D132" s="3090" t="s">
        <v>2778</v>
      </c>
      <c r="E132" s="3116">
        <v>0.1</v>
      </c>
      <c r="F132" s="3116">
        <v>15</v>
      </c>
    </row>
    <row r="133" spans="1:6" ht="13.5">
      <c r="A133" s="3116">
        <v>61</v>
      </c>
      <c r="B133" s="3866"/>
      <c r="C133" s="3116" t="s">
        <v>2779</v>
      </c>
      <c r="D133" s="3090" t="s">
        <v>2780</v>
      </c>
      <c r="E133" s="3116">
        <v>0.1</v>
      </c>
      <c r="F133" s="3116">
        <v>15</v>
      </c>
    </row>
    <row r="134" spans="1:6" ht="24">
      <c r="A134" s="3116">
        <v>62</v>
      </c>
      <c r="B134" s="3116" t="s">
        <v>2781</v>
      </c>
      <c r="C134" s="3116" t="s">
        <v>2782</v>
      </c>
      <c r="D134" s="3090" t="s">
        <v>2783</v>
      </c>
      <c r="E134" s="3116">
        <v>0.1</v>
      </c>
      <c r="F134" s="3116">
        <v>15</v>
      </c>
    </row>
    <row r="135" spans="1:6" ht="13.5">
      <c r="A135" s="3116">
        <v>63</v>
      </c>
      <c r="B135" s="3864" t="s">
        <v>2784</v>
      </c>
      <c r="C135" s="3116" t="s">
        <v>2785</v>
      </c>
      <c r="D135" s="3090" t="s">
        <v>2786</v>
      </c>
      <c r="E135" s="3116">
        <v>0.1</v>
      </c>
      <c r="F135" s="3116">
        <v>15</v>
      </c>
    </row>
    <row r="136" spans="1:6" ht="13.5">
      <c r="A136" s="3116">
        <v>64</v>
      </c>
      <c r="B136" s="3864"/>
      <c r="C136" s="3116" t="s">
        <v>2787</v>
      </c>
      <c r="D136" s="3090" t="s">
        <v>2788</v>
      </c>
      <c r="E136" s="3116">
        <v>0.1</v>
      </c>
      <c r="F136" s="3116">
        <v>15</v>
      </c>
    </row>
    <row r="137" spans="1:6" ht="13.5">
      <c r="A137" s="3116">
        <v>65</v>
      </c>
      <c r="B137" s="3116" t="s">
        <v>2789</v>
      </c>
      <c r="C137" s="3116" t="s">
        <v>2790</v>
      </c>
      <c r="D137" s="3090" t="s">
        <v>2791</v>
      </c>
      <c r="E137" s="3116">
        <v>0.1</v>
      </c>
      <c r="F137" s="3116">
        <v>15</v>
      </c>
    </row>
    <row r="138" spans="1:6" ht="13.5">
      <c r="A138" s="3116"/>
      <c r="B138" s="3116"/>
      <c r="C138" s="3116"/>
      <c r="D138" s="3116"/>
      <c r="E138" s="3116" t="s">
        <v>2792</v>
      </c>
      <c r="F138" s="3116"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2793</v>
      </c>
      <c r="B1" s="3125"/>
      <c r="C1" s="3125"/>
      <c r="D1" s="3125"/>
      <c r="E1" s="3125"/>
      <c r="F1" s="3125"/>
      <c r="G1" s="3125"/>
      <c r="H1" s="3125"/>
      <c r="I1" s="3125"/>
      <c r="J1" s="3125"/>
      <c r="K1" s="3125"/>
      <c r="L1" s="3125"/>
      <c r="M1" s="3125"/>
      <c r="N1" s="749"/>
    </row>
    <row r="2" spans="1:20">
      <c r="A2" s="3126" t="s">
        <v>2794</v>
      </c>
      <c r="B2" s="3127" t="s">
        <v>2590</v>
      </c>
      <c r="C2" s="3127" t="s">
        <v>2591</v>
      </c>
      <c r="D2" s="3127" t="s">
        <v>2592</v>
      </c>
      <c r="E2" s="3127" t="s">
        <v>2593</v>
      </c>
      <c r="F2" s="3127" t="s">
        <v>2594</v>
      </c>
      <c r="G2" s="3127" t="s">
        <v>2595</v>
      </c>
      <c r="H2" s="3128" t="s">
        <v>2596</v>
      </c>
      <c r="I2" s="3128" t="s">
        <v>2597</v>
      </c>
      <c r="J2" s="3129" t="s">
        <v>2598</v>
      </c>
      <c r="K2" s="3129" t="s">
        <v>2599</v>
      </c>
      <c r="L2" s="3129" t="s">
        <v>2600</v>
      </c>
      <c r="M2" s="3130" t="s">
        <v>2601</v>
      </c>
      <c r="Q2" s="3140" t="s">
        <v>2799</v>
      </c>
      <c r="R2" s="3140" t="s">
        <v>2800</v>
      </c>
      <c r="S2" s="3140" t="s">
        <v>2801</v>
      </c>
      <c r="T2" s="3140" t="s">
        <v>2802</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2795</v>
      </c>
      <c r="B93" s="3125"/>
      <c r="C93" s="3125"/>
      <c r="D93" s="3125"/>
      <c r="E93" s="3125"/>
      <c r="F93" s="3125"/>
      <c r="G93" s="3125"/>
      <c r="H93" s="3125"/>
      <c r="I93" s="3125"/>
      <c r="J93" s="3125"/>
      <c r="K93" s="3125"/>
      <c r="L93" s="3125"/>
      <c r="M93" s="3125"/>
    </row>
    <row r="94" spans="1:20">
      <c r="A94" s="3126" t="s">
        <v>2794</v>
      </c>
      <c r="B94" s="3127" t="s">
        <v>2590</v>
      </c>
      <c r="C94" s="3127" t="s">
        <v>2591</v>
      </c>
      <c r="D94" s="3127" t="s">
        <v>2592</v>
      </c>
      <c r="E94" s="3127" t="s">
        <v>2593</v>
      </c>
      <c r="F94" s="3127" t="s">
        <v>2594</v>
      </c>
      <c r="G94" s="3127" t="s">
        <v>2595</v>
      </c>
      <c r="H94" s="3128" t="s">
        <v>2596</v>
      </c>
      <c r="I94" s="3128" t="s">
        <v>2597</v>
      </c>
      <c r="J94" s="3129" t="s">
        <v>2598</v>
      </c>
      <c r="K94" s="3129" t="s">
        <v>2599</v>
      </c>
      <c r="L94" s="3129" t="s">
        <v>2600</v>
      </c>
      <c r="M94" s="3130" t="s">
        <v>2601</v>
      </c>
      <c r="N94" s="750" t="e">
        <f>SUMPRODUCT((A95:A184=ROUNDDOWN(基准地价修正!G3,1))*(B94:M94=基准地价修正!G2)*(B95:M184))</f>
        <v>#DIV/0!</v>
      </c>
      <c r="Q94" s="3140" t="s">
        <v>2799</v>
      </c>
      <c r="R94" s="3140" t="s">
        <v>2800</v>
      </c>
      <c r="S94" s="3140" t="s">
        <v>2801</v>
      </c>
      <c r="T94" s="3140" t="s">
        <v>2802</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2796</v>
      </c>
      <c r="B185" s="3125"/>
      <c r="C185" s="3125"/>
      <c r="D185" s="3125"/>
      <c r="E185" s="3125"/>
      <c r="F185" s="3125"/>
      <c r="G185" s="3125"/>
      <c r="H185" s="3125"/>
      <c r="I185" s="3125"/>
      <c r="J185" s="3125"/>
      <c r="K185" s="3125"/>
      <c r="L185" s="3125"/>
      <c r="M185" s="3125"/>
    </row>
    <row r="186" spans="1:20">
      <c r="A186" s="3126" t="s">
        <v>2794</v>
      </c>
      <c r="B186" s="3127" t="s">
        <v>2590</v>
      </c>
      <c r="C186" s="3127" t="s">
        <v>2591</v>
      </c>
      <c r="D186" s="3127" t="s">
        <v>2592</v>
      </c>
      <c r="E186" s="3127" t="s">
        <v>2593</v>
      </c>
      <c r="F186" s="3127" t="s">
        <v>2594</v>
      </c>
      <c r="G186" s="3127" t="s">
        <v>2595</v>
      </c>
      <c r="H186" s="3128" t="s">
        <v>2596</v>
      </c>
      <c r="I186" s="3128" t="s">
        <v>2597</v>
      </c>
      <c r="J186" s="3129" t="s">
        <v>2598</v>
      </c>
      <c r="K186" s="3129" t="s">
        <v>2599</v>
      </c>
      <c r="L186" s="3129" t="s">
        <v>2600</v>
      </c>
      <c r="M186" s="3130" t="s">
        <v>2601</v>
      </c>
      <c r="Q186" s="3140" t="s">
        <v>2799</v>
      </c>
      <c r="R186" s="3140" t="s">
        <v>2800</v>
      </c>
      <c r="S186" s="3140" t="s">
        <v>2801</v>
      </c>
      <c r="T186" s="3140" t="s">
        <v>2802</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2797</v>
      </c>
      <c r="B277" s="3125"/>
      <c r="C277" s="3125"/>
      <c r="D277" s="3125"/>
      <c r="E277" s="3125"/>
      <c r="F277" s="3125"/>
      <c r="G277" s="3125"/>
      <c r="H277" s="3125"/>
      <c r="I277" s="3125"/>
      <c r="J277" s="3125"/>
      <c r="K277" s="3125"/>
      <c r="L277" s="3125"/>
      <c r="M277" s="3125"/>
    </row>
    <row r="278" spans="1:21">
      <c r="A278" s="3126" t="s">
        <v>2794</v>
      </c>
      <c r="B278" s="3127" t="s">
        <v>2590</v>
      </c>
      <c r="C278" s="3127" t="s">
        <v>2591</v>
      </c>
      <c r="D278" s="3127" t="s">
        <v>2592</v>
      </c>
      <c r="E278" s="3127" t="s">
        <v>2593</v>
      </c>
      <c r="F278" s="3127" t="s">
        <v>2594</v>
      </c>
      <c r="G278" s="3127" t="s">
        <v>2595</v>
      </c>
      <c r="H278" s="3128" t="s">
        <v>2596</v>
      </c>
      <c r="I278" s="3128" t="s">
        <v>2597</v>
      </c>
      <c r="J278" s="3129" t="s">
        <v>2598</v>
      </c>
      <c r="K278" s="3129" t="s">
        <v>2599</v>
      </c>
      <c r="L278" s="3129" t="s">
        <v>2600</v>
      </c>
      <c r="M278" s="3130" t="s">
        <v>2601</v>
      </c>
      <c r="Q278" s="3140" t="s">
        <v>2799</v>
      </c>
      <c r="R278" s="3140" t="s">
        <v>2800</v>
      </c>
      <c r="S278" s="3140" t="s">
        <v>2803</v>
      </c>
      <c r="T278" s="3140" t="s">
        <v>2804</v>
      </c>
      <c r="U278" s="3140" t="s">
        <v>2802</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2798</v>
      </c>
      <c r="B369" s="3138"/>
      <c r="C369" s="3138"/>
      <c r="D369" s="3138"/>
      <c r="E369" s="3138"/>
      <c r="F369" s="3138"/>
      <c r="G369" s="3138"/>
      <c r="H369" s="3138"/>
      <c r="I369" s="3138"/>
      <c r="J369" s="3138"/>
      <c r="K369" s="3138"/>
      <c r="L369" s="3138"/>
      <c r="M369" s="3138"/>
    </row>
    <row r="370" spans="1:20">
      <c r="A370" s="3126" t="s">
        <v>2794</v>
      </c>
      <c r="B370" s="3127" t="s">
        <v>2590</v>
      </c>
      <c r="C370" s="3127" t="s">
        <v>2591</v>
      </c>
      <c r="D370" s="3127" t="s">
        <v>2592</v>
      </c>
      <c r="E370" s="3127" t="s">
        <v>2593</v>
      </c>
      <c r="F370" s="3127" t="s">
        <v>2594</v>
      </c>
      <c r="G370" s="3127" t="s">
        <v>2595</v>
      </c>
      <c r="H370" s="3128" t="s">
        <v>2596</v>
      </c>
      <c r="I370" s="3128" t="s">
        <v>2597</v>
      </c>
      <c r="J370" s="3129" t="s">
        <v>2598</v>
      </c>
      <c r="K370" s="3129" t="s">
        <v>2599</v>
      </c>
      <c r="L370" s="3129" t="s">
        <v>2600</v>
      </c>
      <c r="M370" s="3130" t="s">
        <v>2601</v>
      </c>
      <c r="N370" s="750" t="e">
        <f>SUMPRODUCT((A371:A460=ROUNDDOWN(基准地价修正!G3,1))*(B370:M370=基准地价修正!G2)*(B371:M460))</f>
        <v>#DIV/0!</v>
      </c>
      <c r="Q370" s="3140" t="s">
        <v>2799</v>
      </c>
      <c r="R370" s="3140" t="s">
        <v>2800</v>
      </c>
      <c r="S370" s="3140" t="s">
        <v>2801</v>
      </c>
      <c r="T370" s="3140" t="s">
        <v>2802</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4"/>
      <c r="C2" s="3514"/>
      <c r="D2" s="3514"/>
      <c r="E2" s="3514"/>
    </row>
    <row r="3" spans="1:5" ht="18">
      <c r="A3" s="3515" t="str">
        <f>IF(项目基本情况!B9="房地产市场价值","估价结果一览表（市场价值不需“结果表-1”）","估价结果一览表")</f>
        <v>估价结果一览表</v>
      </c>
      <c r="B3" s="3515"/>
      <c r="C3" s="3515"/>
      <c r="D3" s="3515"/>
      <c r="E3" s="3515"/>
    </row>
    <row r="4" spans="1:5" ht="19.5" thickBot="1">
      <c r="A4" s="1493"/>
      <c r="B4" s="3513" t="s">
        <v>917</v>
      </c>
      <c r="C4" s="3513"/>
      <c r="D4" s="3513"/>
      <c r="E4" s="1493"/>
    </row>
    <row r="5" spans="1:5" ht="16.5" thickTop="1">
      <c r="A5" s="1491"/>
      <c r="B5" s="3511" t="s">
        <v>909</v>
      </c>
      <c r="C5" s="1494" t="s">
        <v>910</v>
      </c>
      <c r="D5" s="850">
        <f ca="1">结果表!H101</f>
        <v>1400</v>
      </c>
      <c r="E5" s="1491"/>
    </row>
    <row r="6" spans="1:5" ht="15.75">
      <c r="A6" s="1491"/>
      <c r="B6" s="3511"/>
      <c r="C6" s="1494" t="s">
        <v>911</v>
      </c>
      <c r="D6" s="850" t="str">
        <f ca="1">NUMBERSTRING(INT(D5*10000),2)&amp;"元整"</f>
        <v>壹仟肆佰万元整</v>
      </c>
      <c r="E6" s="1491"/>
    </row>
    <row r="7" spans="1:5" ht="15.75">
      <c r="A7" s="1491"/>
      <c r="B7" s="3516"/>
      <c r="C7" s="1495" t="s">
        <v>912</v>
      </c>
      <c r="D7" s="851">
        <f ca="1">结果表!H102</f>
        <v>28034</v>
      </c>
      <c r="E7" s="1491"/>
    </row>
    <row r="8" spans="1:5" ht="15.75">
      <c r="A8" s="1491"/>
      <c r="B8" s="3517" t="str">
        <f>结果表!E103</f>
        <v>2.估价师知悉的法定优先受偿款</v>
      </c>
      <c r="C8" s="1496" t="s">
        <v>913</v>
      </c>
      <c r="D8" s="851">
        <f>结果表!H103</f>
        <v>0</v>
      </c>
      <c r="E8" s="1491"/>
    </row>
    <row r="9" spans="1:5" ht="15.75">
      <c r="A9" s="1491"/>
      <c r="B9" s="351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10" t="str">
        <f>结果表!E107</f>
        <v>3.房地产抵押价值</v>
      </c>
      <c r="C13" s="1499" t="s">
        <v>910</v>
      </c>
      <c r="D13" s="853">
        <f ca="1">结果表!H107</f>
        <v>1400</v>
      </c>
      <c r="E13" s="1491"/>
    </row>
    <row r="14" spans="1:5" ht="15.75">
      <c r="A14" s="1491"/>
      <c r="B14" s="3511"/>
      <c r="C14" s="1494" t="s">
        <v>911</v>
      </c>
      <c r="D14" s="850" t="str">
        <f ca="1">NUMBERSTRING(INT(D13*10000),2)&amp;"元整"</f>
        <v>壹仟肆佰万元整</v>
      </c>
      <c r="E14" s="1491"/>
    </row>
    <row r="15" spans="1:5" ht="15">
      <c r="A15" s="1491"/>
      <c r="B15" s="3516"/>
      <c r="C15" s="1495" t="s">
        <v>921</v>
      </c>
      <c r="D15" s="859">
        <f ca="1">结果表!H108</f>
        <v>28034</v>
      </c>
      <c r="E15" s="1491"/>
    </row>
    <row r="16" spans="1:5" ht="15">
      <c r="A16" s="1491"/>
      <c r="B16" s="3517" t="str">
        <f>结果表!E109</f>
        <v>——</v>
      </c>
      <c r="C16" s="1499" t="s">
        <v>922</v>
      </c>
      <c r="D16" s="1500" t="str">
        <f>结果表!H109</f>
        <v>——</v>
      </c>
      <c r="E16" s="1491"/>
    </row>
    <row r="17" spans="1:5" ht="15.75">
      <c r="A17" s="1491"/>
      <c r="B17" s="3518"/>
      <c r="C17" s="1494" t="s">
        <v>923</v>
      </c>
      <c r="D17" s="850" t="e">
        <f>NUMBERSTRING(INT(D16*10000),2)&amp;"元整"</f>
        <v>#VALUE!</v>
      </c>
      <c r="E17" s="1491"/>
    </row>
    <row r="18" spans="1:5" ht="15">
      <c r="A18" s="1491"/>
      <c r="B18" s="3519"/>
      <c r="C18" s="1495" t="s">
        <v>912</v>
      </c>
      <c r="D18" s="859" t="str">
        <f>结果表!H110</f>
        <v>——</v>
      </c>
      <c r="E18" s="1491"/>
    </row>
    <row r="19" spans="1:5" ht="15.75">
      <c r="A19" s="1491"/>
      <c r="B19" s="3510" t="str">
        <f>结果表!E111</f>
        <v>——</v>
      </c>
      <c r="C19" s="1499" t="s">
        <v>910</v>
      </c>
      <c r="D19" s="851" t="str">
        <f>结果表!H111</f>
        <v>——</v>
      </c>
      <c r="E19" s="1491"/>
    </row>
    <row r="20" spans="1:5" ht="15.75">
      <c r="A20" s="1491"/>
      <c r="B20" s="3511"/>
      <c r="C20" s="1494" t="s">
        <v>923</v>
      </c>
      <c r="D20" s="850" t="e">
        <f>NUMBERSTRING(INT(D19*10000),2)&amp;"元整"</f>
        <v>#VALUE!</v>
      </c>
      <c r="E20" s="1491"/>
    </row>
    <row r="21" spans="1:5" ht="15.75" thickBot="1">
      <c r="A21" s="1491"/>
      <c r="B21" s="351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29271</v>
      </c>
      <c r="C2" s="2" t="s">
        <v>106</v>
      </c>
      <c r="D2" s="199"/>
      <c r="E2" s="199"/>
      <c r="F2" s="199"/>
      <c r="G2" s="199"/>
    </row>
    <row r="3" spans="1:7" s="200" customFormat="1" ht="18" customHeight="1" thickBot="1">
      <c r="A3" s="203" t="s">
        <v>58</v>
      </c>
      <c r="B3" s="204">
        <f ca="1">ROUND(B2*10000/'数据-汇总表'!E3,0)</f>
        <v>585971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10</v>
      </c>
      <c r="D10" s="845">
        <f>'数据-汇总表'!E6</f>
        <v>499.53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v>
      </c>
      <c r="D19" s="849">
        <f>'数据-汇总表'!E3</f>
        <v>499.53</v>
      </c>
      <c r="E19" s="211">
        <f>'数据-取费表'!B31</f>
        <v>180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4206</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4206</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28959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225</v>
      </c>
      <c r="D34" s="217"/>
      <c r="E34" s="220"/>
      <c r="F34" s="257">
        <f>IF('数据-取费表'!B24=0,1,'数据-取费表'!N16)</f>
        <v>1</v>
      </c>
      <c r="G34" s="219" t="s">
        <v>89</v>
      </c>
    </row>
    <row r="35" spans="1:7" ht="13.5" customHeight="1">
      <c r="A35" s="780" t="s">
        <v>351</v>
      </c>
      <c r="B35" s="215" t="s">
        <v>33</v>
      </c>
      <c r="C35" s="220">
        <f>ROUND(C34*F35,0)</f>
        <v>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v>
      </c>
      <c r="D37" s="217">
        <f>'数据-汇总表'!E3</f>
        <v>499.53</v>
      </c>
      <c r="E37" s="249">
        <f>'数据-取费表'!B35</f>
        <v>180</v>
      </c>
      <c r="F37" s="259"/>
      <c r="G37" s="261" t="s">
        <v>92</v>
      </c>
    </row>
    <row r="38" spans="1:7" ht="13.5" customHeight="1">
      <c r="A38" s="780" t="s">
        <v>354</v>
      </c>
      <c r="B38" s="215" t="s">
        <v>36</v>
      </c>
      <c r="C38" s="220">
        <f>ROUND(C34*F38,0)</f>
        <v>5</v>
      </c>
      <c r="D38" s="220"/>
      <c r="E38" s="220"/>
      <c r="F38" s="259">
        <f>'数据-取费表'!B36</f>
        <v>0.02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692" t="s">
        <v>94</v>
      </c>
    </row>
    <row r="43" spans="1:7" ht="13.5" customHeight="1">
      <c r="A43" s="780" t="s">
        <v>347</v>
      </c>
      <c r="B43" s="215" t="s">
        <v>426</v>
      </c>
      <c r="C43" s="238">
        <f ca="1">ROUND(IF('数据-取费表'!B22&lt;=1,C39*F22*'数据-取费表'!B21/2,C39*(POWER((1+F22),'数据-取费表'!B21/2)-1)),0)</f>
        <v>0</v>
      </c>
      <c r="D43" s="238"/>
      <c r="E43" s="238"/>
      <c r="F43" s="239"/>
      <c r="G43" s="3693"/>
    </row>
    <row r="44" spans="1:7" ht="13.5" customHeight="1">
      <c r="A44" s="780" t="s">
        <v>348</v>
      </c>
      <c r="B44" s="215" t="s">
        <v>428</v>
      </c>
      <c r="C44" s="238">
        <f ca="1">ROUND(IF('数据-取费表'!B22&lt;=1,C40*F22*'数据-取费表'!B21/2,C40*(POWER((1+F22),'数据-取费表'!B21/2)-1)),4)</f>
        <v>6.9999999999999999E-4</v>
      </c>
      <c r="D44" s="238"/>
      <c r="E44" s="238"/>
      <c r="F44" s="239"/>
      <c r="G44" s="3694"/>
    </row>
    <row r="45" spans="1:7" s="214" customFormat="1" ht="13.5" customHeight="1">
      <c r="A45" s="777" t="s">
        <v>341</v>
      </c>
      <c r="B45" s="244" t="s">
        <v>85</v>
      </c>
      <c r="C45" s="245">
        <f>C46</f>
        <v>50</v>
      </c>
      <c r="D45" s="235">
        <f>C47</f>
        <v>4.0000000000000001E-3</v>
      </c>
      <c r="E45" s="236" t="s">
        <v>102</v>
      </c>
      <c r="F45" s="246"/>
      <c r="G45" s="247" t="s">
        <v>434</v>
      </c>
    </row>
    <row r="46" spans="1:7" s="214" customFormat="1" ht="13.5" customHeight="1">
      <c r="A46" s="780" t="s">
        <v>349</v>
      </c>
      <c r="B46" s="248" t="s">
        <v>427</v>
      </c>
      <c r="C46" s="249">
        <f>ROUND((C33+C39)*F27,0)</f>
        <v>50</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335</v>
      </c>
      <c r="D49" s="232"/>
      <c r="E49" s="232"/>
      <c r="F49" s="264"/>
      <c r="G49" s="234" t="s">
        <v>435</v>
      </c>
    </row>
    <row r="50" spans="1:7" s="258" customFormat="1" ht="24">
      <c r="A50" s="777" t="s">
        <v>344</v>
      </c>
      <c r="B50" s="210" t="s">
        <v>97</v>
      </c>
      <c r="C50" s="232"/>
      <c r="D50" s="232"/>
      <c r="E50" s="232"/>
      <c r="F50" s="264">
        <f>IF('数据-取费表'!B24=0,'数据-取费表'!N16,1)</f>
        <v>0.93</v>
      </c>
      <c r="G50" s="247" t="s">
        <v>98</v>
      </c>
    </row>
    <row r="51" spans="1:7" ht="16.5" customHeight="1">
      <c r="A51" s="777" t="s">
        <v>345</v>
      </c>
      <c r="B51" s="210" t="s">
        <v>105</v>
      </c>
      <c r="C51" s="232">
        <f ca="1">ROUND(C49*F50,0)</f>
        <v>312</v>
      </c>
      <c r="D51" s="232"/>
      <c r="E51" s="232"/>
      <c r="F51" s="264"/>
      <c r="G51" s="234" t="s">
        <v>37</v>
      </c>
    </row>
    <row r="52" spans="1:7" s="208" customFormat="1" ht="16.5" thickBot="1">
      <c r="A52" s="265" t="s">
        <v>38</v>
      </c>
      <c r="B52" s="266"/>
      <c r="C52" s="267">
        <f ca="1">C31+C51</f>
        <v>29271</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78" t="s">
        <v>2834</v>
      </c>
      <c r="B1" s="3878"/>
      <c r="C1" s="3878"/>
      <c r="D1" s="3878"/>
      <c r="E1" s="3878"/>
      <c r="F1" s="3878"/>
      <c r="G1" s="3879"/>
      <c r="I1" s="3221" t="s">
        <v>2835</v>
      </c>
      <c r="J1" s="3222" t="s">
        <v>2836</v>
      </c>
      <c r="K1" s="3222" t="s">
        <v>2837</v>
      </c>
      <c r="L1" s="3222" t="s">
        <v>2838</v>
      </c>
      <c r="M1" s="3222" t="s">
        <v>2839</v>
      </c>
      <c r="N1" s="3222" t="s">
        <v>2840</v>
      </c>
      <c r="O1" s="3222" t="s">
        <v>2841</v>
      </c>
      <c r="P1" s="3222" t="s">
        <v>2842</v>
      </c>
      <c r="Q1" s="3222" t="s">
        <v>2843</v>
      </c>
      <c r="R1" s="3222" t="s">
        <v>2844</v>
      </c>
      <c r="S1" s="3222" t="s">
        <v>2845</v>
      </c>
      <c r="T1" s="3223" t="s">
        <v>2846</v>
      </c>
    </row>
    <row r="2" spans="1:20" ht="12" thickBot="1">
      <c r="A2" s="3225" t="s">
        <v>2847</v>
      </c>
      <c r="B2" s="3225"/>
      <c r="C2" s="3225"/>
      <c r="D2" s="3225"/>
      <c r="E2" s="3225"/>
      <c r="F2" s="3225"/>
      <c r="G2" s="3226" t="s">
        <v>2848</v>
      </c>
      <c r="I2" s="3227" t="s">
        <v>2849</v>
      </c>
      <c r="J2" s="3227" t="s">
        <v>2850</v>
      </c>
      <c r="K2" s="3227" t="s">
        <v>2851</v>
      </c>
      <c r="L2" s="3227" t="s">
        <v>2852</v>
      </c>
      <c r="M2" s="3227" t="s">
        <v>2853</v>
      </c>
      <c r="N2" s="3227" t="s">
        <v>2854</v>
      </c>
      <c r="O2" s="3227" t="s">
        <v>2855</v>
      </c>
      <c r="P2" s="3227" t="s">
        <v>2856</v>
      </c>
      <c r="Q2" s="3227" t="s">
        <v>2857</v>
      </c>
      <c r="R2" s="3227" t="s">
        <v>2858</v>
      </c>
      <c r="S2" s="3227" t="s">
        <v>2859</v>
      </c>
      <c r="T2" s="3227" t="s">
        <v>2860</v>
      </c>
    </row>
    <row r="3" spans="1:20" s="3233" customFormat="1">
      <c r="A3" s="3876" t="s">
        <v>2861</v>
      </c>
      <c r="B3" s="3228"/>
      <c r="C3" s="3229" t="s">
        <v>2806</v>
      </c>
      <c r="D3" s="3229" t="s">
        <v>2862</v>
      </c>
      <c r="E3" s="3229" t="s">
        <v>2808</v>
      </c>
      <c r="F3" s="3229" t="s">
        <v>2863</v>
      </c>
      <c r="G3" s="3229" t="s">
        <v>2626</v>
      </c>
      <c r="H3" s="3230"/>
      <c r="I3" s="3231" t="s">
        <v>2864</v>
      </c>
      <c r="J3" s="3232" t="s">
        <v>128</v>
      </c>
      <c r="K3" s="3232" t="s">
        <v>129</v>
      </c>
      <c r="L3" s="3231" t="s">
        <v>130</v>
      </c>
      <c r="M3" s="3231" t="s">
        <v>131</v>
      </c>
      <c r="N3" s="3231" t="s">
        <v>132</v>
      </c>
      <c r="O3" s="3231" t="s">
        <v>133</v>
      </c>
      <c r="P3" s="3231" t="s">
        <v>134</v>
      </c>
      <c r="Q3" s="3231" t="s">
        <v>135</v>
      </c>
      <c r="R3" s="3231" t="s">
        <v>136</v>
      </c>
      <c r="S3" s="3231" t="s">
        <v>2865</v>
      </c>
      <c r="T3" s="3231" t="s">
        <v>2866</v>
      </c>
    </row>
    <row r="4" spans="1:20" s="3233" customFormat="1" ht="12" thickBot="1">
      <c r="A4" s="3877"/>
      <c r="B4" s="3234" t="s">
        <v>2867</v>
      </c>
      <c r="C4" s="3234" t="s">
        <v>2868</v>
      </c>
      <c r="D4" s="3234" t="s">
        <v>2868</v>
      </c>
      <c r="E4" s="3234" t="s">
        <v>2868</v>
      </c>
      <c r="F4" s="3235" t="s">
        <v>2868</v>
      </c>
      <c r="G4" s="3235" t="s">
        <v>2868</v>
      </c>
      <c r="H4" s="3230"/>
      <c r="I4" s="3232" t="s">
        <v>137</v>
      </c>
      <c r="J4" s="3232" t="s">
        <v>111</v>
      </c>
      <c r="K4" s="3232" t="s">
        <v>138</v>
      </c>
      <c r="L4" s="3231" t="s">
        <v>139</v>
      </c>
      <c r="M4" s="3231" t="s">
        <v>140</v>
      </c>
      <c r="N4" s="3231" t="s">
        <v>141</v>
      </c>
      <c r="O4" s="3231" t="s">
        <v>142</v>
      </c>
      <c r="P4" s="3231" t="s">
        <v>143</v>
      </c>
      <c r="Q4" s="3231" t="s">
        <v>2869</v>
      </c>
      <c r="R4" s="3231" t="s">
        <v>2870</v>
      </c>
      <c r="S4" s="3231" t="s">
        <v>2871</v>
      </c>
      <c r="T4" s="3231" t="s">
        <v>2872</v>
      </c>
    </row>
    <row r="5" spans="1:20">
      <c r="A5" s="3236" t="s">
        <v>2835</v>
      </c>
      <c r="B5" s="3227" t="s">
        <v>2849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2873</v>
      </c>
      <c r="R5" s="3231" t="s">
        <v>2874</v>
      </c>
      <c r="S5" s="3231" t="s">
        <v>153</v>
      </c>
      <c r="T5" s="3231" t="s">
        <v>2875</v>
      </c>
    </row>
    <row r="6" spans="1:20" ht="12" thickBot="1">
      <c r="A6" s="3231" t="s">
        <v>144</v>
      </c>
      <c r="B6" s="3231" t="s">
        <v>2864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2876</v>
      </c>
      <c r="Q6" s="3231" t="s">
        <v>2877</v>
      </c>
      <c r="R6" s="3231" t="s">
        <v>161</v>
      </c>
      <c r="S6" s="3231" t="s">
        <v>2878</v>
      </c>
      <c r="T6" s="3231" t="s">
        <v>2879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2880</v>
      </c>
      <c r="Q7" s="3231" t="s">
        <v>2881</v>
      </c>
      <c r="R7" s="3231" t="s">
        <v>2882</v>
      </c>
      <c r="S7" s="3231" t="s">
        <v>2883</v>
      </c>
      <c r="T7" s="3231" t="s">
        <v>2884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2885</v>
      </c>
      <c r="Q8" s="3231" t="s">
        <v>174</v>
      </c>
      <c r="R8" s="3231" t="s">
        <v>2886</v>
      </c>
      <c r="S8" s="3231" t="s">
        <v>2887</v>
      </c>
      <c r="T8" s="3238" t="s">
        <v>2888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2889</v>
      </c>
      <c r="Q9" s="3231" t="s">
        <v>182</v>
      </c>
      <c r="R9" s="3231" t="s">
        <v>183</v>
      </c>
      <c r="S9" s="3231" t="s">
        <v>200</v>
      </c>
    </row>
    <row r="10" spans="1:20">
      <c r="A10" s="3236" t="s">
        <v>184</v>
      </c>
      <c r="B10" s="3227" t="s">
        <v>2850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2891</v>
      </c>
      <c r="P11" s="3231" t="s">
        <v>191</v>
      </c>
      <c r="Q11" s="3231" t="s">
        <v>199</v>
      </c>
      <c r="R11" s="3231" t="s">
        <v>2892</v>
      </c>
      <c r="S11" s="3231" t="s">
        <v>2893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2894</v>
      </c>
      <c r="P12" s="3231" t="s">
        <v>2895</v>
      </c>
      <c r="Q12" s="3231" t="s">
        <v>2896</v>
      </c>
      <c r="R12" s="3231" t="s">
        <v>2897</v>
      </c>
      <c r="S12" s="3231" t="s">
        <v>2898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2899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2900</v>
      </c>
      <c r="K14" s="3232" t="s">
        <v>215</v>
      </c>
      <c r="L14" s="3231" t="s">
        <v>216</v>
      </c>
      <c r="M14" s="3231" t="s">
        <v>217</v>
      </c>
      <c r="N14" s="3231" t="s">
        <v>218</v>
      </c>
      <c r="O14" s="3231" t="s">
        <v>240</v>
      </c>
      <c r="P14" s="3231" t="s">
        <v>213</v>
      </c>
      <c r="Q14" s="3231" t="s">
        <v>2901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2902</v>
      </c>
      <c r="P15" s="3231" t="s">
        <v>2903</v>
      </c>
      <c r="Q15" s="3231" t="s">
        <v>242</v>
      </c>
      <c r="R15" s="3231" t="s">
        <v>2904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2905</v>
      </c>
      <c r="P16" s="3231" t="s">
        <v>227</v>
      </c>
      <c r="Q16" s="3231" t="s">
        <v>250</v>
      </c>
      <c r="R16" s="3231" t="s">
        <v>207</v>
      </c>
      <c r="S16" s="3231" t="s">
        <v>2906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2907</v>
      </c>
      <c r="P17" s="3231" t="s">
        <v>2908</v>
      </c>
      <c r="Q17" s="3231" t="s">
        <v>256</v>
      </c>
      <c r="R17" s="3231" t="s">
        <v>2909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2910</v>
      </c>
      <c r="P18" s="3231" t="s">
        <v>241</v>
      </c>
      <c r="Q18" s="3231" t="s">
        <v>2911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2912</v>
      </c>
      <c r="P19" s="3231" t="s">
        <v>249</v>
      </c>
      <c r="Q19" s="3231" t="s">
        <v>2913</v>
      </c>
      <c r="R19" s="3231" t="s">
        <v>265</v>
      </c>
      <c r="S19" s="3231" t="s">
        <v>2914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2915</v>
      </c>
      <c r="P20" s="3231" t="s">
        <v>2916</v>
      </c>
      <c r="Q20" s="3231" t="s">
        <v>290</v>
      </c>
      <c r="R20" s="3231" t="s">
        <v>2917</v>
      </c>
      <c r="S20" s="3231" t="s">
        <v>277</v>
      </c>
    </row>
    <row r="21" spans="1:19" ht="14.25" customHeight="1" thickBot="1">
      <c r="A21" s="3231" t="s">
        <v>184</v>
      </c>
      <c r="B21" s="3232" t="s">
        <v>208</v>
      </c>
      <c r="C21" s="3231">
        <v>32370</v>
      </c>
      <c r="D21" s="3231">
        <v>26730</v>
      </c>
      <c r="E21" s="3231">
        <v>26640</v>
      </c>
      <c r="F21" s="3231"/>
      <c r="G21" s="3231">
        <v>19440</v>
      </c>
      <c r="J21" s="3238" t="s">
        <v>2918</v>
      </c>
      <c r="K21" s="3232" t="s">
        <v>267</v>
      </c>
      <c r="L21" s="3231" t="s">
        <v>268</v>
      </c>
      <c r="M21" s="3231" t="s">
        <v>269</v>
      </c>
      <c r="N21" s="3231" t="s">
        <v>270</v>
      </c>
      <c r="O21" s="3231" t="s">
        <v>264</v>
      </c>
      <c r="P21" s="3231" t="s">
        <v>283</v>
      </c>
      <c r="Q21" s="3231" t="s">
        <v>293</v>
      </c>
      <c r="R21" s="3231" t="s">
        <v>2919</v>
      </c>
      <c r="S21" s="3238" t="s">
        <v>2920</v>
      </c>
    </row>
    <row r="22" spans="1:19" ht="14.25" customHeight="1">
      <c r="A22" s="3231" t="s">
        <v>184</v>
      </c>
      <c r="B22" s="3232" t="s">
        <v>2900</v>
      </c>
      <c r="C22" s="3231">
        <v>29830</v>
      </c>
      <c r="D22" s="3231">
        <v>27600</v>
      </c>
      <c r="E22" s="3231">
        <v>28150</v>
      </c>
      <c r="F22" s="3231"/>
      <c r="G22" s="3231">
        <v>20080</v>
      </c>
      <c r="K22" s="3232" t="s">
        <v>2921</v>
      </c>
      <c r="L22" s="3231" t="s">
        <v>272</v>
      </c>
      <c r="M22" s="3231" t="s">
        <v>273</v>
      </c>
      <c r="N22" s="3231" t="s">
        <v>274</v>
      </c>
      <c r="O22" s="3231" t="s">
        <v>2922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2923</v>
      </c>
      <c r="L23" s="3231" t="s">
        <v>278</v>
      </c>
      <c r="M23" s="3231" t="s">
        <v>279</v>
      </c>
      <c r="N23" s="3231" t="s">
        <v>2924</v>
      </c>
      <c r="O23" s="3231" t="s">
        <v>2925</v>
      </c>
      <c r="P23" s="3231" t="s">
        <v>289</v>
      </c>
      <c r="Q23" s="3231" t="s">
        <v>298</v>
      </c>
      <c r="R23" s="3231" t="s">
        <v>2926</v>
      </c>
    </row>
    <row r="24" spans="1:19" ht="14.25" customHeight="1">
      <c r="A24" s="3231" t="s">
        <v>184</v>
      </c>
      <c r="B24" s="3232" t="s">
        <v>230</v>
      </c>
      <c r="C24" s="3231">
        <v>27930</v>
      </c>
      <c r="D24" s="3231">
        <v>32260</v>
      </c>
      <c r="E24" s="3231">
        <v>32120</v>
      </c>
      <c r="F24" s="3231"/>
      <c r="G24" s="3231">
        <v>23470</v>
      </c>
      <c r="K24" s="3232" t="s">
        <v>2927</v>
      </c>
      <c r="L24" s="3231" t="s">
        <v>281</v>
      </c>
      <c r="M24" s="3231" t="s">
        <v>282</v>
      </c>
      <c r="N24" s="3231" t="s">
        <v>2928</v>
      </c>
      <c r="O24" s="3231" t="s">
        <v>285</v>
      </c>
      <c r="P24" s="3231" t="s">
        <v>2929</v>
      </c>
      <c r="Q24" s="3240" t="s">
        <v>2930</v>
      </c>
      <c r="R24" s="3231" t="s">
        <v>2931</v>
      </c>
    </row>
    <row r="25" spans="1:19" ht="14.25" customHeight="1">
      <c r="A25" s="3231" t="s">
        <v>184</v>
      </c>
      <c r="B25" s="3232" t="s">
        <v>235</v>
      </c>
      <c r="C25" s="3231">
        <v>32230</v>
      </c>
      <c r="D25" s="3231">
        <v>29640</v>
      </c>
      <c r="E25" s="3231">
        <v>29510</v>
      </c>
      <c r="F25" s="3231"/>
      <c r="G25" s="3231">
        <v>21560</v>
      </c>
      <c r="K25" s="3232" t="s">
        <v>2932</v>
      </c>
      <c r="L25" s="3231" t="s">
        <v>2933</v>
      </c>
      <c r="M25" s="3231" t="s">
        <v>284</v>
      </c>
      <c r="N25" s="3231" t="s">
        <v>292</v>
      </c>
      <c r="O25" s="3231" t="s">
        <v>288</v>
      </c>
      <c r="P25" s="3231" t="s">
        <v>275</v>
      </c>
      <c r="Q25" s="3240" t="s">
        <v>271</v>
      </c>
      <c r="R25" s="3231" t="s">
        <v>2934</v>
      </c>
    </row>
    <row r="26" spans="1:19" ht="14.25" customHeight="1" thickBot="1">
      <c r="A26" s="3231" t="s">
        <v>184</v>
      </c>
      <c r="B26" s="3232" t="s">
        <v>244</v>
      </c>
      <c r="C26" s="3231">
        <v>31690</v>
      </c>
      <c r="D26" s="3231">
        <v>27650</v>
      </c>
      <c r="E26" s="3231">
        <v>28200</v>
      </c>
      <c r="F26" s="3231"/>
      <c r="G26" s="3231">
        <v>20110</v>
      </c>
      <c r="K26" s="3237" t="s">
        <v>2935</v>
      </c>
      <c r="L26" s="3231" t="s">
        <v>2936</v>
      </c>
      <c r="M26" s="3231" t="s">
        <v>287</v>
      </c>
      <c r="N26" s="3231" t="s">
        <v>294</v>
      </c>
      <c r="O26" s="3231" t="s">
        <v>2937</v>
      </c>
      <c r="P26" s="3231" t="s">
        <v>2938</v>
      </c>
      <c r="Q26" s="3240" t="s">
        <v>276</v>
      </c>
      <c r="R26" s="3231" t="s">
        <v>2939</v>
      </c>
    </row>
    <row r="27" spans="1:19" ht="14.25" customHeight="1">
      <c r="A27" s="3231" t="s">
        <v>184</v>
      </c>
      <c r="B27" s="3232" t="s">
        <v>251</v>
      </c>
      <c r="C27" s="3231">
        <v>29610</v>
      </c>
      <c r="D27" s="3231">
        <v>27770</v>
      </c>
      <c r="E27" s="3231">
        <v>28300</v>
      </c>
      <c r="F27" s="3231"/>
      <c r="G27" s="3231">
        <v>20210</v>
      </c>
      <c r="L27" s="3231" t="s">
        <v>2940</v>
      </c>
      <c r="M27" s="3231" t="s">
        <v>291</v>
      </c>
      <c r="N27" s="3231" t="s">
        <v>297</v>
      </c>
      <c r="O27" s="3231" t="s">
        <v>2941</v>
      </c>
      <c r="P27" s="3231" t="s">
        <v>2942</v>
      </c>
      <c r="Q27" s="3231" t="s">
        <v>2943</v>
      </c>
      <c r="R27" s="3231" t="s">
        <v>2944</v>
      </c>
    </row>
    <row r="28" spans="1:19" ht="14.25" customHeight="1">
      <c r="A28" s="3231" t="s">
        <v>184</v>
      </c>
      <c r="B28" s="3232" t="s">
        <v>259</v>
      </c>
      <c r="C28" s="3231"/>
      <c r="D28" s="3231">
        <v>31520</v>
      </c>
      <c r="E28" s="3231">
        <v>31410</v>
      </c>
      <c r="F28" s="3231"/>
      <c r="G28" s="3231">
        <v>22940</v>
      </c>
      <c r="L28" s="3231" t="s">
        <v>2945</v>
      </c>
      <c r="M28" s="3231" t="s">
        <v>2946</v>
      </c>
      <c r="N28" s="3231" t="s">
        <v>2947</v>
      </c>
      <c r="O28" s="3231" t="s">
        <v>2948</v>
      </c>
      <c r="P28" s="3231" t="s">
        <v>2949</v>
      </c>
      <c r="Q28" s="3231" t="s">
        <v>2950</v>
      </c>
      <c r="R28" s="3231" t="s">
        <v>2951</v>
      </c>
    </row>
    <row r="29" spans="1:19" ht="14.25" customHeight="1" thickBot="1">
      <c r="A29" s="3239" t="s">
        <v>184</v>
      </c>
      <c r="B29" s="3241" t="s">
        <v>2918</v>
      </c>
      <c r="C29" s="3242"/>
      <c r="D29" s="3242">
        <v>29460</v>
      </c>
      <c r="E29" s="3242">
        <v>28640</v>
      </c>
      <c r="F29" s="3242"/>
      <c r="G29" s="3242">
        <v>21430</v>
      </c>
      <c r="L29" s="3231" t="s">
        <v>2952</v>
      </c>
      <c r="M29" s="3231" t="s">
        <v>2953</v>
      </c>
      <c r="N29" s="3231" t="s">
        <v>2954</v>
      </c>
      <c r="O29" s="3231" t="s">
        <v>2955</v>
      </c>
      <c r="P29" s="3231" t="s">
        <v>2956</v>
      </c>
      <c r="Q29" s="3231" t="s">
        <v>2957</v>
      </c>
      <c r="R29" s="3231" t="s">
        <v>280</v>
      </c>
    </row>
    <row r="30" spans="1:19" ht="14.25" customHeight="1">
      <c r="A30" s="3236" t="s">
        <v>296</v>
      </c>
      <c r="B30" s="3227" t="s">
        <v>2851</v>
      </c>
      <c r="C30" s="3227">
        <v>26890</v>
      </c>
      <c r="D30" s="3227">
        <v>26770</v>
      </c>
      <c r="E30" s="3227">
        <v>25700</v>
      </c>
      <c r="F30" s="3227">
        <v>8180</v>
      </c>
      <c r="G30" s="3243">
        <v>18740</v>
      </c>
      <c r="L30" s="3231" t="s">
        <v>2958</v>
      </c>
      <c r="M30" s="3231" t="s">
        <v>2959</v>
      </c>
      <c r="N30" s="3231" t="s">
        <v>2960</v>
      </c>
      <c r="O30" s="3231" t="s">
        <v>2961</v>
      </c>
      <c r="P30" s="3231" t="s">
        <v>2962</v>
      </c>
      <c r="Q30" s="3231" t="s">
        <v>2963</v>
      </c>
      <c r="R30" s="3231" t="s">
        <v>2964</v>
      </c>
    </row>
    <row r="31" spans="1:19" ht="14.25" customHeight="1">
      <c r="A31" s="3231" t="s">
        <v>296</v>
      </c>
      <c r="B31" s="3232" t="s">
        <v>129</v>
      </c>
      <c r="C31" s="3231">
        <v>24550</v>
      </c>
      <c r="D31" s="3231">
        <v>23990</v>
      </c>
      <c r="E31" s="3231">
        <v>22930</v>
      </c>
      <c r="F31" s="3231">
        <v>7470</v>
      </c>
      <c r="G31" s="3244">
        <v>16790</v>
      </c>
      <c r="L31" s="3231" t="s">
        <v>2965</v>
      </c>
      <c r="M31" s="3231" t="s">
        <v>2966</v>
      </c>
      <c r="N31" s="3231" t="s">
        <v>2967</v>
      </c>
      <c r="O31" s="3231" t="s">
        <v>2968</v>
      </c>
      <c r="P31" s="3231" t="s">
        <v>2969</v>
      </c>
      <c r="Q31" s="3231" t="s">
        <v>2970</v>
      </c>
      <c r="R31" s="3231" t="s">
        <v>2971</v>
      </c>
    </row>
    <row r="32" spans="1:19" ht="14.25" customHeight="1" thickBot="1">
      <c r="A32" s="3231" t="s">
        <v>296</v>
      </c>
      <c r="B32" s="3232" t="s">
        <v>138</v>
      </c>
      <c r="C32" s="3231">
        <v>27210</v>
      </c>
      <c r="D32" s="3231">
        <v>23240</v>
      </c>
      <c r="E32" s="3231">
        <v>23260</v>
      </c>
      <c r="F32" s="3231">
        <v>7130</v>
      </c>
      <c r="G32" s="3244">
        <v>16270</v>
      </c>
      <c r="L32" s="3231" t="s">
        <v>2972</v>
      </c>
      <c r="M32" s="3231" t="s">
        <v>2973</v>
      </c>
      <c r="N32" s="3231" t="s">
        <v>300</v>
      </c>
      <c r="O32" s="3231" t="s">
        <v>2974</v>
      </c>
      <c r="P32" s="3231" t="s">
        <v>299</v>
      </c>
      <c r="Q32" s="3231" t="s">
        <v>2975</v>
      </c>
      <c r="R32" s="3238" t="s">
        <v>2976</v>
      </c>
    </row>
    <row r="33" spans="1:17" ht="14.25" customHeight="1" thickBot="1">
      <c r="A33" s="3231" t="s">
        <v>296</v>
      </c>
      <c r="B33" s="3232" t="s">
        <v>147</v>
      </c>
      <c r="C33" s="3231">
        <v>27300</v>
      </c>
      <c r="D33" s="3231">
        <v>22980</v>
      </c>
      <c r="E33" s="3231">
        <v>24260</v>
      </c>
      <c r="F33" s="3231">
        <v>5860</v>
      </c>
      <c r="G33" s="3244">
        <v>16090</v>
      </c>
      <c r="L33" s="3238" t="s">
        <v>2977</v>
      </c>
      <c r="M33" s="3231" t="s">
        <v>2978</v>
      </c>
      <c r="N33" s="3231" t="s">
        <v>301</v>
      </c>
      <c r="O33" s="3231" t="s">
        <v>2979</v>
      </c>
      <c r="P33" s="3231" t="s">
        <v>2980</v>
      </c>
      <c r="Q33" s="3231" t="s">
        <v>2981</v>
      </c>
    </row>
    <row r="34" spans="1:17" ht="14.25" customHeight="1">
      <c r="A34" s="3231" t="s">
        <v>296</v>
      </c>
      <c r="B34" s="3232" t="s">
        <v>156</v>
      </c>
      <c r="C34" s="3231">
        <v>23090</v>
      </c>
      <c r="D34" s="3231">
        <v>23390</v>
      </c>
      <c r="E34" s="3231">
        <v>23510</v>
      </c>
      <c r="F34" s="3231">
        <v>6700</v>
      </c>
      <c r="G34" s="3244">
        <v>16370</v>
      </c>
      <c r="M34" s="3231" t="s">
        <v>2982</v>
      </c>
      <c r="N34" s="3231" t="s">
        <v>302</v>
      </c>
      <c r="O34" s="3231" t="s">
        <v>2983</v>
      </c>
      <c r="P34" s="3231" t="s">
        <v>2984</v>
      </c>
      <c r="Q34" s="3231" t="s">
        <v>2985</v>
      </c>
    </row>
    <row r="35" spans="1:17" ht="14.25" customHeight="1">
      <c r="A35" s="3231" t="s">
        <v>296</v>
      </c>
      <c r="B35" s="3232" t="s">
        <v>163</v>
      </c>
      <c r="C35" s="3231">
        <v>27270</v>
      </c>
      <c r="D35" s="3231">
        <v>24270</v>
      </c>
      <c r="E35" s="3231">
        <v>24950</v>
      </c>
      <c r="F35" s="3231">
        <v>6600</v>
      </c>
      <c r="G35" s="3244">
        <v>16990</v>
      </c>
      <c r="M35" s="3231" t="s">
        <v>2986</v>
      </c>
      <c r="N35" s="3231" t="s">
        <v>2987</v>
      </c>
      <c r="O35" s="3231" t="s">
        <v>2988</v>
      </c>
      <c r="P35" s="3231" t="s">
        <v>2989</v>
      </c>
      <c r="Q35" s="3231" t="s">
        <v>2990</v>
      </c>
    </row>
    <row r="36" spans="1:17" ht="14.25" customHeight="1">
      <c r="A36" s="3231" t="s">
        <v>296</v>
      </c>
      <c r="B36" s="3232" t="s">
        <v>169</v>
      </c>
      <c r="C36" s="3231">
        <v>23490</v>
      </c>
      <c r="D36" s="3231">
        <v>23020</v>
      </c>
      <c r="E36" s="3231">
        <v>25230</v>
      </c>
      <c r="F36" s="3231">
        <v>6780</v>
      </c>
      <c r="G36" s="3244">
        <v>16120</v>
      </c>
      <c r="M36" s="3231" t="s">
        <v>2991</v>
      </c>
      <c r="N36" s="3231" t="s">
        <v>2992</v>
      </c>
      <c r="O36" s="3231" t="s">
        <v>2993</v>
      </c>
      <c r="P36" s="3231" t="s">
        <v>2994</v>
      </c>
      <c r="Q36" s="3231" t="s">
        <v>2995</v>
      </c>
    </row>
    <row r="37" spans="1:17" ht="14.25" customHeight="1">
      <c r="A37" s="3231" t="s">
        <v>296</v>
      </c>
      <c r="B37" s="3232" t="s">
        <v>176</v>
      </c>
      <c r="C37" s="3231">
        <v>24380</v>
      </c>
      <c r="D37" s="3231">
        <v>22240</v>
      </c>
      <c r="E37" s="3231">
        <v>25980</v>
      </c>
      <c r="F37" s="3231">
        <v>8160</v>
      </c>
      <c r="G37" s="3244">
        <v>15570</v>
      </c>
      <c r="M37" s="3231" t="s">
        <v>2996</v>
      </c>
      <c r="N37" s="3231" t="s">
        <v>2997</v>
      </c>
      <c r="O37" s="3231" t="s">
        <v>2998</v>
      </c>
      <c r="P37" s="3231" t="s">
        <v>2999</v>
      </c>
      <c r="Q37" s="3231" t="s">
        <v>3000</v>
      </c>
    </row>
    <row r="38" spans="1:17" ht="14.25" customHeight="1">
      <c r="A38" s="3231" t="s">
        <v>296</v>
      </c>
      <c r="B38" s="3232" t="s">
        <v>186</v>
      </c>
      <c r="C38" s="3231">
        <v>23120</v>
      </c>
      <c r="D38" s="3231">
        <v>24630</v>
      </c>
      <c r="E38" s="3231">
        <v>25030</v>
      </c>
      <c r="F38" s="3231">
        <v>7710</v>
      </c>
      <c r="G38" s="3244">
        <v>17240</v>
      </c>
      <c r="M38" s="3231" t="s">
        <v>3001</v>
      </c>
      <c r="N38" s="3231" t="s">
        <v>3002</v>
      </c>
      <c r="O38" s="3231" t="s">
        <v>3003</v>
      </c>
      <c r="P38" s="3231" t="s">
        <v>3004</v>
      </c>
      <c r="Q38" s="3231" t="s">
        <v>3005</v>
      </c>
    </row>
    <row r="39" spans="1:17" ht="14.25" customHeight="1">
      <c r="A39" s="3231" t="s">
        <v>296</v>
      </c>
      <c r="B39" s="3232" t="s">
        <v>195</v>
      </c>
      <c r="C39" s="3231">
        <v>22330</v>
      </c>
      <c r="D39" s="3231">
        <v>21140</v>
      </c>
      <c r="E39" s="3231">
        <v>23970</v>
      </c>
      <c r="F39" s="3231">
        <v>7940</v>
      </c>
      <c r="G39" s="3244">
        <v>14790</v>
      </c>
      <c r="M39" s="3231" t="s">
        <v>3006</v>
      </c>
      <c r="N39" s="3231" t="s">
        <v>3007</v>
      </c>
      <c r="O39" s="3231" t="s">
        <v>3008</v>
      </c>
      <c r="P39" s="3231" t="s">
        <v>3009</v>
      </c>
      <c r="Q39" s="3231" t="s">
        <v>3010</v>
      </c>
    </row>
    <row r="40" spans="1:17" ht="14.25" customHeight="1">
      <c r="A40" s="3231" t="s">
        <v>296</v>
      </c>
      <c r="B40" s="3232" t="s">
        <v>202</v>
      </c>
      <c r="C40" s="3231">
        <v>24740</v>
      </c>
      <c r="D40" s="3231">
        <v>24690</v>
      </c>
      <c r="E40" s="3231">
        <v>22610</v>
      </c>
      <c r="F40" s="3231"/>
      <c r="G40" s="3244">
        <v>17280</v>
      </c>
      <c r="M40" s="3231" t="s">
        <v>3011</v>
      </c>
      <c r="N40" s="3231" t="s">
        <v>3012</v>
      </c>
      <c r="O40" s="3231" t="s">
        <v>3013</v>
      </c>
      <c r="P40" s="3231" t="s">
        <v>3014</v>
      </c>
      <c r="Q40" s="3231" t="s">
        <v>3015</v>
      </c>
    </row>
    <row r="41" spans="1:17" ht="14.25" customHeight="1" thickBot="1">
      <c r="A41" s="3231" t="s">
        <v>296</v>
      </c>
      <c r="B41" s="3232" t="s">
        <v>209</v>
      </c>
      <c r="C41" s="3231">
        <v>21220</v>
      </c>
      <c r="D41" s="3231">
        <v>21120</v>
      </c>
      <c r="E41" s="3231">
        <v>22590</v>
      </c>
      <c r="F41" s="3231"/>
      <c r="G41" s="3244">
        <v>14780</v>
      </c>
      <c r="M41" s="3238" t="s">
        <v>3016</v>
      </c>
      <c r="N41" s="3231" t="s">
        <v>3017</v>
      </c>
      <c r="O41" s="3231" t="s">
        <v>3018</v>
      </c>
      <c r="P41" s="3231" t="s">
        <v>3019</v>
      </c>
      <c r="Q41" s="3231" t="s">
        <v>3020</v>
      </c>
    </row>
    <row r="42" spans="1:17" ht="14.25" customHeight="1">
      <c r="A42" s="3231" t="s">
        <v>296</v>
      </c>
      <c r="B42" s="3232" t="s">
        <v>215</v>
      </c>
      <c r="C42" s="3231">
        <v>24800</v>
      </c>
      <c r="D42" s="3231">
        <v>22280</v>
      </c>
      <c r="E42" s="3231">
        <v>24350</v>
      </c>
      <c r="F42" s="3231"/>
      <c r="G42" s="3244">
        <v>15590</v>
      </c>
      <c r="N42" s="3231" t="s">
        <v>3021</v>
      </c>
      <c r="O42" s="3231" t="s">
        <v>3022</v>
      </c>
      <c r="P42" s="3231" t="s">
        <v>3023</v>
      </c>
      <c r="Q42" s="3231" t="s">
        <v>3024</v>
      </c>
    </row>
    <row r="43" spans="1:17" ht="14.25" customHeight="1">
      <c r="A43" s="3231" t="s">
        <v>3025</v>
      </c>
      <c r="B43" s="3232" t="s">
        <v>223</v>
      </c>
      <c r="C43" s="3231">
        <v>21210</v>
      </c>
      <c r="D43" s="3231">
        <v>21160</v>
      </c>
      <c r="E43" s="3231">
        <v>22650</v>
      </c>
      <c r="F43" s="3231"/>
      <c r="G43" s="3244">
        <v>14800</v>
      </c>
      <c r="N43" s="3231" t="s">
        <v>3026</v>
      </c>
      <c r="O43" s="3231" t="s">
        <v>3027</v>
      </c>
      <c r="P43" s="3231" t="s">
        <v>3028</v>
      </c>
      <c r="Q43" s="3231" t="s">
        <v>3029</v>
      </c>
    </row>
    <row r="44" spans="1:17" ht="14.25" customHeight="1" thickBot="1">
      <c r="A44" s="3231" t="s">
        <v>296</v>
      </c>
      <c r="B44" s="3232" t="s">
        <v>231</v>
      </c>
      <c r="C44" s="3231">
        <v>22370</v>
      </c>
      <c r="D44" s="3231">
        <v>23140</v>
      </c>
      <c r="E44" s="3231">
        <v>25090</v>
      </c>
      <c r="F44" s="3231"/>
      <c r="G44" s="3244">
        <v>16190</v>
      </c>
      <c r="N44" s="3231" t="s">
        <v>3030</v>
      </c>
      <c r="O44" s="3231" t="s">
        <v>3031</v>
      </c>
      <c r="P44" s="3238" t="s">
        <v>3032</v>
      </c>
      <c r="Q44" s="3231" t="s">
        <v>3033</v>
      </c>
    </row>
    <row r="45" spans="1:17" ht="14.25" customHeight="1" thickBot="1">
      <c r="A45" s="3231" t="s">
        <v>296</v>
      </c>
      <c r="B45" s="3232" t="s">
        <v>236</v>
      </c>
      <c r="C45" s="3231">
        <v>21240</v>
      </c>
      <c r="D45" s="3231">
        <v>27050</v>
      </c>
      <c r="E45" s="3231">
        <v>28000</v>
      </c>
      <c r="F45" s="3231"/>
      <c r="G45" s="3244">
        <v>18940</v>
      </c>
      <c r="N45" s="3231" t="s">
        <v>3034</v>
      </c>
      <c r="O45" s="3238" t="s">
        <v>3035</v>
      </c>
      <c r="Q45" s="3231" t="s">
        <v>3036</v>
      </c>
    </row>
    <row r="46" spans="1:17" ht="14.25" customHeight="1">
      <c r="A46" s="3231" t="s">
        <v>296</v>
      </c>
      <c r="B46" s="3232" t="s">
        <v>245</v>
      </c>
      <c r="C46" s="3231">
        <v>23240</v>
      </c>
      <c r="D46" s="3231">
        <v>23000</v>
      </c>
      <c r="E46" s="3231">
        <v>24980</v>
      </c>
      <c r="F46" s="3231"/>
      <c r="G46" s="3244">
        <v>16100</v>
      </c>
      <c r="N46" s="3231" t="s">
        <v>3037</v>
      </c>
      <c r="Q46" s="3231" t="s">
        <v>3038</v>
      </c>
    </row>
    <row r="47" spans="1:17" ht="14.25" customHeight="1">
      <c r="A47" s="3231" t="s">
        <v>296</v>
      </c>
      <c r="B47" s="3232" t="s">
        <v>252</v>
      </c>
      <c r="C47" s="3231">
        <v>27150</v>
      </c>
      <c r="D47" s="3231">
        <v>23310</v>
      </c>
      <c r="E47" s="3231">
        <v>25150</v>
      </c>
      <c r="F47" s="3231"/>
      <c r="G47" s="3244">
        <v>16310</v>
      </c>
      <c r="N47" s="3231" t="s">
        <v>3039</v>
      </c>
      <c r="Q47" s="3231" t="s">
        <v>3040</v>
      </c>
    </row>
    <row r="48" spans="1:17" ht="14.25" customHeight="1">
      <c r="A48" s="3231" t="s">
        <v>296</v>
      </c>
      <c r="B48" s="3232" t="s">
        <v>260</v>
      </c>
      <c r="C48" s="3231">
        <v>23100</v>
      </c>
      <c r="D48" s="3231">
        <v>21110</v>
      </c>
      <c r="E48" s="3231">
        <v>23080</v>
      </c>
      <c r="F48" s="3231"/>
      <c r="G48" s="3244">
        <v>14780</v>
      </c>
      <c r="N48" s="3231" t="s">
        <v>3041</v>
      </c>
      <c r="Q48" s="3231" t="s">
        <v>3042</v>
      </c>
    </row>
    <row r="49" spans="1:17" ht="14.25" customHeight="1">
      <c r="A49" s="3231" t="s">
        <v>296</v>
      </c>
      <c r="B49" s="3232" t="s">
        <v>267</v>
      </c>
      <c r="C49" s="3231">
        <v>23400</v>
      </c>
      <c r="D49" s="3231">
        <v>22920</v>
      </c>
      <c r="E49" s="3231">
        <v>24900</v>
      </c>
      <c r="F49" s="3231"/>
      <c r="G49" s="3244">
        <v>16040</v>
      </c>
      <c r="N49" s="3231" t="s">
        <v>3043</v>
      </c>
      <c r="Q49" s="3231" t="s">
        <v>3044</v>
      </c>
    </row>
    <row r="50" spans="1:17" ht="14.25" customHeight="1">
      <c r="A50" s="3231" t="s">
        <v>296</v>
      </c>
      <c r="B50" s="3232" t="s">
        <v>2921</v>
      </c>
      <c r="C50" s="3231">
        <v>21200</v>
      </c>
      <c r="D50" s="3231">
        <v>26540</v>
      </c>
      <c r="E50" s="3231">
        <v>23200</v>
      </c>
      <c r="F50" s="3231"/>
      <c r="G50" s="3244">
        <v>18580</v>
      </c>
      <c r="N50" s="3231" t="s">
        <v>3045</v>
      </c>
      <c r="Q50" s="3232" t="s">
        <v>3046</v>
      </c>
    </row>
    <row r="51" spans="1:17" ht="14.25" customHeight="1" thickBot="1">
      <c r="A51" s="3231" t="s">
        <v>296</v>
      </c>
      <c r="B51" s="3232" t="s">
        <v>2923</v>
      </c>
      <c r="C51" s="3231">
        <v>23000</v>
      </c>
      <c r="D51" s="3231">
        <v>23460</v>
      </c>
      <c r="E51" s="3231">
        <v>25290</v>
      </c>
      <c r="F51" s="3231"/>
      <c r="G51" s="3244">
        <v>16420</v>
      </c>
      <c r="N51" s="3231" t="s">
        <v>3047</v>
      </c>
      <c r="Q51" s="3238" t="s">
        <v>3048</v>
      </c>
    </row>
    <row r="52" spans="1:17" ht="14.25" customHeight="1">
      <c r="A52" s="3231" t="s">
        <v>296</v>
      </c>
      <c r="B52" s="3232" t="s">
        <v>2927</v>
      </c>
      <c r="C52" s="3231">
        <v>26660</v>
      </c>
      <c r="D52" s="3231">
        <v>22350</v>
      </c>
      <c r="E52" s="3231">
        <v>22920</v>
      </c>
      <c r="F52" s="3231"/>
      <c r="G52" s="3244">
        <v>15640</v>
      </c>
      <c r="N52" s="3231" t="s">
        <v>3049</v>
      </c>
    </row>
    <row r="53" spans="1:17" ht="14.25" customHeight="1">
      <c r="A53" s="3231" t="s">
        <v>296</v>
      </c>
      <c r="B53" s="3232" t="s">
        <v>2932</v>
      </c>
      <c r="C53" s="3231">
        <v>23580</v>
      </c>
      <c r="D53" s="3231"/>
      <c r="E53" s="3231">
        <v>24280</v>
      </c>
      <c r="F53" s="3231"/>
      <c r="G53" s="3244"/>
      <c r="N53" s="3231" t="s">
        <v>3050</v>
      </c>
    </row>
    <row r="54" spans="1:17" ht="14.25" customHeight="1" thickBot="1">
      <c r="A54" s="3245" t="s">
        <v>296</v>
      </c>
      <c r="B54" s="3237" t="s">
        <v>2935</v>
      </c>
      <c r="C54" s="3238">
        <v>22460</v>
      </c>
      <c r="D54" s="3238"/>
      <c r="E54" s="3238"/>
      <c r="F54" s="3238"/>
      <c r="G54" s="3246"/>
      <c r="N54" s="3231" t="s">
        <v>3051</v>
      </c>
    </row>
    <row r="55" spans="1:17" ht="14.25" customHeight="1">
      <c r="A55" s="3236" t="s">
        <v>110</v>
      </c>
      <c r="B55" s="3227" t="s">
        <v>3052</v>
      </c>
      <c r="C55" s="3231">
        <v>21970</v>
      </c>
      <c r="D55" s="3231">
        <v>20370</v>
      </c>
      <c r="E55" s="3231">
        <v>20180</v>
      </c>
      <c r="F55" s="3231">
        <v>5730</v>
      </c>
      <c r="G55" s="3231">
        <v>13820</v>
      </c>
      <c r="N55" s="3231" t="s">
        <v>3053</v>
      </c>
    </row>
    <row r="56" spans="1:17" ht="14.25" customHeight="1">
      <c r="A56" s="3231" t="s">
        <v>110</v>
      </c>
      <c r="B56" s="3231" t="s">
        <v>130</v>
      </c>
      <c r="C56" s="3231">
        <v>20470</v>
      </c>
      <c r="D56" s="3231">
        <v>20700</v>
      </c>
      <c r="E56" s="3231">
        <v>20380</v>
      </c>
      <c r="F56" s="3231">
        <v>4760</v>
      </c>
      <c r="G56" s="3231">
        <v>14050</v>
      </c>
      <c r="N56" s="3231" t="s">
        <v>3054</v>
      </c>
    </row>
    <row r="57" spans="1:17" ht="14.25" customHeight="1">
      <c r="A57" s="3231" t="s">
        <v>110</v>
      </c>
      <c r="B57" s="3231" t="s">
        <v>139</v>
      </c>
      <c r="C57" s="3231">
        <v>20790</v>
      </c>
      <c r="D57" s="3231">
        <v>21370</v>
      </c>
      <c r="E57" s="3231">
        <v>20890</v>
      </c>
      <c r="F57" s="3231">
        <v>4910</v>
      </c>
      <c r="G57" s="3231">
        <v>14510</v>
      </c>
      <c r="N57" s="3231" t="s">
        <v>3055</v>
      </c>
    </row>
    <row r="58" spans="1:17" ht="14.25" customHeight="1">
      <c r="A58" s="3231" t="s">
        <v>110</v>
      </c>
      <c r="B58" s="3231" t="s">
        <v>148</v>
      </c>
      <c r="C58" s="3231">
        <v>21460</v>
      </c>
      <c r="D58" s="3231">
        <v>20920</v>
      </c>
      <c r="E58" s="3231">
        <v>23410</v>
      </c>
      <c r="F58" s="3231">
        <v>5100</v>
      </c>
      <c r="G58" s="3231">
        <v>14200</v>
      </c>
      <c r="N58" s="3231" t="s">
        <v>3056</v>
      </c>
    </row>
    <row r="59" spans="1:17" ht="14.25" customHeight="1">
      <c r="A59" s="3231" t="s">
        <v>110</v>
      </c>
      <c r="B59" s="3231" t="s">
        <v>157</v>
      </c>
      <c r="C59" s="3231">
        <v>21000</v>
      </c>
      <c r="D59" s="3231">
        <v>21550</v>
      </c>
      <c r="E59" s="3231">
        <v>21150</v>
      </c>
      <c r="F59" s="3231">
        <v>5250</v>
      </c>
      <c r="G59" s="3231">
        <v>14630</v>
      </c>
      <c r="N59" s="3231" t="s">
        <v>3057</v>
      </c>
    </row>
    <row r="60" spans="1:17" ht="14.25" customHeight="1">
      <c r="A60" s="3231" t="s">
        <v>110</v>
      </c>
      <c r="B60" s="3231" t="s">
        <v>164</v>
      </c>
      <c r="C60" s="3231">
        <v>21640</v>
      </c>
      <c r="D60" s="3231">
        <v>21260</v>
      </c>
      <c r="E60" s="3231">
        <v>24040</v>
      </c>
      <c r="F60" s="3231">
        <v>4470</v>
      </c>
      <c r="G60" s="3231">
        <v>14430</v>
      </c>
      <c r="N60" s="3231" t="s">
        <v>3058</v>
      </c>
    </row>
    <row r="61" spans="1:17" ht="14.25" customHeight="1">
      <c r="A61" s="3231" t="s">
        <v>110</v>
      </c>
      <c r="B61" s="3231" t="s">
        <v>170</v>
      </c>
      <c r="C61" s="3231">
        <v>21330</v>
      </c>
      <c r="D61" s="3231">
        <v>18640</v>
      </c>
      <c r="E61" s="3231">
        <v>21190</v>
      </c>
      <c r="F61" s="3231">
        <v>4180</v>
      </c>
      <c r="G61" s="3231">
        <v>12650</v>
      </c>
      <c r="N61" s="3231" t="s">
        <v>3059</v>
      </c>
    </row>
    <row r="62" spans="1:17" ht="14.25" customHeight="1">
      <c r="A62" s="3231" t="s">
        <v>110</v>
      </c>
      <c r="B62" s="3231" t="s">
        <v>177</v>
      </c>
      <c r="C62" s="3231">
        <v>18710</v>
      </c>
      <c r="D62" s="3231">
        <v>19400</v>
      </c>
      <c r="E62" s="3231">
        <v>23750</v>
      </c>
      <c r="F62" s="3231">
        <v>4860</v>
      </c>
      <c r="G62" s="3231">
        <v>13170</v>
      </c>
      <c r="N62" s="3231" t="s">
        <v>3060</v>
      </c>
    </row>
    <row r="63" spans="1:17" ht="14.25" customHeight="1">
      <c r="A63" s="3231" t="s">
        <v>110</v>
      </c>
      <c r="B63" s="3231" t="s">
        <v>187</v>
      </c>
      <c r="C63" s="3231">
        <v>19480</v>
      </c>
      <c r="D63" s="3231">
        <v>16830</v>
      </c>
      <c r="E63" s="3231">
        <v>21590</v>
      </c>
      <c r="F63" s="3231">
        <v>4560</v>
      </c>
      <c r="G63" s="3231">
        <v>11420</v>
      </c>
      <c r="N63" s="3231" t="s">
        <v>3061</v>
      </c>
    </row>
    <row r="64" spans="1:17" ht="14.25" customHeight="1" thickBot="1">
      <c r="A64" s="3231" t="s">
        <v>110</v>
      </c>
      <c r="B64" s="3231" t="s">
        <v>196</v>
      </c>
      <c r="C64" s="3231">
        <v>16920</v>
      </c>
      <c r="D64" s="3231">
        <v>19190</v>
      </c>
      <c r="E64" s="3231">
        <v>22200</v>
      </c>
      <c r="F64" s="3231">
        <v>4390</v>
      </c>
      <c r="G64" s="3231">
        <v>13030</v>
      </c>
      <c r="N64" s="3238" t="s">
        <v>3062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2933</v>
      </c>
      <c r="C78" s="3231">
        <v>19820</v>
      </c>
      <c r="D78" s="3231">
        <v>19780</v>
      </c>
      <c r="E78" s="3231">
        <v>18560</v>
      </c>
      <c r="F78" s="3231"/>
      <c r="G78" s="3231">
        <v>13430</v>
      </c>
    </row>
    <row r="79" spans="1:7" s="3220" customFormat="1" ht="14.25" customHeight="1">
      <c r="A79" s="3231" t="s">
        <v>110</v>
      </c>
      <c r="B79" s="3231" t="s">
        <v>2936</v>
      </c>
      <c r="C79" s="3231">
        <v>21660</v>
      </c>
      <c r="D79" s="3231">
        <v>18000</v>
      </c>
      <c r="E79" s="3231">
        <v>22570</v>
      </c>
      <c r="F79" s="3231"/>
      <c r="G79" s="3231">
        <v>12220</v>
      </c>
    </row>
    <row r="80" spans="1:7" s="3220" customFormat="1" ht="14.25" customHeight="1">
      <c r="A80" s="3231" t="s">
        <v>110</v>
      </c>
      <c r="B80" s="3231" t="s">
        <v>2940</v>
      </c>
      <c r="C80" s="3231">
        <v>19850</v>
      </c>
      <c r="D80" s="3231"/>
      <c r="E80" s="3231">
        <v>21700</v>
      </c>
      <c r="F80" s="3231"/>
      <c r="G80" s="3231"/>
    </row>
    <row r="81" spans="1:7" s="3220" customFormat="1" ht="14.25" customHeight="1">
      <c r="A81" s="3231" t="s">
        <v>110</v>
      </c>
      <c r="B81" s="3231" t="s">
        <v>2945</v>
      </c>
      <c r="C81" s="3231">
        <v>18080</v>
      </c>
      <c r="D81" s="3231"/>
      <c r="E81" s="3231">
        <v>20900</v>
      </c>
      <c r="F81" s="3231"/>
      <c r="G81" s="3231"/>
    </row>
    <row r="82" spans="1:7" s="3220" customFormat="1" ht="14.25" customHeight="1">
      <c r="A82" s="3231" t="s">
        <v>110</v>
      </c>
      <c r="B82" s="3231" t="s">
        <v>2952</v>
      </c>
      <c r="C82" s="3231"/>
      <c r="D82" s="3231"/>
      <c r="E82" s="3231">
        <v>20840</v>
      </c>
      <c r="F82" s="3231"/>
      <c r="G82" s="3231"/>
    </row>
    <row r="83" spans="1:7" s="3220" customFormat="1" ht="14.25" customHeight="1">
      <c r="A83" s="3231" t="s">
        <v>110</v>
      </c>
      <c r="B83" s="3231" t="s">
        <v>3063</v>
      </c>
      <c r="C83" s="3231"/>
      <c r="D83" s="3231"/>
      <c r="E83" s="3231"/>
      <c r="F83" s="3231">
        <v>4770</v>
      </c>
      <c r="G83" s="3231"/>
    </row>
    <row r="84" spans="1:7" s="3220" customFormat="1" ht="14.25" customHeight="1">
      <c r="A84" s="3231" t="s">
        <v>110</v>
      </c>
      <c r="B84" s="3231" t="s">
        <v>3064</v>
      </c>
      <c r="C84" s="3231"/>
      <c r="D84" s="3231"/>
      <c r="E84" s="3231"/>
      <c r="F84" s="3231">
        <v>4600</v>
      </c>
      <c r="G84" s="3231"/>
    </row>
    <row r="85" spans="1:7" s="3220" customFormat="1" ht="14.25" customHeight="1">
      <c r="A85" s="3231" t="s">
        <v>110</v>
      </c>
      <c r="B85" s="3231" t="s">
        <v>3065</v>
      </c>
      <c r="C85" s="3231"/>
      <c r="D85" s="3231"/>
      <c r="E85" s="3231"/>
      <c r="F85" s="3231">
        <v>4680</v>
      </c>
      <c r="G85" s="3231"/>
    </row>
    <row r="86" spans="1:7" s="3220" customFormat="1" ht="14.25" customHeight="1" thickBot="1">
      <c r="A86" s="3239" t="s">
        <v>110</v>
      </c>
      <c r="B86" s="3241" t="s">
        <v>3066</v>
      </c>
      <c r="C86" s="3242">
        <v>16610</v>
      </c>
      <c r="D86" s="3242">
        <v>16540</v>
      </c>
      <c r="E86" s="3242">
        <v>18850</v>
      </c>
      <c r="F86" s="3242"/>
      <c r="G86" s="3242">
        <v>11220</v>
      </c>
    </row>
    <row r="87" spans="1:7" s="3220" customFormat="1" ht="14.25" customHeight="1">
      <c r="A87" s="3236" t="s">
        <v>303</v>
      </c>
      <c r="B87" s="3227" t="s">
        <v>3067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2946</v>
      </c>
      <c r="C113" s="3231">
        <v>15520</v>
      </c>
      <c r="D113" s="3231">
        <v>15450</v>
      </c>
      <c r="E113" s="3231"/>
      <c r="F113" s="3231"/>
      <c r="G113" s="3244">
        <v>10210</v>
      </c>
    </row>
    <row r="114" spans="1:7" s="3220" customFormat="1" ht="14.25" customHeight="1">
      <c r="A114" s="3231" t="s">
        <v>303</v>
      </c>
      <c r="B114" s="3231" t="s">
        <v>2953</v>
      </c>
      <c r="C114" s="3231">
        <v>13110</v>
      </c>
      <c r="D114" s="3231">
        <v>13050</v>
      </c>
      <c r="E114" s="3231"/>
      <c r="F114" s="3231"/>
      <c r="G114" s="3244">
        <v>8620</v>
      </c>
    </row>
    <row r="115" spans="1:7" s="3220" customFormat="1" ht="14.25" customHeight="1">
      <c r="A115" s="3231" t="s">
        <v>303</v>
      </c>
      <c r="B115" s="3231" t="s">
        <v>2959</v>
      </c>
      <c r="C115" s="3231">
        <v>12460</v>
      </c>
      <c r="D115" s="3231">
        <v>12390</v>
      </c>
      <c r="E115" s="3231"/>
      <c r="F115" s="3231"/>
      <c r="G115" s="3244">
        <v>8190</v>
      </c>
    </row>
    <row r="116" spans="1:7" s="3220" customFormat="1" ht="14.25" customHeight="1">
      <c r="A116" s="3231" t="s">
        <v>303</v>
      </c>
      <c r="B116" s="3231" t="s">
        <v>2966</v>
      </c>
      <c r="C116" s="3231">
        <v>13580</v>
      </c>
      <c r="D116" s="3231">
        <v>13520</v>
      </c>
      <c r="E116" s="3231"/>
      <c r="F116" s="3231"/>
      <c r="G116" s="3244">
        <v>8930</v>
      </c>
    </row>
    <row r="117" spans="1:7" s="3220" customFormat="1" ht="14.25" customHeight="1">
      <c r="A117" s="3231" t="s">
        <v>303</v>
      </c>
      <c r="B117" s="3231" t="s">
        <v>2973</v>
      </c>
      <c r="C117" s="3231">
        <v>17120</v>
      </c>
      <c r="D117" s="3231">
        <v>17040</v>
      </c>
      <c r="E117" s="3231"/>
      <c r="F117" s="3231"/>
      <c r="G117" s="3244">
        <v>11260</v>
      </c>
    </row>
    <row r="118" spans="1:7" s="3220" customFormat="1" ht="14.25" customHeight="1">
      <c r="A118" s="3231" t="s">
        <v>303</v>
      </c>
      <c r="B118" s="3231" t="s">
        <v>2978</v>
      </c>
      <c r="C118" s="3231">
        <v>14860</v>
      </c>
      <c r="D118" s="3231">
        <v>14790</v>
      </c>
      <c r="E118" s="3231"/>
      <c r="F118" s="3231"/>
      <c r="G118" s="3244">
        <v>9780</v>
      </c>
    </row>
    <row r="119" spans="1:7" s="3220" customFormat="1" ht="14.25" customHeight="1">
      <c r="A119" s="3231" t="s">
        <v>303</v>
      </c>
      <c r="B119" s="3231" t="s">
        <v>2982</v>
      </c>
      <c r="C119" s="3231">
        <v>16470</v>
      </c>
      <c r="D119" s="3231">
        <v>16400</v>
      </c>
      <c r="E119" s="3231"/>
      <c r="F119" s="3231"/>
      <c r="G119" s="3244">
        <v>10840</v>
      </c>
    </row>
    <row r="120" spans="1:7" s="3220" customFormat="1" ht="14.25" customHeight="1">
      <c r="A120" s="3231" t="s">
        <v>303</v>
      </c>
      <c r="B120" s="3231" t="s">
        <v>3068</v>
      </c>
      <c r="C120" s="3231"/>
      <c r="D120" s="3231"/>
      <c r="E120" s="3231"/>
      <c r="F120" s="3231">
        <v>4160</v>
      </c>
      <c r="G120" s="3244"/>
    </row>
    <row r="121" spans="1:7" s="3220" customFormat="1" ht="14.25" customHeight="1">
      <c r="A121" s="3231" t="s">
        <v>303</v>
      </c>
      <c r="B121" s="3231" t="s">
        <v>3069</v>
      </c>
      <c r="C121" s="3231"/>
      <c r="D121" s="3231"/>
      <c r="E121" s="3231"/>
      <c r="F121" s="3231">
        <v>3880</v>
      </c>
      <c r="G121" s="3244"/>
    </row>
    <row r="122" spans="1:7" s="3220" customFormat="1" ht="14.25" customHeight="1">
      <c r="A122" s="3231" t="s">
        <v>303</v>
      </c>
      <c r="B122" s="3231" t="s">
        <v>3070</v>
      </c>
      <c r="C122" s="3231">
        <v>13750</v>
      </c>
      <c r="D122" s="3231">
        <v>13680</v>
      </c>
      <c r="E122" s="3231">
        <v>16460</v>
      </c>
      <c r="F122" s="3231">
        <v>2880</v>
      </c>
      <c r="G122" s="3244">
        <v>9040</v>
      </c>
    </row>
    <row r="123" spans="1:7" s="3220" customFormat="1" ht="14.25" customHeight="1">
      <c r="A123" s="3231" t="s">
        <v>303</v>
      </c>
      <c r="B123" s="3231" t="s">
        <v>3001</v>
      </c>
      <c r="C123" s="3231">
        <v>13590</v>
      </c>
      <c r="D123" s="3231">
        <v>13520</v>
      </c>
      <c r="E123" s="3231">
        <v>16290</v>
      </c>
      <c r="F123" s="3231">
        <v>2790</v>
      </c>
      <c r="G123" s="3244">
        <v>8930</v>
      </c>
    </row>
    <row r="124" spans="1:7" s="3220" customFormat="1" ht="14.25" customHeight="1">
      <c r="A124" s="3231" t="s">
        <v>303</v>
      </c>
      <c r="B124" s="3231" t="s">
        <v>3006</v>
      </c>
      <c r="C124" s="3231">
        <v>13400</v>
      </c>
      <c r="D124" s="3231">
        <v>13320</v>
      </c>
      <c r="E124" s="3231">
        <v>16100</v>
      </c>
      <c r="F124" s="3231">
        <v>2320</v>
      </c>
      <c r="G124" s="3244">
        <v>8800</v>
      </c>
    </row>
    <row r="125" spans="1:7" s="3220" customFormat="1" ht="14.25" customHeight="1">
      <c r="A125" s="3231" t="s">
        <v>303</v>
      </c>
      <c r="B125" s="3231" t="s">
        <v>3011</v>
      </c>
      <c r="C125" s="3231">
        <v>12860</v>
      </c>
      <c r="D125" s="3231">
        <v>12790</v>
      </c>
      <c r="E125" s="3231">
        <v>15370</v>
      </c>
      <c r="F125" s="3231">
        <v>2280</v>
      </c>
      <c r="G125" s="3244">
        <v>8450</v>
      </c>
    </row>
    <row r="126" spans="1:7" s="3220" customFormat="1" ht="14.25" customHeight="1" thickBot="1">
      <c r="A126" s="3245" t="s">
        <v>303</v>
      </c>
      <c r="B126" s="3238" t="s">
        <v>3016</v>
      </c>
      <c r="C126" s="3238">
        <v>12960</v>
      </c>
      <c r="D126" s="3238">
        <v>12890</v>
      </c>
      <c r="E126" s="3238">
        <v>15530</v>
      </c>
      <c r="F126" s="3238">
        <v>2910</v>
      </c>
      <c r="G126" s="3246">
        <v>8520</v>
      </c>
    </row>
    <row r="127" spans="1:7" s="3220" customFormat="1" ht="14.25" customHeight="1">
      <c r="A127" s="3236" t="s">
        <v>29</v>
      </c>
      <c r="B127" s="3227" t="s">
        <v>3071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3072</v>
      </c>
      <c r="C148" s="3231">
        <v>10370</v>
      </c>
      <c r="D148" s="3231">
        <v>10310</v>
      </c>
      <c r="E148" s="3231">
        <v>12970</v>
      </c>
      <c r="F148" s="3231"/>
      <c r="G148" s="3231">
        <v>6630</v>
      </c>
    </row>
    <row r="149" spans="1:7" s="3220" customFormat="1" ht="14.25" customHeight="1">
      <c r="A149" s="3231" t="s">
        <v>29</v>
      </c>
      <c r="B149" s="3231" t="s">
        <v>3073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2947</v>
      </c>
      <c r="C153" s="3231">
        <v>10880</v>
      </c>
      <c r="D153" s="3231">
        <v>10820</v>
      </c>
      <c r="E153" s="3231">
        <v>13660</v>
      </c>
      <c r="F153" s="3231">
        <v>2260</v>
      </c>
      <c r="G153" s="3231">
        <v>6970</v>
      </c>
    </row>
    <row r="154" spans="1:7" s="3220" customFormat="1" ht="14.25" customHeight="1">
      <c r="A154" s="3231" t="s">
        <v>29</v>
      </c>
      <c r="B154" s="3231" t="s">
        <v>3074</v>
      </c>
      <c r="C154" s="3231">
        <v>11220</v>
      </c>
      <c r="D154" s="3231">
        <v>11160</v>
      </c>
      <c r="E154" s="3231">
        <v>14130</v>
      </c>
      <c r="F154" s="3231">
        <v>2230</v>
      </c>
      <c r="G154" s="3231">
        <v>7180</v>
      </c>
    </row>
    <row r="155" spans="1:7" s="3220" customFormat="1" ht="14.25" customHeight="1">
      <c r="A155" s="3231" t="s">
        <v>29</v>
      </c>
      <c r="B155" s="3231" t="s">
        <v>2960</v>
      </c>
      <c r="C155" s="3231">
        <v>10430</v>
      </c>
      <c r="D155" s="3231">
        <v>10380</v>
      </c>
      <c r="E155" s="3231">
        <v>13140</v>
      </c>
      <c r="F155" s="3231">
        <v>2080</v>
      </c>
      <c r="G155" s="3231">
        <v>6650</v>
      </c>
    </row>
    <row r="156" spans="1:7" s="3220" customFormat="1" ht="14.25" customHeight="1">
      <c r="A156" s="3231" t="s">
        <v>29</v>
      </c>
      <c r="B156" s="3231" t="s">
        <v>3075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3076</v>
      </c>
      <c r="C160" s="3231">
        <v>11180</v>
      </c>
      <c r="D160" s="3231">
        <v>11140</v>
      </c>
      <c r="E160" s="3231">
        <v>14050</v>
      </c>
      <c r="F160" s="3231">
        <v>2270</v>
      </c>
      <c r="G160" s="3231">
        <v>7170</v>
      </c>
    </row>
    <row r="161" spans="1:7" s="3220" customFormat="1" ht="14.25" customHeight="1">
      <c r="A161" s="3231" t="s">
        <v>29</v>
      </c>
      <c r="B161" s="3231" t="s">
        <v>2992</v>
      </c>
      <c r="C161" s="3231">
        <v>11160</v>
      </c>
      <c r="D161" s="3231">
        <v>11120</v>
      </c>
      <c r="E161" s="3231">
        <v>14020</v>
      </c>
      <c r="F161" s="3231">
        <v>2150</v>
      </c>
      <c r="G161" s="3231">
        <v>7160</v>
      </c>
    </row>
    <row r="162" spans="1:7" s="3220" customFormat="1" ht="14.25" customHeight="1">
      <c r="A162" s="3231" t="s">
        <v>29</v>
      </c>
      <c r="B162" s="3231" t="s">
        <v>2997</v>
      </c>
      <c r="C162" s="3231">
        <v>9620</v>
      </c>
      <c r="D162" s="3231">
        <v>9570</v>
      </c>
      <c r="E162" s="3231">
        <v>12320</v>
      </c>
      <c r="F162" s="3231">
        <v>2010</v>
      </c>
      <c r="G162" s="3231">
        <v>6160</v>
      </c>
    </row>
    <row r="163" spans="1:7" s="3220" customFormat="1" ht="14.25" customHeight="1">
      <c r="A163" s="3231" t="s">
        <v>29</v>
      </c>
      <c r="B163" s="3231" t="s">
        <v>3002</v>
      </c>
      <c r="C163" s="3231">
        <v>9320</v>
      </c>
      <c r="D163" s="3231">
        <v>9270</v>
      </c>
      <c r="E163" s="3231">
        <v>11790</v>
      </c>
      <c r="F163" s="3231">
        <v>1920</v>
      </c>
      <c r="G163" s="3231">
        <v>5960</v>
      </c>
    </row>
    <row r="164" spans="1:7" s="3220" customFormat="1" ht="14.25" customHeight="1">
      <c r="A164" s="3231" t="s">
        <v>29</v>
      </c>
      <c r="B164" s="3231" t="s">
        <v>3007</v>
      </c>
      <c r="C164" s="3231"/>
      <c r="D164" s="3231"/>
      <c r="E164" s="3231"/>
      <c r="F164" s="3231">
        <v>1980</v>
      </c>
      <c r="G164" s="3231"/>
    </row>
    <row r="165" spans="1:7" s="3220" customFormat="1" ht="14.25" customHeight="1">
      <c r="A165" s="3231" t="s">
        <v>29</v>
      </c>
      <c r="B165" s="3231" t="s">
        <v>3077</v>
      </c>
      <c r="C165" s="3231">
        <v>11060</v>
      </c>
      <c r="D165" s="3231">
        <v>11030</v>
      </c>
      <c r="E165" s="3231">
        <v>13850</v>
      </c>
      <c r="F165" s="3231">
        <v>2170</v>
      </c>
      <c r="G165" s="3231">
        <v>7090</v>
      </c>
    </row>
    <row r="166" spans="1:7" s="3220" customFormat="1" ht="14.25" customHeight="1">
      <c r="A166" s="3231" t="s">
        <v>29</v>
      </c>
      <c r="B166" s="3231" t="s">
        <v>3017</v>
      </c>
      <c r="C166" s="3231">
        <v>11050</v>
      </c>
      <c r="D166" s="3231">
        <v>11010</v>
      </c>
      <c r="E166" s="3231">
        <v>13920</v>
      </c>
      <c r="F166" s="3231">
        <v>2140</v>
      </c>
      <c r="G166" s="3231">
        <v>7080</v>
      </c>
    </row>
    <row r="167" spans="1:7" s="3220" customFormat="1" ht="14.25" customHeight="1">
      <c r="A167" s="3231" t="s">
        <v>29</v>
      </c>
      <c r="B167" s="3231" t="s">
        <v>3021</v>
      </c>
      <c r="C167" s="3231">
        <v>10930</v>
      </c>
      <c r="D167" s="3231">
        <v>10890</v>
      </c>
      <c r="E167" s="3231">
        <v>13790</v>
      </c>
      <c r="F167" s="3231">
        <v>2010</v>
      </c>
      <c r="G167" s="3231">
        <v>7000</v>
      </c>
    </row>
    <row r="168" spans="1:7" s="3220" customFormat="1" ht="14.25" customHeight="1">
      <c r="A168" s="3231" t="s">
        <v>29</v>
      </c>
      <c r="B168" s="3231" t="s">
        <v>3026</v>
      </c>
      <c r="C168" s="3231">
        <v>9420</v>
      </c>
      <c r="D168" s="3231">
        <v>9380</v>
      </c>
      <c r="E168" s="3231">
        <v>11970</v>
      </c>
      <c r="F168" s="3231"/>
      <c r="G168" s="3231">
        <v>6040</v>
      </c>
    </row>
    <row r="169" spans="1:7" s="3220" customFormat="1" ht="14.25" customHeight="1">
      <c r="A169" s="3231" t="s">
        <v>29</v>
      </c>
      <c r="B169" s="3231" t="s">
        <v>3078</v>
      </c>
      <c r="C169" s="3231"/>
      <c r="D169" s="3231"/>
      <c r="E169" s="3231"/>
      <c r="F169" s="3231">
        <v>2880</v>
      </c>
      <c r="G169" s="3231"/>
    </row>
    <row r="170" spans="1:7" s="3220" customFormat="1" ht="14.25" customHeight="1">
      <c r="A170" s="3231" t="s">
        <v>29</v>
      </c>
      <c r="B170" s="3231" t="s">
        <v>3034</v>
      </c>
      <c r="C170" s="3231"/>
      <c r="D170" s="3231"/>
      <c r="E170" s="3231"/>
      <c r="F170" s="3231">
        <v>2880</v>
      </c>
      <c r="G170" s="3231"/>
    </row>
    <row r="171" spans="1:7" s="3220" customFormat="1" ht="14.25" customHeight="1">
      <c r="A171" s="3231" t="s">
        <v>29</v>
      </c>
      <c r="B171" s="3231" t="s">
        <v>3037</v>
      </c>
      <c r="C171" s="3231"/>
      <c r="D171" s="3231"/>
      <c r="E171" s="3231"/>
      <c r="F171" s="3231">
        <v>2880</v>
      </c>
      <c r="G171" s="3231"/>
    </row>
    <row r="172" spans="1:7" s="3220" customFormat="1" ht="14.25" customHeight="1">
      <c r="A172" s="3231" t="s">
        <v>29</v>
      </c>
      <c r="B172" s="3231" t="s">
        <v>3039</v>
      </c>
      <c r="C172" s="3231"/>
      <c r="D172" s="3231"/>
      <c r="E172" s="3231"/>
      <c r="F172" s="3231">
        <v>2880</v>
      </c>
      <c r="G172" s="3231"/>
    </row>
    <row r="173" spans="1:7" s="3220" customFormat="1" ht="14.25" customHeight="1">
      <c r="A173" s="3231" t="s">
        <v>29</v>
      </c>
      <c r="B173" s="3231" t="s">
        <v>3041</v>
      </c>
      <c r="C173" s="3231"/>
      <c r="D173" s="3231"/>
      <c r="E173" s="3231"/>
      <c r="F173" s="3231">
        <v>2150</v>
      </c>
      <c r="G173" s="3231"/>
    </row>
    <row r="174" spans="1:7" s="3220" customFormat="1" ht="14.25" customHeight="1">
      <c r="A174" s="3231" t="s">
        <v>29</v>
      </c>
      <c r="B174" s="3231" t="s">
        <v>3043</v>
      </c>
      <c r="C174" s="3231"/>
      <c r="D174" s="3231"/>
      <c r="E174" s="3231"/>
      <c r="F174" s="3231">
        <v>2030</v>
      </c>
      <c r="G174" s="3231"/>
    </row>
    <row r="175" spans="1:7" s="3220" customFormat="1" ht="14.25" customHeight="1">
      <c r="A175" s="3231" t="s">
        <v>29</v>
      </c>
      <c r="B175" s="3231" t="s">
        <v>3045</v>
      </c>
      <c r="C175" s="3231"/>
      <c r="D175" s="3231"/>
      <c r="E175" s="3231"/>
      <c r="F175" s="3231">
        <v>2780</v>
      </c>
      <c r="G175" s="3231"/>
    </row>
    <row r="176" spans="1:7" s="3220" customFormat="1" ht="14.25" customHeight="1">
      <c r="A176" s="3231" t="s">
        <v>29</v>
      </c>
      <c r="B176" s="3231" t="s">
        <v>3047</v>
      </c>
      <c r="C176" s="3231"/>
      <c r="D176" s="3231"/>
      <c r="E176" s="3231"/>
      <c r="F176" s="3231">
        <v>2780</v>
      </c>
      <c r="G176" s="3231"/>
    </row>
    <row r="177" spans="1:7" s="3220" customFormat="1" ht="14.25" customHeight="1">
      <c r="A177" s="3231" t="s">
        <v>29</v>
      </c>
      <c r="B177" s="3231" t="s">
        <v>3079</v>
      </c>
      <c r="C177" s="3231"/>
      <c r="D177" s="3231"/>
      <c r="E177" s="3231"/>
      <c r="F177" s="3231">
        <v>2780</v>
      </c>
      <c r="G177" s="3231"/>
    </row>
    <row r="178" spans="1:7" s="3220" customFormat="1" ht="14.25" customHeight="1">
      <c r="A178" s="3231" t="s">
        <v>29</v>
      </c>
      <c r="B178" s="3231" t="s">
        <v>3080</v>
      </c>
      <c r="C178" s="3231"/>
      <c r="D178" s="3231"/>
      <c r="E178" s="3231"/>
      <c r="F178" s="3231">
        <v>2060</v>
      </c>
      <c r="G178" s="3231"/>
    </row>
    <row r="179" spans="1:7" s="3220" customFormat="1" ht="14.25" customHeight="1">
      <c r="A179" s="3231" t="s">
        <v>29</v>
      </c>
      <c r="B179" s="3231" t="s">
        <v>3081</v>
      </c>
      <c r="C179" s="3231"/>
      <c r="D179" s="3231"/>
      <c r="E179" s="3231"/>
      <c r="F179" s="3231">
        <v>2120</v>
      </c>
      <c r="G179" s="3231"/>
    </row>
    <row r="180" spans="1:7" s="3220" customFormat="1" ht="14.25" customHeight="1">
      <c r="A180" s="3231" t="s">
        <v>29</v>
      </c>
      <c r="B180" s="3231" t="s">
        <v>3053</v>
      </c>
      <c r="C180" s="3231"/>
      <c r="D180" s="3231"/>
      <c r="E180" s="3231"/>
      <c r="F180" s="3231">
        <v>2340</v>
      </c>
      <c r="G180" s="3231"/>
    </row>
    <row r="181" spans="1:7" s="3220" customFormat="1" ht="14.25" customHeight="1">
      <c r="A181" s="3231" t="s">
        <v>29</v>
      </c>
      <c r="B181" s="3231" t="s">
        <v>3054</v>
      </c>
      <c r="C181" s="3231"/>
      <c r="D181" s="3231"/>
      <c r="E181" s="3231"/>
      <c r="F181" s="3231">
        <v>2340</v>
      </c>
      <c r="G181" s="3231"/>
    </row>
    <row r="182" spans="1:7" s="3220" customFormat="1" ht="14.25" customHeight="1">
      <c r="A182" s="3231" t="s">
        <v>29</v>
      </c>
      <c r="B182" s="3231" t="s">
        <v>3055</v>
      </c>
      <c r="C182" s="3231"/>
      <c r="D182" s="3231"/>
      <c r="E182" s="3231"/>
      <c r="F182" s="3231">
        <v>2340</v>
      </c>
      <c r="G182" s="3231"/>
    </row>
    <row r="183" spans="1:7" s="3220" customFormat="1" ht="14.25" customHeight="1">
      <c r="A183" s="3231" t="s">
        <v>29</v>
      </c>
      <c r="B183" s="3231" t="s">
        <v>3056</v>
      </c>
      <c r="C183" s="3231"/>
      <c r="D183" s="3231"/>
      <c r="E183" s="3231"/>
      <c r="F183" s="3231">
        <v>2340</v>
      </c>
      <c r="G183" s="3231"/>
    </row>
    <row r="184" spans="1:7" s="3220" customFormat="1" ht="14.25" customHeight="1">
      <c r="A184" s="3231" t="s">
        <v>29</v>
      </c>
      <c r="B184" s="3231" t="s">
        <v>3057</v>
      </c>
      <c r="C184" s="3231"/>
      <c r="D184" s="3231"/>
      <c r="E184" s="3231"/>
      <c r="F184" s="3231">
        <v>2340</v>
      </c>
      <c r="G184" s="3231"/>
    </row>
    <row r="185" spans="1:7" s="3220" customFormat="1" ht="14.25" customHeight="1">
      <c r="A185" s="3231" t="s">
        <v>29</v>
      </c>
      <c r="B185" s="3231" t="s">
        <v>3058</v>
      </c>
      <c r="C185" s="3231"/>
      <c r="D185" s="3231"/>
      <c r="E185" s="3231"/>
      <c r="F185" s="3231">
        <v>2530</v>
      </c>
      <c r="G185" s="3231"/>
    </row>
    <row r="186" spans="1:7" s="3220" customFormat="1" ht="14.25" customHeight="1">
      <c r="A186" s="3231" t="s">
        <v>29</v>
      </c>
      <c r="B186" s="3231" t="s">
        <v>3059</v>
      </c>
      <c r="C186" s="3231"/>
      <c r="D186" s="3231"/>
      <c r="E186" s="3231"/>
      <c r="F186" s="3231">
        <v>2550</v>
      </c>
      <c r="G186" s="3231"/>
    </row>
    <row r="187" spans="1:7" s="3220" customFormat="1" ht="14.25" customHeight="1">
      <c r="A187" s="3231" t="s">
        <v>29</v>
      </c>
      <c r="B187" s="3231" t="s">
        <v>3060</v>
      </c>
      <c r="C187" s="3231"/>
      <c r="D187" s="3231"/>
      <c r="E187" s="3231"/>
      <c r="F187" s="3231">
        <v>2070</v>
      </c>
      <c r="G187" s="3231"/>
    </row>
    <row r="188" spans="1:7" s="3220" customFormat="1" ht="14.25" customHeight="1">
      <c r="A188" s="3231" t="s">
        <v>29</v>
      </c>
      <c r="B188" s="3231" t="s">
        <v>3061</v>
      </c>
      <c r="C188" s="3231"/>
      <c r="D188" s="3231"/>
      <c r="E188" s="3231"/>
      <c r="F188" s="3231">
        <v>2340</v>
      </c>
      <c r="G188" s="3231"/>
    </row>
    <row r="189" spans="1:7" s="3220" customFormat="1" ht="14.25" customHeight="1" thickBot="1">
      <c r="A189" s="3239" t="s">
        <v>29</v>
      </c>
      <c r="B189" s="3242" t="s">
        <v>3062</v>
      </c>
      <c r="C189" s="3242"/>
      <c r="D189" s="3242"/>
      <c r="E189" s="3242"/>
      <c r="F189" s="3242">
        <v>2050</v>
      </c>
      <c r="G189" s="3242"/>
    </row>
    <row r="190" spans="1:7" s="3220" customFormat="1" ht="14.25" customHeight="1">
      <c r="A190" s="3236" t="s">
        <v>304</v>
      </c>
      <c r="B190" s="3227" t="s">
        <v>3082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3083</v>
      </c>
      <c r="C199" s="3231">
        <v>8690</v>
      </c>
      <c r="D199" s="3231">
        <v>8630</v>
      </c>
      <c r="E199" s="3231">
        <v>11350</v>
      </c>
      <c r="F199" s="3231">
        <v>1600</v>
      </c>
      <c r="G199" s="3244">
        <v>5450</v>
      </c>
    </row>
    <row r="200" spans="1:7" s="3220" customFormat="1" ht="14.25" customHeight="1">
      <c r="A200" s="3231" t="s">
        <v>304</v>
      </c>
      <c r="B200" s="3231" t="s">
        <v>2894</v>
      </c>
      <c r="C200" s="3231"/>
      <c r="D200" s="3231"/>
      <c r="E200" s="3231"/>
      <c r="F200" s="3231">
        <v>1510</v>
      </c>
      <c r="G200" s="3244"/>
    </row>
    <row r="201" spans="1:7" s="3220" customFormat="1" ht="14.25" customHeight="1">
      <c r="A201" s="3231" t="s">
        <v>304</v>
      </c>
      <c r="B201" s="3231" t="s">
        <v>3084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3085</v>
      </c>
      <c r="C203" s="3231">
        <v>8130</v>
      </c>
      <c r="D203" s="3231">
        <v>8070</v>
      </c>
      <c r="E203" s="3231">
        <v>10820</v>
      </c>
      <c r="F203" s="3231">
        <v>1690</v>
      </c>
      <c r="G203" s="3244">
        <v>5100</v>
      </c>
    </row>
    <row r="204" spans="1:7" s="3220" customFormat="1" ht="14.25" customHeight="1">
      <c r="A204" s="3231" t="s">
        <v>304</v>
      </c>
      <c r="B204" s="3231" t="s">
        <v>2905</v>
      </c>
      <c r="C204" s="3231">
        <v>8350</v>
      </c>
      <c r="D204" s="3231">
        <v>8290</v>
      </c>
      <c r="E204" s="3231">
        <v>11080</v>
      </c>
      <c r="F204" s="3231">
        <v>1450</v>
      </c>
      <c r="G204" s="3244">
        <v>5240</v>
      </c>
    </row>
    <row r="205" spans="1:7" s="3220" customFormat="1" ht="14.25" customHeight="1">
      <c r="A205" s="3231" t="s">
        <v>304</v>
      </c>
      <c r="B205" s="3231" t="s">
        <v>2907</v>
      </c>
      <c r="C205" s="3231">
        <v>7190</v>
      </c>
      <c r="D205" s="3231">
        <v>7130</v>
      </c>
      <c r="E205" s="3231">
        <v>9490</v>
      </c>
      <c r="F205" s="3231">
        <v>1470</v>
      </c>
      <c r="G205" s="3244">
        <v>4510</v>
      </c>
    </row>
    <row r="206" spans="1:7" s="3220" customFormat="1" ht="14.25" customHeight="1">
      <c r="A206" s="3231" t="s">
        <v>304</v>
      </c>
      <c r="B206" s="3231" t="s">
        <v>2910</v>
      </c>
      <c r="C206" s="3231">
        <v>7000</v>
      </c>
      <c r="D206" s="3231">
        <v>6950</v>
      </c>
      <c r="E206" s="3231">
        <v>9170</v>
      </c>
      <c r="F206" s="3231">
        <v>1400</v>
      </c>
      <c r="G206" s="3244">
        <v>4380</v>
      </c>
    </row>
    <row r="207" spans="1:7" s="3220" customFormat="1" ht="14.25" customHeight="1">
      <c r="A207" s="3231" t="s">
        <v>304</v>
      </c>
      <c r="B207" s="3231" t="s">
        <v>2912</v>
      </c>
      <c r="C207" s="3231">
        <v>6950</v>
      </c>
      <c r="D207" s="3231">
        <v>6900</v>
      </c>
      <c r="E207" s="3231">
        <v>9110</v>
      </c>
      <c r="F207" s="3231">
        <v>1790</v>
      </c>
      <c r="G207" s="3244">
        <v>4360</v>
      </c>
    </row>
    <row r="208" spans="1:7" s="3220" customFormat="1" ht="14.25" customHeight="1">
      <c r="A208" s="3231" t="s">
        <v>304</v>
      </c>
      <c r="B208" s="3231" t="s">
        <v>3086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2922</v>
      </c>
      <c r="C210" s="3231">
        <v>8710</v>
      </c>
      <c r="D210" s="3231">
        <v>8660</v>
      </c>
      <c r="E210" s="3231">
        <v>11440</v>
      </c>
      <c r="F210" s="3231">
        <v>1740</v>
      </c>
      <c r="G210" s="3244">
        <v>5470</v>
      </c>
    </row>
    <row r="211" spans="1:7" s="3220" customFormat="1" ht="14.25" customHeight="1">
      <c r="A211" s="3231" t="s">
        <v>304</v>
      </c>
      <c r="B211" s="3231" t="s">
        <v>3087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3088</v>
      </c>
      <c r="C214" s="3231">
        <v>8090</v>
      </c>
      <c r="D214" s="3231">
        <v>8030</v>
      </c>
      <c r="E214" s="3231">
        <v>10780</v>
      </c>
      <c r="F214" s="3231">
        <v>1570</v>
      </c>
      <c r="G214" s="3244">
        <v>5070</v>
      </c>
    </row>
    <row r="215" spans="1:7" s="3220" customFormat="1" ht="14.25" customHeight="1">
      <c r="A215" s="3231" t="s">
        <v>304</v>
      </c>
      <c r="B215" s="3231" t="s">
        <v>3089</v>
      </c>
      <c r="C215" s="3231">
        <v>7950</v>
      </c>
      <c r="D215" s="3231">
        <v>7900</v>
      </c>
      <c r="E215" s="3231">
        <v>10560</v>
      </c>
      <c r="F215" s="3231">
        <v>1630</v>
      </c>
      <c r="G215" s="3244">
        <v>4990</v>
      </c>
    </row>
    <row r="216" spans="1:7" s="3220" customFormat="1" ht="14.25" customHeight="1">
      <c r="A216" s="3231" t="s">
        <v>304</v>
      </c>
      <c r="B216" s="3231" t="s">
        <v>3090</v>
      </c>
      <c r="C216" s="3231">
        <v>8490</v>
      </c>
      <c r="D216" s="3231">
        <v>8440</v>
      </c>
      <c r="E216" s="3231">
        <v>11260</v>
      </c>
      <c r="F216" s="3231">
        <v>1690</v>
      </c>
      <c r="G216" s="3244">
        <v>5330</v>
      </c>
    </row>
    <row r="217" spans="1:7" s="3220" customFormat="1" ht="14.25" customHeight="1">
      <c r="A217" s="3231" t="s">
        <v>304</v>
      </c>
      <c r="B217" s="3231" t="s">
        <v>2955</v>
      </c>
      <c r="C217" s="3231">
        <v>8200</v>
      </c>
      <c r="D217" s="3231">
        <v>8150</v>
      </c>
      <c r="E217" s="3231">
        <v>10910</v>
      </c>
      <c r="F217" s="3231">
        <v>1670</v>
      </c>
      <c r="G217" s="3244">
        <v>5150</v>
      </c>
    </row>
    <row r="218" spans="1:7" s="3220" customFormat="1" ht="14.25" customHeight="1">
      <c r="A218" s="3231" t="s">
        <v>304</v>
      </c>
      <c r="B218" s="3231" t="s">
        <v>3091</v>
      </c>
      <c r="C218" s="3231"/>
      <c r="D218" s="3231"/>
      <c r="E218" s="3231"/>
      <c r="F218" s="3231">
        <v>2040</v>
      </c>
      <c r="G218" s="3244"/>
    </row>
    <row r="219" spans="1:7" s="3220" customFormat="1" ht="14.25" customHeight="1">
      <c r="A219" s="3231" t="s">
        <v>304</v>
      </c>
      <c r="B219" s="3231" t="s">
        <v>3092</v>
      </c>
      <c r="C219" s="3231"/>
      <c r="D219" s="3231"/>
      <c r="E219" s="3231"/>
      <c r="F219" s="3231">
        <v>2040</v>
      </c>
      <c r="G219" s="3244"/>
    </row>
    <row r="220" spans="1:7" s="3220" customFormat="1" ht="14.25" customHeight="1">
      <c r="A220" s="3231" t="s">
        <v>304</v>
      </c>
      <c r="B220" s="3231" t="s">
        <v>3093</v>
      </c>
      <c r="C220" s="3231"/>
      <c r="D220" s="3231"/>
      <c r="E220" s="3231"/>
      <c r="F220" s="3231">
        <v>2040</v>
      </c>
      <c r="G220" s="3244"/>
    </row>
    <row r="221" spans="1:7" s="3220" customFormat="1" ht="14.25" customHeight="1">
      <c r="A221" s="3231" t="s">
        <v>304</v>
      </c>
      <c r="B221" s="3231" t="s">
        <v>3094</v>
      </c>
      <c r="C221" s="3231"/>
      <c r="D221" s="3231"/>
      <c r="E221" s="3231"/>
      <c r="F221" s="3231">
        <v>2040</v>
      </c>
      <c r="G221" s="3244"/>
    </row>
    <row r="222" spans="1:7" s="3220" customFormat="1" ht="14.25" customHeight="1">
      <c r="A222" s="3231" t="s">
        <v>304</v>
      </c>
      <c r="B222" s="3231" t="s">
        <v>3095</v>
      </c>
      <c r="C222" s="3231"/>
      <c r="D222" s="3231"/>
      <c r="E222" s="3231"/>
      <c r="F222" s="3231">
        <v>2040</v>
      </c>
      <c r="G222" s="3244"/>
    </row>
    <row r="223" spans="1:7" s="3220" customFormat="1" ht="14.25" customHeight="1">
      <c r="A223" s="3231" t="s">
        <v>304</v>
      </c>
      <c r="B223" s="3231" t="s">
        <v>3096</v>
      </c>
      <c r="C223" s="3231"/>
      <c r="D223" s="3231"/>
      <c r="E223" s="3231"/>
      <c r="F223" s="3231">
        <v>1930</v>
      </c>
      <c r="G223" s="3244"/>
    </row>
    <row r="224" spans="1:7" s="3220" customFormat="1" ht="14.25" customHeight="1">
      <c r="A224" s="3231" t="s">
        <v>304</v>
      </c>
      <c r="B224" s="3231" t="s">
        <v>3097</v>
      </c>
      <c r="C224" s="3231"/>
      <c r="D224" s="3231"/>
      <c r="E224" s="3231"/>
      <c r="F224" s="3231">
        <v>1930</v>
      </c>
      <c r="G224" s="3244"/>
    </row>
    <row r="225" spans="1:7" s="3220" customFormat="1" ht="14.25" customHeight="1">
      <c r="A225" s="3231" t="s">
        <v>304</v>
      </c>
      <c r="B225" s="3231" t="s">
        <v>3098</v>
      </c>
      <c r="C225" s="3231"/>
      <c r="D225" s="3231"/>
      <c r="E225" s="3231"/>
      <c r="F225" s="3231">
        <v>1930</v>
      </c>
      <c r="G225" s="3244"/>
    </row>
    <row r="226" spans="1:7" s="3220" customFormat="1" ht="14.25" customHeight="1">
      <c r="A226" s="3231" t="s">
        <v>304</v>
      </c>
      <c r="B226" s="3231" t="s">
        <v>3099</v>
      </c>
      <c r="C226" s="3231"/>
      <c r="D226" s="3231"/>
      <c r="E226" s="3231"/>
      <c r="F226" s="3231">
        <v>1700</v>
      </c>
      <c r="G226" s="3244"/>
    </row>
    <row r="227" spans="1:7" s="3220" customFormat="1" ht="14.25" customHeight="1">
      <c r="A227" s="3231" t="s">
        <v>304</v>
      </c>
      <c r="B227" s="3231" t="s">
        <v>3100</v>
      </c>
      <c r="C227" s="3231"/>
      <c r="D227" s="3231"/>
      <c r="E227" s="3231"/>
      <c r="F227" s="3231">
        <v>1520</v>
      </c>
      <c r="G227" s="3244"/>
    </row>
    <row r="228" spans="1:7" s="3220" customFormat="1" ht="14.25" customHeight="1">
      <c r="A228" s="3231" t="s">
        <v>304</v>
      </c>
      <c r="B228" s="3231" t="s">
        <v>3101</v>
      </c>
      <c r="C228" s="3231"/>
      <c r="D228" s="3231"/>
      <c r="E228" s="3231"/>
      <c r="F228" s="3231">
        <v>1520</v>
      </c>
      <c r="G228" s="3244"/>
    </row>
    <row r="229" spans="1:7" s="3220" customFormat="1" ht="14.25" customHeight="1">
      <c r="A229" s="3231" t="s">
        <v>304</v>
      </c>
      <c r="B229" s="3231" t="s">
        <v>3018</v>
      </c>
      <c r="C229" s="3231"/>
      <c r="D229" s="3231"/>
      <c r="E229" s="3231"/>
      <c r="F229" s="3231">
        <v>1520</v>
      </c>
      <c r="G229" s="3244"/>
    </row>
    <row r="230" spans="1:7" s="3220" customFormat="1" ht="14.25" customHeight="1">
      <c r="A230" s="3231" t="s">
        <v>304</v>
      </c>
      <c r="B230" s="3231" t="s">
        <v>3102</v>
      </c>
      <c r="C230" s="3231"/>
      <c r="D230" s="3231"/>
      <c r="E230" s="3231"/>
      <c r="F230" s="3231">
        <v>1820</v>
      </c>
      <c r="G230" s="3244"/>
    </row>
    <row r="231" spans="1:7" s="3220" customFormat="1" ht="14.25" customHeight="1">
      <c r="A231" s="3231" t="s">
        <v>304</v>
      </c>
      <c r="B231" s="3231" t="s">
        <v>3103</v>
      </c>
      <c r="C231" s="3231"/>
      <c r="D231" s="3231"/>
      <c r="E231" s="3231"/>
      <c r="F231" s="3231">
        <v>1760</v>
      </c>
      <c r="G231" s="3244"/>
    </row>
    <row r="232" spans="1:7" s="3220" customFormat="1" ht="14.25" customHeight="1">
      <c r="A232" s="3231" t="s">
        <v>304</v>
      </c>
      <c r="B232" s="3231" t="s">
        <v>3104</v>
      </c>
      <c r="C232" s="3231"/>
      <c r="D232" s="3231"/>
      <c r="E232" s="3231"/>
      <c r="F232" s="3231">
        <v>1840</v>
      </c>
      <c r="G232" s="3244"/>
    </row>
    <row r="233" spans="1:7" s="3220" customFormat="1" ht="14.25" customHeight="1" thickBot="1">
      <c r="A233" s="3245" t="s">
        <v>304</v>
      </c>
      <c r="B233" s="3238" t="s">
        <v>3035</v>
      </c>
      <c r="C233" s="3238"/>
      <c r="D233" s="3238"/>
      <c r="E233" s="3238"/>
      <c r="F233" s="3238">
        <v>1770</v>
      </c>
      <c r="G233" s="3246"/>
    </row>
    <row r="234" spans="1:7" s="3220" customFormat="1" ht="14.25" customHeight="1">
      <c r="A234" s="3236" t="s">
        <v>305</v>
      </c>
      <c r="B234" s="3227" t="s">
        <v>3105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2876</v>
      </c>
      <c r="C238" s="3231">
        <v>6920</v>
      </c>
      <c r="D238" s="3231">
        <v>6890</v>
      </c>
      <c r="E238" s="3231">
        <v>8640</v>
      </c>
      <c r="F238" s="3231">
        <v>1310</v>
      </c>
      <c r="G238" s="3231">
        <v>4230</v>
      </c>
    </row>
    <row r="239" spans="1:7" s="3220" customFormat="1" ht="14.25" customHeight="1">
      <c r="A239" s="3231" t="s">
        <v>305</v>
      </c>
      <c r="B239" s="3231" t="s">
        <v>3106</v>
      </c>
      <c r="C239" s="3231">
        <v>6780</v>
      </c>
      <c r="D239" s="3231">
        <v>6750</v>
      </c>
      <c r="E239" s="3231">
        <v>8440</v>
      </c>
      <c r="F239" s="3231">
        <v>1160</v>
      </c>
      <c r="G239" s="3231">
        <v>4140</v>
      </c>
    </row>
    <row r="240" spans="1:7" s="3220" customFormat="1" ht="14.25" customHeight="1">
      <c r="A240" s="3231" t="s">
        <v>305</v>
      </c>
      <c r="B240" s="3231" t="s">
        <v>3107</v>
      </c>
      <c r="C240" s="3231">
        <v>5420</v>
      </c>
      <c r="D240" s="3231">
        <v>5380</v>
      </c>
      <c r="E240" s="3231">
        <v>6640</v>
      </c>
      <c r="F240" s="3231">
        <v>1020</v>
      </c>
      <c r="G240" s="3231">
        <v>3300</v>
      </c>
    </row>
    <row r="241" spans="1:7" s="3220" customFormat="1" ht="14.25" customHeight="1">
      <c r="A241" s="3231" t="s">
        <v>305</v>
      </c>
      <c r="B241" s="3231" t="s">
        <v>3108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3109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2938</v>
      </c>
      <c r="C258" s="3231">
        <v>6190</v>
      </c>
      <c r="D258" s="3231">
        <v>6160</v>
      </c>
      <c r="E258" s="3231">
        <v>7680</v>
      </c>
      <c r="F258" s="3231">
        <v>1170</v>
      </c>
      <c r="G258" s="3231">
        <v>3780</v>
      </c>
    </row>
    <row r="259" spans="1:7" s="3220" customFormat="1" ht="14.25" customHeight="1">
      <c r="A259" s="3231" t="s">
        <v>305</v>
      </c>
      <c r="B259" s="3231" t="s">
        <v>3114</v>
      </c>
      <c r="C259" s="3231">
        <v>7610</v>
      </c>
      <c r="D259" s="3231">
        <v>7570</v>
      </c>
      <c r="E259" s="3231">
        <v>9350</v>
      </c>
      <c r="F259" s="3231">
        <v>1350</v>
      </c>
      <c r="G259" s="3231">
        <v>4650</v>
      </c>
    </row>
    <row r="260" spans="1:7" s="3220" customFormat="1" ht="14.25" customHeight="1">
      <c r="A260" s="3231" t="s">
        <v>305</v>
      </c>
      <c r="B260" s="3231" t="s">
        <v>3115</v>
      </c>
      <c r="C260" s="3231">
        <v>6920</v>
      </c>
      <c r="D260" s="3231">
        <v>6880</v>
      </c>
      <c r="E260" s="3231">
        <v>8380</v>
      </c>
      <c r="F260" s="3231">
        <v>1160</v>
      </c>
      <c r="G260" s="3231">
        <v>4220</v>
      </c>
    </row>
    <row r="261" spans="1:7" s="3220" customFormat="1" ht="14.25" customHeight="1">
      <c r="A261" s="3231" t="s">
        <v>305</v>
      </c>
      <c r="B261" s="3231" t="s">
        <v>3116</v>
      </c>
      <c r="C261" s="3231">
        <v>6850</v>
      </c>
      <c r="D261" s="3231">
        <v>6810</v>
      </c>
      <c r="E261" s="3231">
        <v>8290</v>
      </c>
      <c r="F261" s="3231">
        <v>1130</v>
      </c>
      <c r="G261" s="3231">
        <v>4180</v>
      </c>
    </row>
    <row r="262" spans="1:7" s="3220" customFormat="1" ht="14.25" customHeight="1">
      <c r="A262" s="3231" t="s">
        <v>305</v>
      </c>
      <c r="B262" s="3231" t="s">
        <v>3117</v>
      </c>
      <c r="C262" s="3231">
        <v>5860</v>
      </c>
      <c r="D262" s="3231">
        <v>5820</v>
      </c>
      <c r="E262" s="3231">
        <v>7640</v>
      </c>
      <c r="F262" s="3231">
        <v>1070</v>
      </c>
      <c r="G262" s="3231">
        <v>3570</v>
      </c>
    </row>
    <row r="263" spans="1:7" s="3220" customFormat="1" ht="14.25" customHeight="1">
      <c r="A263" s="3231" t="s">
        <v>305</v>
      </c>
      <c r="B263" s="3231" t="s">
        <v>3118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3119</v>
      </c>
      <c r="C265" s="3231"/>
      <c r="D265" s="3231"/>
      <c r="E265" s="3231"/>
      <c r="F265" s="3231">
        <v>1500</v>
      </c>
      <c r="G265" s="3231"/>
    </row>
    <row r="266" spans="1:7" s="3220" customFormat="1" ht="14.25" customHeight="1">
      <c r="A266" s="3231" t="s">
        <v>305</v>
      </c>
      <c r="B266" s="3231" t="s">
        <v>3120</v>
      </c>
      <c r="C266" s="3231"/>
      <c r="D266" s="3231"/>
      <c r="E266" s="3231"/>
      <c r="F266" s="3231">
        <v>1500</v>
      </c>
      <c r="G266" s="3231"/>
    </row>
    <row r="267" spans="1:7" s="3220" customFormat="1" ht="14.25" customHeight="1">
      <c r="A267" s="3231" t="s">
        <v>305</v>
      </c>
      <c r="B267" s="3231" t="s">
        <v>3121</v>
      </c>
      <c r="C267" s="3231"/>
      <c r="D267" s="3231"/>
      <c r="E267" s="3231"/>
      <c r="F267" s="3231">
        <v>1500</v>
      </c>
      <c r="G267" s="3231"/>
    </row>
    <row r="268" spans="1:7" s="3220" customFormat="1" ht="14.25" customHeight="1">
      <c r="A268" s="3231" t="s">
        <v>305</v>
      </c>
      <c r="B268" s="3231" t="s">
        <v>3122</v>
      </c>
      <c r="C268" s="3231"/>
      <c r="D268" s="3231"/>
      <c r="E268" s="3231"/>
      <c r="F268" s="3231">
        <v>1290</v>
      </c>
      <c r="G268" s="3231"/>
    </row>
    <row r="269" spans="1:7" s="3220" customFormat="1" ht="14.25" customHeight="1">
      <c r="A269" s="3231" t="s">
        <v>305</v>
      </c>
      <c r="B269" s="3231" t="s">
        <v>3123</v>
      </c>
      <c r="C269" s="3231"/>
      <c r="D269" s="3231"/>
      <c r="E269" s="3231"/>
      <c r="F269" s="3231">
        <v>1150</v>
      </c>
      <c r="G269" s="3231"/>
    </row>
    <row r="270" spans="1:7" s="3220" customFormat="1" ht="14.25" customHeight="1">
      <c r="A270" s="3231" t="s">
        <v>305</v>
      </c>
      <c r="B270" s="3231" t="s">
        <v>3124</v>
      </c>
      <c r="C270" s="3231"/>
      <c r="D270" s="3231"/>
      <c r="E270" s="3231"/>
      <c r="F270" s="3231">
        <v>1380</v>
      </c>
      <c r="G270" s="3231"/>
    </row>
    <row r="271" spans="1:7" s="3220" customFormat="1" ht="14.25" customHeight="1">
      <c r="A271" s="3231" t="s">
        <v>305</v>
      </c>
      <c r="B271" s="3231" t="s">
        <v>3125</v>
      </c>
      <c r="C271" s="3231"/>
      <c r="D271" s="3231"/>
      <c r="E271" s="3231"/>
      <c r="F271" s="3231">
        <v>1460</v>
      </c>
      <c r="G271" s="3231"/>
    </row>
    <row r="272" spans="1:7" s="3220" customFormat="1" ht="14.25" customHeight="1">
      <c r="A272" s="3231" t="s">
        <v>305</v>
      </c>
      <c r="B272" s="3231" t="s">
        <v>3126</v>
      </c>
      <c r="C272" s="3231"/>
      <c r="D272" s="3231"/>
      <c r="E272" s="3231"/>
      <c r="F272" s="3231">
        <v>1460</v>
      </c>
      <c r="G272" s="3231"/>
    </row>
    <row r="273" spans="1:7" s="3220" customFormat="1" ht="14.25" customHeight="1">
      <c r="A273" s="3231" t="s">
        <v>305</v>
      </c>
      <c r="B273" s="3231" t="s">
        <v>3019</v>
      </c>
      <c r="C273" s="3231"/>
      <c r="D273" s="3231"/>
      <c r="E273" s="3231"/>
      <c r="F273" s="3231">
        <v>1490</v>
      </c>
      <c r="G273" s="3231"/>
    </row>
    <row r="274" spans="1:7" s="3220" customFormat="1" ht="14.25" customHeight="1">
      <c r="A274" s="3231" t="s">
        <v>305</v>
      </c>
      <c r="B274" s="3231" t="s">
        <v>3127</v>
      </c>
      <c r="C274" s="3231"/>
      <c r="D274" s="3231"/>
      <c r="E274" s="3231"/>
      <c r="F274" s="3231">
        <v>1490</v>
      </c>
      <c r="G274" s="3231"/>
    </row>
    <row r="275" spans="1:7" s="3220" customFormat="1" ht="14.25" customHeight="1">
      <c r="A275" s="3231" t="s">
        <v>305</v>
      </c>
      <c r="B275" s="3231" t="s">
        <v>3128</v>
      </c>
      <c r="C275" s="3231"/>
      <c r="D275" s="3231"/>
      <c r="E275" s="3231"/>
      <c r="F275" s="3231">
        <v>1220</v>
      </c>
      <c r="G275" s="3231"/>
    </row>
    <row r="276" spans="1:7" s="3220" customFormat="1" ht="14.25" customHeight="1" thickBot="1">
      <c r="A276" s="3239" t="s">
        <v>305</v>
      </c>
      <c r="B276" s="3241" t="s">
        <v>3129</v>
      </c>
      <c r="C276" s="3242"/>
      <c r="D276" s="3242"/>
      <c r="E276" s="3242"/>
      <c r="F276" s="3242">
        <v>1380</v>
      </c>
      <c r="G276" s="3242"/>
    </row>
    <row r="277" spans="1:7" s="3220" customFormat="1" ht="14.25" customHeight="1">
      <c r="A277" s="3236" t="s">
        <v>306</v>
      </c>
      <c r="B277" s="3227" t="s">
        <v>3130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3131</v>
      </c>
      <c r="C279" s="3231">
        <v>4760</v>
      </c>
      <c r="D279" s="3231">
        <v>4720</v>
      </c>
      <c r="E279" s="3231">
        <v>5540</v>
      </c>
      <c r="F279" s="3231">
        <v>810</v>
      </c>
      <c r="G279" s="3244">
        <v>2850</v>
      </c>
    </row>
    <row r="280" spans="1:7" s="3220" customFormat="1" ht="14.25" customHeight="1">
      <c r="A280" s="3231" t="s">
        <v>306</v>
      </c>
      <c r="B280" s="3231" t="s">
        <v>3132</v>
      </c>
      <c r="C280" s="3231">
        <v>4010</v>
      </c>
      <c r="D280" s="3231">
        <v>3950</v>
      </c>
      <c r="E280" s="3231">
        <v>4710</v>
      </c>
      <c r="F280" s="3231">
        <v>800</v>
      </c>
      <c r="G280" s="3244">
        <v>2390</v>
      </c>
    </row>
    <row r="281" spans="1:7" s="3220" customFormat="1" ht="14.25" customHeight="1">
      <c r="A281" s="3231" t="s">
        <v>306</v>
      </c>
      <c r="B281" s="3231" t="s">
        <v>3133</v>
      </c>
      <c r="C281" s="3231">
        <v>4480</v>
      </c>
      <c r="D281" s="3231">
        <v>4420</v>
      </c>
      <c r="E281" s="3231">
        <v>5230</v>
      </c>
      <c r="F281" s="3231">
        <v>870</v>
      </c>
      <c r="G281" s="3244">
        <v>2660</v>
      </c>
    </row>
    <row r="282" spans="1:7" s="3220" customFormat="1" ht="14.25" customHeight="1">
      <c r="A282" s="3231" t="s">
        <v>306</v>
      </c>
      <c r="B282" s="3231" t="s">
        <v>3134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2911</v>
      </c>
      <c r="C293" s="3231">
        <v>5320</v>
      </c>
      <c r="D293" s="3231">
        <v>5270</v>
      </c>
      <c r="E293" s="3231">
        <v>6160</v>
      </c>
      <c r="F293" s="3231">
        <v>990</v>
      </c>
      <c r="G293" s="3244">
        <v>3170</v>
      </c>
    </row>
    <row r="294" spans="1:7" s="3220" customFormat="1" ht="14.25" customHeight="1">
      <c r="A294" s="3231" t="s">
        <v>306</v>
      </c>
      <c r="B294" s="3231" t="s">
        <v>3137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3138</v>
      </c>
      <c r="C302" s="3231">
        <v>5520</v>
      </c>
      <c r="D302" s="3231">
        <v>5470</v>
      </c>
      <c r="E302" s="3231">
        <v>6410</v>
      </c>
      <c r="F302" s="3231">
        <v>950</v>
      </c>
      <c r="G302" s="3244">
        <v>3300</v>
      </c>
    </row>
    <row r="303" spans="1:7" s="3220" customFormat="1" ht="14.25" customHeight="1">
      <c r="A303" s="3231" t="s">
        <v>306</v>
      </c>
      <c r="B303" s="3231" t="s">
        <v>2950</v>
      </c>
      <c r="C303" s="3231">
        <v>5630</v>
      </c>
      <c r="D303" s="3231">
        <v>5590</v>
      </c>
      <c r="E303" s="3231">
        <v>6550</v>
      </c>
      <c r="F303" s="3231">
        <v>1010</v>
      </c>
      <c r="G303" s="3244">
        <v>3370</v>
      </c>
    </row>
    <row r="304" spans="1:7" s="3220" customFormat="1" ht="14.25" customHeight="1">
      <c r="A304" s="3231" t="s">
        <v>306</v>
      </c>
      <c r="B304" s="3231" t="s">
        <v>2957</v>
      </c>
      <c r="C304" s="3231">
        <v>5680</v>
      </c>
      <c r="D304" s="3231">
        <v>5620</v>
      </c>
      <c r="E304" s="3231">
        <v>6620</v>
      </c>
      <c r="F304" s="3231">
        <v>1050</v>
      </c>
      <c r="G304" s="3244">
        <v>3390</v>
      </c>
    </row>
    <row r="305" spans="1:7" s="3220" customFormat="1" ht="14.25" customHeight="1">
      <c r="A305" s="3231" t="s">
        <v>306</v>
      </c>
      <c r="B305" s="3231" t="s">
        <v>2963</v>
      </c>
      <c r="C305" s="3231">
        <v>5590</v>
      </c>
      <c r="D305" s="3231">
        <v>5530</v>
      </c>
      <c r="E305" s="3231">
        <v>6460</v>
      </c>
      <c r="F305" s="3231">
        <v>900</v>
      </c>
      <c r="G305" s="3244">
        <v>3340</v>
      </c>
    </row>
    <row r="306" spans="1:7" s="3220" customFormat="1" ht="14.25" customHeight="1">
      <c r="A306" s="3231" t="s">
        <v>306</v>
      </c>
      <c r="B306" s="3231" t="s">
        <v>3139</v>
      </c>
      <c r="C306" s="3231">
        <v>5560</v>
      </c>
      <c r="D306" s="3231">
        <v>5510</v>
      </c>
      <c r="E306" s="3231">
        <v>6440</v>
      </c>
      <c r="F306" s="3231">
        <v>900</v>
      </c>
      <c r="G306" s="3244">
        <v>3320</v>
      </c>
    </row>
    <row r="307" spans="1:7" s="3220" customFormat="1" ht="14.25" customHeight="1">
      <c r="A307" s="3231" t="s">
        <v>306</v>
      </c>
      <c r="B307" s="3231" t="s">
        <v>2975</v>
      </c>
      <c r="C307" s="3231">
        <v>5650</v>
      </c>
      <c r="D307" s="3231">
        <v>5600</v>
      </c>
      <c r="E307" s="3231">
        <v>6590</v>
      </c>
      <c r="F307" s="3231">
        <v>930</v>
      </c>
      <c r="G307" s="3244">
        <v>3380</v>
      </c>
    </row>
    <row r="308" spans="1:7" s="3220" customFormat="1" ht="14.25" customHeight="1">
      <c r="A308" s="3231" t="s">
        <v>306</v>
      </c>
      <c r="B308" s="3231" t="s">
        <v>3140</v>
      </c>
      <c r="C308" s="3231">
        <v>5620</v>
      </c>
      <c r="D308" s="3231">
        <v>5580</v>
      </c>
      <c r="E308" s="3231">
        <v>6540</v>
      </c>
      <c r="F308" s="3231">
        <v>910</v>
      </c>
      <c r="G308" s="3244">
        <v>3370</v>
      </c>
    </row>
    <row r="309" spans="1:7" s="3220" customFormat="1" ht="14.25" customHeight="1">
      <c r="A309" s="3231" t="s">
        <v>306</v>
      </c>
      <c r="B309" s="3231" t="s">
        <v>3141</v>
      </c>
      <c r="C309" s="3231">
        <v>5060</v>
      </c>
      <c r="D309" s="3231">
        <v>5020</v>
      </c>
      <c r="E309" s="3231">
        <v>6370</v>
      </c>
      <c r="F309" s="3231">
        <v>800</v>
      </c>
      <c r="G309" s="3244">
        <v>3020</v>
      </c>
    </row>
    <row r="310" spans="1:7" s="3220" customFormat="1" ht="14.25" customHeight="1">
      <c r="A310" s="3231" t="s">
        <v>306</v>
      </c>
      <c r="B310" s="3231" t="s">
        <v>2990</v>
      </c>
      <c r="C310" s="3231">
        <v>5150</v>
      </c>
      <c r="D310" s="3231">
        <v>5110</v>
      </c>
      <c r="E310" s="3231">
        <v>6500</v>
      </c>
      <c r="F310" s="3231">
        <v>880</v>
      </c>
      <c r="G310" s="3244">
        <v>3080</v>
      </c>
    </row>
    <row r="311" spans="1:7" s="3220" customFormat="1" ht="14.25" customHeight="1">
      <c r="A311" s="3231" t="s">
        <v>306</v>
      </c>
      <c r="B311" s="3231" t="s">
        <v>3142</v>
      </c>
      <c r="C311" s="3231">
        <v>4750</v>
      </c>
      <c r="D311" s="3231">
        <v>4710</v>
      </c>
      <c r="E311" s="3231">
        <v>5510</v>
      </c>
      <c r="F311" s="3231">
        <v>880</v>
      </c>
      <c r="G311" s="3244">
        <v>2840</v>
      </c>
    </row>
    <row r="312" spans="1:7" s="3220" customFormat="1" ht="14.25" customHeight="1">
      <c r="A312" s="3231" t="s">
        <v>306</v>
      </c>
      <c r="B312" s="3231" t="s">
        <v>3000</v>
      </c>
      <c r="C312" s="3231">
        <v>4690</v>
      </c>
      <c r="D312" s="3231">
        <v>4640</v>
      </c>
      <c r="E312" s="3231">
        <v>5420</v>
      </c>
      <c r="F312" s="3231">
        <v>800</v>
      </c>
      <c r="G312" s="3244">
        <v>2800</v>
      </c>
    </row>
    <row r="313" spans="1:7" s="3220" customFormat="1" ht="14.25" customHeight="1">
      <c r="A313" s="3231" t="s">
        <v>306</v>
      </c>
      <c r="B313" s="3231" t="s">
        <v>3005</v>
      </c>
      <c r="C313" s="3231">
        <v>4810</v>
      </c>
      <c r="D313" s="3231">
        <v>4760</v>
      </c>
      <c r="E313" s="3231">
        <v>5550</v>
      </c>
      <c r="F313" s="3231">
        <v>920</v>
      </c>
      <c r="G313" s="3244">
        <v>2870</v>
      </c>
    </row>
    <row r="314" spans="1:7" s="3220" customFormat="1" ht="14.25" customHeight="1">
      <c r="A314" s="3231" t="s">
        <v>306</v>
      </c>
      <c r="B314" s="3231" t="s">
        <v>3143</v>
      </c>
      <c r="C314" s="3231"/>
      <c r="D314" s="3231"/>
      <c r="E314" s="3231"/>
      <c r="F314" s="3231">
        <v>1020</v>
      </c>
      <c r="G314" s="3244"/>
    </row>
    <row r="315" spans="1:7" s="3220" customFormat="1" ht="14.25" customHeight="1">
      <c r="A315" s="3231" t="s">
        <v>306</v>
      </c>
      <c r="B315" s="3231" t="s">
        <v>3144</v>
      </c>
      <c r="C315" s="3231"/>
      <c r="D315" s="3231"/>
      <c r="E315" s="3231"/>
      <c r="F315" s="3231">
        <v>1050</v>
      </c>
      <c r="G315" s="3244"/>
    </row>
    <row r="316" spans="1:7" s="3220" customFormat="1" ht="14.25" customHeight="1">
      <c r="A316" s="3231" t="s">
        <v>306</v>
      </c>
      <c r="B316" s="3231" t="s">
        <v>3020</v>
      </c>
      <c r="C316" s="3231"/>
      <c r="D316" s="3231"/>
      <c r="E316" s="3231"/>
      <c r="F316" s="3231">
        <v>900</v>
      </c>
      <c r="G316" s="3244"/>
    </row>
    <row r="317" spans="1:7" s="3220" customFormat="1" ht="14.25" customHeight="1">
      <c r="A317" s="3231" t="s">
        <v>306</v>
      </c>
      <c r="B317" s="3231" t="s">
        <v>3145</v>
      </c>
      <c r="C317" s="3231"/>
      <c r="D317" s="3231"/>
      <c r="E317" s="3231"/>
      <c r="F317" s="3231">
        <v>920</v>
      </c>
      <c r="G317" s="3244"/>
    </row>
    <row r="318" spans="1:7" s="3220" customFormat="1" ht="14.25" customHeight="1">
      <c r="A318" s="3231" t="s">
        <v>306</v>
      </c>
      <c r="B318" s="3231" t="s">
        <v>3146</v>
      </c>
      <c r="C318" s="3231"/>
      <c r="D318" s="3231"/>
      <c r="E318" s="3231"/>
      <c r="F318" s="3231">
        <v>1080</v>
      </c>
      <c r="G318" s="3244"/>
    </row>
    <row r="319" spans="1:7" s="3220" customFormat="1" ht="14.25" customHeight="1">
      <c r="A319" s="3231" t="s">
        <v>306</v>
      </c>
      <c r="B319" s="3231" t="s">
        <v>3033</v>
      </c>
      <c r="C319" s="3231"/>
      <c r="D319" s="3231"/>
      <c r="E319" s="3231"/>
      <c r="F319" s="3231">
        <v>1020</v>
      </c>
      <c r="G319" s="3244"/>
    </row>
    <row r="320" spans="1:7" s="3220" customFormat="1" ht="14.25" customHeight="1">
      <c r="A320" s="3231" t="s">
        <v>306</v>
      </c>
      <c r="B320" s="3231" t="s">
        <v>3036</v>
      </c>
      <c r="C320" s="3231"/>
      <c r="D320" s="3231"/>
      <c r="E320" s="3231"/>
      <c r="F320" s="3231">
        <v>1050</v>
      </c>
      <c r="G320" s="3244"/>
    </row>
    <row r="321" spans="1:7" s="3220" customFormat="1" ht="14.25" customHeight="1">
      <c r="A321" s="3231" t="s">
        <v>306</v>
      </c>
      <c r="B321" s="3231" t="s">
        <v>3038</v>
      </c>
      <c r="C321" s="3231"/>
      <c r="D321" s="3231"/>
      <c r="E321" s="3231"/>
      <c r="F321" s="3231">
        <v>960</v>
      </c>
      <c r="G321" s="3244"/>
    </row>
    <row r="322" spans="1:7" s="3220" customFormat="1" ht="14.25" customHeight="1">
      <c r="A322" s="3231" t="s">
        <v>306</v>
      </c>
      <c r="B322" s="3231" t="s">
        <v>3040</v>
      </c>
      <c r="C322" s="3231"/>
      <c r="D322" s="3231"/>
      <c r="E322" s="3231"/>
      <c r="F322" s="3231">
        <v>960</v>
      </c>
      <c r="G322" s="3244"/>
    </row>
    <row r="323" spans="1:7" s="3220" customFormat="1" ht="14.25" customHeight="1">
      <c r="A323" s="3231" t="s">
        <v>306</v>
      </c>
      <c r="B323" s="3231" t="s">
        <v>3042</v>
      </c>
      <c r="C323" s="3231"/>
      <c r="D323" s="3231"/>
      <c r="E323" s="3231"/>
      <c r="F323" s="3231">
        <v>880</v>
      </c>
      <c r="G323" s="3244"/>
    </row>
    <row r="324" spans="1:7" s="3220" customFormat="1" ht="14.25" customHeight="1">
      <c r="A324" s="3231" t="s">
        <v>306</v>
      </c>
      <c r="B324" s="3231" t="s">
        <v>3044</v>
      </c>
      <c r="C324" s="3231"/>
      <c r="D324" s="3231"/>
      <c r="E324" s="3231"/>
      <c r="F324" s="3231">
        <v>930</v>
      </c>
      <c r="G324" s="3244"/>
    </row>
    <row r="325" spans="1:7" s="3220" customFormat="1" ht="14.25" customHeight="1">
      <c r="A325" s="3231" t="s">
        <v>306</v>
      </c>
      <c r="B325" s="3232" t="s">
        <v>3046</v>
      </c>
      <c r="C325" s="3231"/>
      <c r="D325" s="3231"/>
      <c r="E325" s="3231"/>
      <c r="F325" s="3231">
        <v>900</v>
      </c>
      <c r="G325" s="3244"/>
    </row>
    <row r="326" spans="1:7" s="3220" customFormat="1" ht="14.25" customHeight="1" thickBot="1">
      <c r="A326" s="3245" t="s">
        <v>306</v>
      </c>
      <c r="B326" s="3238" t="s">
        <v>3048</v>
      </c>
      <c r="C326" s="3238"/>
      <c r="D326" s="3238"/>
      <c r="E326" s="3238"/>
      <c r="F326" s="3238">
        <v>790</v>
      </c>
      <c r="G326" s="3246"/>
    </row>
    <row r="327" spans="1:7" s="3220" customFormat="1" ht="14.25" customHeight="1">
      <c r="A327" s="3236" t="s">
        <v>307</v>
      </c>
      <c r="B327" s="3227" t="s">
        <v>3147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3148</v>
      </c>
      <c r="C329" s="3231">
        <v>2730</v>
      </c>
      <c r="D329" s="3231">
        <v>2690</v>
      </c>
      <c r="E329" s="3231">
        <v>3100</v>
      </c>
      <c r="F329" s="3231">
        <v>660</v>
      </c>
      <c r="G329" s="3231">
        <v>1610</v>
      </c>
    </row>
    <row r="330" spans="1:7" s="3220" customFormat="1" ht="14.25" customHeight="1">
      <c r="A330" s="3231" t="s">
        <v>307</v>
      </c>
      <c r="B330" s="3231" t="s">
        <v>3149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2882</v>
      </c>
      <c r="C332" s="3231">
        <v>3520</v>
      </c>
      <c r="D332" s="3231">
        <v>3480</v>
      </c>
      <c r="E332" s="3231">
        <v>3830</v>
      </c>
      <c r="F332" s="3231">
        <v>720</v>
      </c>
      <c r="G332" s="3231">
        <v>2090</v>
      </c>
    </row>
    <row r="333" spans="1:7" s="3220" customFormat="1" ht="14.25" customHeight="1">
      <c r="A333" s="3231" t="s">
        <v>307</v>
      </c>
      <c r="B333" s="3231" t="s">
        <v>3150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2892</v>
      </c>
      <c r="C336" s="3231">
        <v>3570</v>
      </c>
      <c r="D336" s="3231">
        <v>3530</v>
      </c>
      <c r="E336" s="3231">
        <v>3880</v>
      </c>
      <c r="F336" s="3231">
        <v>770</v>
      </c>
      <c r="G336" s="3231">
        <v>2110</v>
      </c>
    </row>
    <row r="337" spans="1:10" s="3220" customFormat="1" ht="14.25" customHeight="1">
      <c r="A337" s="3231" t="s">
        <v>307</v>
      </c>
      <c r="B337" s="3231" t="s">
        <v>3151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2917</v>
      </c>
      <c r="C345" s="3231">
        <v>3190</v>
      </c>
      <c r="D345" s="3231">
        <v>3140</v>
      </c>
      <c r="E345" s="3231">
        <v>3450</v>
      </c>
      <c r="F345" s="3231">
        <v>720</v>
      </c>
      <c r="G345" s="3231">
        <v>1880</v>
      </c>
      <c r="J345" s="3220"/>
    </row>
    <row r="346" spans="1:10">
      <c r="A346" s="3231" t="s">
        <v>307</v>
      </c>
      <c r="B346" s="3231" t="s">
        <v>3154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2926</v>
      </c>
      <c r="C348" s="3231">
        <v>4000</v>
      </c>
      <c r="D348" s="3231">
        <v>3950</v>
      </c>
      <c r="E348" s="3231">
        <v>4430</v>
      </c>
      <c r="F348" s="3231">
        <v>760</v>
      </c>
      <c r="G348" s="3231">
        <v>2360</v>
      </c>
      <c r="J348" s="3220"/>
    </row>
    <row r="349" spans="1:10">
      <c r="A349" s="3231" t="s">
        <v>307</v>
      </c>
      <c r="B349" s="3231" t="s">
        <v>2931</v>
      </c>
      <c r="C349" s="3231">
        <v>3820</v>
      </c>
      <c r="D349" s="3231">
        <v>3780</v>
      </c>
      <c r="E349" s="3231">
        <v>4170</v>
      </c>
      <c r="F349" s="3231">
        <v>710</v>
      </c>
      <c r="G349" s="3231">
        <v>2260</v>
      </c>
      <c r="J349" s="3220"/>
    </row>
    <row r="350" spans="1:10">
      <c r="A350" s="3231" t="s">
        <v>307</v>
      </c>
      <c r="B350" s="3231" t="s">
        <v>3155</v>
      </c>
      <c r="C350" s="3231">
        <v>3760</v>
      </c>
      <c r="D350" s="3231">
        <v>3730</v>
      </c>
      <c r="E350" s="3231">
        <v>4100</v>
      </c>
      <c r="F350" s="3231">
        <v>800</v>
      </c>
      <c r="G350" s="3231">
        <v>2230</v>
      </c>
      <c r="J350" s="3220"/>
    </row>
    <row r="351" spans="1:10">
      <c r="A351" s="3231" t="s">
        <v>307</v>
      </c>
      <c r="B351" s="3231" t="s">
        <v>2939</v>
      </c>
      <c r="C351" s="3231">
        <v>3610</v>
      </c>
      <c r="D351" s="3231">
        <v>3580</v>
      </c>
      <c r="E351" s="3231">
        <v>3930</v>
      </c>
      <c r="F351" s="3231">
        <v>700</v>
      </c>
      <c r="G351" s="3231">
        <v>2140</v>
      </c>
      <c r="J351" s="3220"/>
    </row>
    <row r="352" spans="1:10">
      <c r="A352" s="3231" t="s">
        <v>307</v>
      </c>
      <c r="B352" s="3231" t="s">
        <v>2944</v>
      </c>
      <c r="C352" s="3231">
        <v>3670</v>
      </c>
      <c r="D352" s="3231">
        <v>3630</v>
      </c>
      <c r="E352" s="3231">
        <v>4000</v>
      </c>
      <c r="F352" s="3231">
        <v>750</v>
      </c>
      <c r="G352" s="3231">
        <v>2180</v>
      </c>
    </row>
    <row r="353" spans="1:7" s="3224" customFormat="1">
      <c r="A353" s="3231" t="s">
        <v>307</v>
      </c>
      <c r="B353" s="3231" t="s">
        <v>3156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2964</v>
      </c>
      <c r="C355" s="3231">
        <v>3650</v>
      </c>
      <c r="D355" s="3231">
        <v>3610</v>
      </c>
      <c r="E355" s="3231">
        <v>4200</v>
      </c>
      <c r="F355" s="3231">
        <v>640</v>
      </c>
      <c r="G355" s="3231">
        <v>2160</v>
      </c>
    </row>
    <row r="356" spans="1:7" s="3224" customFormat="1">
      <c r="A356" s="3231" t="s">
        <v>307</v>
      </c>
      <c r="B356" s="3231" t="s">
        <v>2971</v>
      </c>
      <c r="C356" s="3231">
        <v>3260</v>
      </c>
      <c r="D356" s="3231">
        <v>3230</v>
      </c>
      <c r="E356" s="3231">
        <v>3740</v>
      </c>
      <c r="F356" s="3231">
        <v>600</v>
      </c>
      <c r="G356" s="3231">
        <v>1930</v>
      </c>
    </row>
    <row r="357" spans="1:7" s="3224" customFormat="1" ht="12" thickBot="1">
      <c r="A357" s="3239" t="s">
        <v>307</v>
      </c>
      <c r="B357" s="3242" t="s">
        <v>3157</v>
      </c>
      <c r="C357" s="3242">
        <v>3690</v>
      </c>
      <c r="D357" s="3242">
        <v>3650</v>
      </c>
      <c r="E357" s="3242">
        <v>4020</v>
      </c>
      <c r="F357" s="3242">
        <v>700</v>
      </c>
      <c r="G357" s="3242">
        <v>2190</v>
      </c>
    </row>
    <row r="358" spans="1:7" s="3224" customFormat="1">
      <c r="A358" s="3236" t="s">
        <v>3158</v>
      </c>
      <c r="B358" s="3227" t="s">
        <v>3159</v>
      </c>
      <c r="C358" s="3227">
        <v>2080</v>
      </c>
      <c r="D358" s="3227">
        <v>2040</v>
      </c>
      <c r="E358" s="3227">
        <v>2010</v>
      </c>
      <c r="F358" s="3227">
        <v>530</v>
      </c>
      <c r="G358" s="3243">
        <v>1230</v>
      </c>
    </row>
    <row r="359" spans="1:7" s="3224" customFormat="1">
      <c r="A359" s="3231" t="s">
        <v>3158</v>
      </c>
      <c r="B359" s="3231" t="s">
        <v>3160</v>
      </c>
      <c r="C359" s="3231">
        <v>1850</v>
      </c>
      <c r="D359" s="3231">
        <v>1820</v>
      </c>
      <c r="E359" s="3231">
        <v>1780</v>
      </c>
      <c r="F359" s="3231">
        <v>520</v>
      </c>
      <c r="G359" s="3244">
        <v>1100</v>
      </c>
    </row>
    <row r="360" spans="1:7" s="3224" customFormat="1">
      <c r="A360" s="3231" t="s">
        <v>3158</v>
      </c>
      <c r="B360" s="3231" t="s">
        <v>3161</v>
      </c>
      <c r="C360" s="3231">
        <v>2020</v>
      </c>
      <c r="D360" s="3231">
        <v>1990</v>
      </c>
      <c r="E360" s="3231">
        <v>1950</v>
      </c>
      <c r="F360" s="3231">
        <v>500</v>
      </c>
      <c r="G360" s="3244">
        <v>1200</v>
      </c>
    </row>
    <row r="361" spans="1:7" s="3224" customFormat="1">
      <c r="A361" s="3231" t="s">
        <v>3158</v>
      </c>
      <c r="B361" s="3231" t="s">
        <v>153</v>
      </c>
      <c r="C361" s="3231">
        <v>2260</v>
      </c>
      <c r="D361" s="3231">
        <v>2220</v>
      </c>
      <c r="E361" s="3231">
        <v>2180</v>
      </c>
      <c r="F361" s="3231">
        <v>580</v>
      </c>
      <c r="G361" s="3244">
        <v>1340</v>
      </c>
    </row>
    <row r="362" spans="1:7" s="3224" customFormat="1">
      <c r="A362" s="3231" t="s">
        <v>3158</v>
      </c>
      <c r="B362" s="3231" t="s">
        <v>3162</v>
      </c>
      <c r="C362" s="3231">
        <v>2650</v>
      </c>
      <c r="D362" s="3231">
        <v>2610</v>
      </c>
      <c r="E362" s="3231">
        <v>2570</v>
      </c>
      <c r="F362" s="3231">
        <v>630</v>
      </c>
      <c r="G362" s="3244">
        <v>1570</v>
      </c>
    </row>
    <row r="363" spans="1:7" s="3224" customFormat="1">
      <c r="A363" s="3231" t="s">
        <v>3158</v>
      </c>
      <c r="B363" s="3231" t="s">
        <v>2883</v>
      </c>
      <c r="C363" s="3231">
        <v>2390</v>
      </c>
      <c r="D363" s="3231">
        <v>2360</v>
      </c>
      <c r="E363" s="3231">
        <v>2320</v>
      </c>
      <c r="F363" s="3231">
        <v>600</v>
      </c>
      <c r="G363" s="3244">
        <v>1420</v>
      </c>
    </row>
    <row r="364" spans="1:7" s="3224" customFormat="1">
      <c r="A364" s="3231" t="s">
        <v>3158</v>
      </c>
      <c r="B364" s="3231" t="s">
        <v>3163</v>
      </c>
      <c r="C364" s="3231">
        <v>2050</v>
      </c>
      <c r="D364" s="3231">
        <v>2030</v>
      </c>
      <c r="E364" s="3231">
        <v>1990</v>
      </c>
      <c r="F364" s="3231">
        <v>550</v>
      </c>
      <c r="G364" s="3244">
        <v>1220</v>
      </c>
    </row>
    <row r="365" spans="1:7" s="3224" customFormat="1">
      <c r="A365" s="3231" t="s">
        <v>3158</v>
      </c>
      <c r="B365" s="3231" t="s">
        <v>200</v>
      </c>
      <c r="C365" s="3231">
        <v>2140</v>
      </c>
      <c r="D365" s="3231">
        <v>2100</v>
      </c>
      <c r="E365" s="3231">
        <v>2060</v>
      </c>
      <c r="F365" s="3231">
        <v>540</v>
      </c>
      <c r="G365" s="3244">
        <v>1270</v>
      </c>
    </row>
    <row r="366" spans="1:7" s="3224" customFormat="1">
      <c r="A366" s="3231" t="s">
        <v>3158</v>
      </c>
      <c r="B366" s="3231" t="s">
        <v>2890</v>
      </c>
      <c r="C366" s="3231">
        <v>2410</v>
      </c>
      <c r="D366" s="3231">
        <v>2370</v>
      </c>
      <c r="E366" s="3231">
        <v>2330</v>
      </c>
      <c r="F366" s="3231">
        <v>570</v>
      </c>
      <c r="G366" s="3244">
        <v>1440</v>
      </c>
    </row>
    <row r="367" spans="1:7" s="3224" customFormat="1">
      <c r="A367" s="3231" t="s">
        <v>3158</v>
      </c>
      <c r="B367" s="3231" t="s">
        <v>3164</v>
      </c>
      <c r="C367" s="3231">
        <v>2300</v>
      </c>
      <c r="D367" s="3231">
        <v>2260</v>
      </c>
      <c r="E367" s="3231">
        <v>2220</v>
      </c>
      <c r="F367" s="3231">
        <v>560</v>
      </c>
      <c r="G367" s="3244">
        <v>1370</v>
      </c>
    </row>
    <row r="368" spans="1:7" s="3224" customFormat="1">
      <c r="A368" s="3231" t="s">
        <v>3158</v>
      </c>
      <c r="B368" s="3231" t="s">
        <v>3165</v>
      </c>
      <c r="C368" s="3231">
        <v>2430</v>
      </c>
      <c r="D368" s="3231">
        <v>2390</v>
      </c>
      <c r="E368" s="3231">
        <v>2350</v>
      </c>
      <c r="F368" s="3231">
        <v>570</v>
      </c>
      <c r="G368" s="3244">
        <v>1450</v>
      </c>
    </row>
    <row r="369" spans="1:7" s="3224" customFormat="1">
      <c r="A369" s="3231" t="s">
        <v>3158</v>
      </c>
      <c r="B369" s="3231" t="s">
        <v>214</v>
      </c>
      <c r="C369" s="3231">
        <v>2320</v>
      </c>
      <c r="D369" s="3231">
        <v>2290</v>
      </c>
      <c r="E369" s="3231">
        <v>2250</v>
      </c>
      <c r="F369" s="3231">
        <v>550</v>
      </c>
      <c r="G369" s="3244">
        <v>1380</v>
      </c>
    </row>
    <row r="370" spans="1:7" s="3224" customFormat="1">
      <c r="A370" s="3231" t="s">
        <v>3158</v>
      </c>
      <c r="B370" s="3231" t="s">
        <v>221</v>
      </c>
      <c r="C370" s="3231">
        <v>2190</v>
      </c>
      <c r="D370" s="3231">
        <v>2170</v>
      </c>
      <c r="E370" s="3231">
        <v>2130</v>
      </c>
      <c r="F370" s="3231">
        <v>530</v>
      </c>
      <c r="G370" s="3244">
        <v>1310</v>
      </c>
    </row>
    <row r="371" spans="1:7" s="3224" customFormat="1">
      <c r="A371" s="3231" t="s">
        <v>3158</v>
      </c>
      <c r="B371" s="3231" t="s">
        <v>229</v>
      </c>
      <c r="C371" s="3231">
        <v>2460</v>
      </c>
      <c r="D371" s="3231">
        <v>2420</v>
      </c>
      <c r="E371" s="3231">
        <v>2370</v>
      </c>
      <c r="F371" s="3231">
        <v>560</v>
      </c>
      <c r="G371" s="3244">
        <v>1470</v>
      </c>
    </row>
    <row r="372" spans="1:7" s="3224" customFormat="1">
      <c r="A372" s="3231" t="s">
        <v>3158</v>
      </c>
      <c r="B372" s="3231" t="s">
        <v>3166</v>
      </c>
      <c r="C372" s="3231">
        <v>2250</v>
      </c>
      <c r="D372" s="3231">
        <v>2210</v>
      </c>
      <c r="E372" s="3231">
        <v>2180</v>
      </c>
      <c r="F372" s="3231">
        <v>550</v>
      </c>
      <c r="G372" s="3244">
        <v>1340</v>
      </c>
    </row>
    <row r="373" spans="1:7" s="3224" customFormat="1">
      <c r="A373" s="3231" t="s">
        <v>3158</v>
      </c>
      <c r="B373" s="3231" t="s">
        <v>258</v>
      </c>
      <c r="C373" s="3231">
        <v>2210</v>
      </c>
      <c r="D373" s="3231">
        <v>2190</v>
      </c>
      <c r="E373" s="3231">
        <v>2150</v>
      </c>
      <c r="F373" s="3231">
        <v>530</v>
      </c>
      <c r="G373" s="3244">
        <v>1320</v>
      </c>
    </row>
    <row r="374" spans="1:7" s="3224" customFormat="1">
      <c r="A374" s="3231" t="s">
        <v>3158</v>
      </c>
      <c r="B374" s="3231" t="s">
        <v>266</v>
      </c>
      <c r="C374" s="3231">
        <v>2320</v>
      </c>
      <c r="D374" s="3231">
        <v>2280</v>
      </c>
      <c r="E374" s="3231">
        <v>2230</v>
      </c>
      <c r="F374" s="3231">
        <v>580</v>
      </c>
      <c r="G374" s="3244">
        <v>1380</v>
      </c>
    </row>
    <row r="375" spans="1:7" s="3224" customFormat="1">
      <c r="A375" s="3231" t="s">
        <v>3158</v>
      </c>
      <c r="B375" s="3231" t="s">
        <v>3167</v>
      </c>
      <c r="C375" s="3231">
        <v>2090</v>
      </c>
      <c r="D375" s="3231">
        <v>2050</v>
      </c>
      <c r="E375" s="3231">
        <v>2020</v>
      </c>
      <c r="F375" s="3231">
        <v>520</v>
      </c>
      <c r="G375" s="3244">
        <v>1240</v>
      </c>
    </row>
    <row r="376" spans="1:7" s="3224" customFormat="1">
      <c r="A376" s="3231" t="s">
        <v>3158</v>
      </c>
      <c r="B376" s="3231" t="s">
        <v>277</v>
      </c>
      <c r="C376" s="3231">
        <v>2010</v>
      </c>
      <c r="D376" s="3231">
        <v>1980</v>
      </c>
      <c r="E376" s="3231">
        <v>1940</v>
      </c>
      <c r="F376" s="3231">
        <v>540</v>
      </c>
      <c r="G376" s="3244">
        <v>1190</v>
      </c>
    </row>
    <row r="377" spans="1:7" s="3224" customFormat="1" ht="12" thickBot="1">
      <c r="A377" s="3239" t="s">
        <v>3158</v>
      </c>
      <c r="B377" s="3242" t="s">
        <v>2920</v>
      </c>
      <c r="C377" s="3242">
        <v>1930</v>
      </c>
      <c r="D377" s="3242">
        <v>1890</v>
      </c>
      <c r="E377" s="3242">
        <v>1860</v>
      </c>
      <c r="F377" s="3242">
        <v>530</v>
      </c>
      <c r="G377" s="3247">
        <v>1150</v>
      </c>
    </row>
    <row r="378" spans="1:7" s="3224" customFormat="1">
      <c r="A378" s="3248" t="s">
        <v>3168</v>
      </c>
      <c r="B378" s="3227" t="s">
        <v>3169</v>
      </c>
      <c r="C378" s="3227">
        <v>1520</v>
      </c>
      <c r="D378" s="3227">
        <v>1490</v>
      </c>
      <c r="E378" s="3227">
        <v>1460</v>
      </c>
      <c r="F378" s="3227">
        <v>460</v>
      </c>
      <c r="G378" s="3243">
        <v>940</v>
      </c>
    </row>
    <row r="379" spans="1:7" s="3224" customFormat="1">
      <c r="A379" s="3249" t="s">
        <v>3168</v>
      </c>
      <c r="B379" s="3231" t="s">
        <v>3170</v>
      </c>
      <c r="C379" s="3231">
        <v>1500</v>
      </c>
      <c r="D379" s="3231">
        <v>1470</v>
      </c>
      <c r="E379" s="3231">
        <v>1430</v>
      </c>
      <c r="F379" s="3231">
        <v>460</v>
      </c>
      <c r="G379" s="3244">
        <v>920</v>
      </c>
    </row>
    <row r="380" spans="1:7" s="3224" customFormat="1">
      <c r="A380" s="3249" t="s">
        <v>3168</v>
      </c>
      <c r="B380" s="3231" t="s">
        <v>3171</v>
      </c>
      <c r="C380" s="3231">
        <v>1620</v>
      </c>
      <c r="D380" s="3231">
        <v>1590</v>
      </c>
      <c r="E380" s="3231">
        <v>1560</v>
      </c>
      <c r="F380" s="3231">
        <v>480</v>
      </c>
      <c r="G380" s="3244">
        <v>1000</v>
      </c>
    </row>
    <row r="381" spans="1:7" s="3224" customFormat="1">
      <c r="A381" s="3249" t="s">
        <v>3168</v>
      </c>
      <c r="B381" s="3231" t="s">
        <v>3172</v>
      </c>
      <c r="C381" s="3231">
        <v>1460</v>
      </c>
      <c r="D381" s="3231">
        <v>1430</v>
      </c>
      <c r="E381" s="3231">
        <v>1390</v>
      </c>
      <c r="F381" s="3231">
        <v>450</v>
      </c>
      <c r="G381" s="3244">
        <v>900</v>
      </c>
    </row>
    <row r="382" spans="1:7" s="3224" customFormat="1">
      <c r="A382" s="3249" t="s">
        <v>3168</v>
      </c>
      <c r="B382" s="3231" t="s">
        <v>3173</v>
      </c>
      <c r="C382" s="3231">
        <v>1310</v>
      </c>
      <c r="D382" s="3231">
        <v>1280</v>
      </c>
      <c r="E382" s="3231">
        <v>1250</v>
      </c>
      <c r="F382" s="3231">
        <v>440</v>
      </c>
      <c r="G382" s="3244">
        <v>800</v>
      </c>
    </row>
    <row r="383" spans="1:7" s="3224" customFormat="1">
      <c r="A383" s="3249" t="s">
        <v>3168</v>
      </c>
      <c r="B383" s="3231" t="s">
        <v>3174</v>
      </c>
      <c r="C383" s="3231">
        <v>1260</v>
      </c>
      <c r="D383" s="3231">
        <v>1230</v>
      </c>
      <c r="E383" s="3231">
        <v>1200</v>
      </c>
      <c r="F383" s="3231">
        <v>420</v>
      </c>
      <c r="G383" s="3244">
        <v>770</v>
      </c>
    </row>
    <row r="384" spans="1:7" s="3224" customFormat="1" ht="12" thickBot="1">
      <c r="A384" s="3250" t="s">
        <v>3168</v>
      </c>
      <c r="B384" s="3238" t="s">
        <v>3175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80" t="s">
        <v>3176</v>
      </c>
      <c r="B1" s="3880"/>
    </row>
    <row r="2" spans="1:7" ht="14.25" thickBot="1">
      <c r="A2" s="3253"/>
      <c r="B2" s="3253"/>
    </row>
    <row r="3" spans="1:7" ht="14.25" thickBot="1">
      <c r="A3" s="3253"/>
      <c r="B3" s="3253"/>
      <c r="C3" s="3254" t="s">
        <v>2806</v>
      </c>
      <c r="D3" s="3254" t="s">
        <v>2862</v>
      </c>
      <c r="E3" s="3254" t="s">
        <v>2808</v>
      </c>
      <c r="F3" s="3254" t="s">
        <v>2863</v>
      </c>
      <c r="G3" s="3254" t="s">
        <v>2626</v>
      </c>
    </row>
    <row r="4" spans="1:7" ht="14.25" thickBot="1">
      <c r="A4" s="3255" t="s">
        <v>2861</v>
      </c>
      <c r="B4" s="3256" t="s">
        <v>2867</v>
      </c>
      <c r="C4" s="3254"/>
      <c r="D4" s="3254"/>
      <c r="E4" s="3254"/>
      <c r="F4" s="3254"/>
      <c r="G4" s="3254"/>
    </row>
    <row r="5" spans="1:7">
      <c r="A5" s="3257" t="s">
        <v>2835</v>
      </c>
      <c r="B5" s="3258" t="s">
        <v>2849</v>
      </c>
      <c r="C5" s="3259">
        <v>9.8000000000000004E-2</v>
      </c>
      <c r="D5" s="3259">
        <v>8.6999999999999994E-2</v>
      </c>
      <c r="E5" s="3259">
        <v>8.6999999999999994E-2</v>
      </c>
      <c r="F5" s="3259">
        <v>9.8000000000000004E-2</v>
      </c>
      <c r="G5" s="3260">
        <v>9.5000000000000001E-2</v>
      </c>
    </row>
    <row r="6" spans="1:7">
      <c r="A6" s="3261" t="s">
        <v>144</v>
      </c>
      <c r="B6" s="3262" t="s">
        <v>2864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2918</v>
      </c>
      <c r="C29" s="3271"/>
      <c r="D29" s="3267">
        <v>5.1999999999999998E-2</v>
      </c>
      <c r="E29" s="3267">
        <v>7.0000000000000007E-2</v>
      </c>
      <c r="F29" s="3271"/>
      <c r="G29" s="3269">
        <v>7.0999999999999994E-2</v>
      </c>
    </row>
    <row r="30" spans="1:7">
      <c r="A30" s="3272" t="s">
        <v>296</v>
      </c>
      <c r="B30" s="3258" t="s">
        <v>2851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2921</v>
      </c>
      <c r="C50" s="3263">
        <v>9.8000000000000004E-2</v>
      </c>
      <c r="D50" s="3263">
        <v>7.2999999999999995E-2</v>
      </c>
      <c r="E50" s="3263">
        <v>7.0999999999999994E-2</v>
      </c>
      <c r="F50" s="3274"/>
      <c r="G50" s="3264">
        <v>7.2999999999999995E-2</v>
      </c>
    </row>
    <row r="51" spans="1:7">
      <c r="A51" s="3273" t="s">
        <v>296</v>
      </c>
      <c r="B51" s="3262" t="s">
        <v>2923</v>
      </c>
      <c r="C51" s="3263">
        <v>9.9000000000000005E-2</v>
      </c>
      <c r="D51" s="3263">
        <v>8.5000000000000006E-2</v>
      </c>
      <c r="E51" s="3263">
        <v>6.3E-2</v>
      </c>
      <c r="F51" s="3274"/>
      <c r="G51" s="3264">
        <v>9.6000000000000002E-2</v>
      </c>
    </row>
    <row r="52" spans="1:7">
      <c r="A52" s="3273" t="s">
        <v>296</v>
      </c>
      <c r="B52" s="3262" t="s">
        <v>2927</v>
      </c>
      <c r="C52" s="3263">
        <v>7.3999999999999996E-2</v>
      </c>
      <c r="D52" s="3263">
        <v>9.6000000000000002E-2</v>
      </c>
      <c r="E52" s="3263">
        <v>0.05</v>
      </c>
      <c r="F52" s="3274"/>
      <c r="G52" s="3264">
        <v>9.8000000000000004E-2</v>
      </c>
    </row>
    <row r="53" spans="1:7">
      <c r="A53" s="3273" t="s">
        <v>296</v>
      </c>
      <c r="B53" s="3262" t="s">
        <v>2932</v>
      </c>
      <c r="C53" s="3263">
        <v>8.5999999999999993E-2</v>
      </c>
      <c r="D53" s="3274"/>
      <c r="E53" s="3263">
        <v>9.1999999999999998E-2</v>
      </c>
      <c r="F53" s="3274"/>
      <c r="G53" s="3275"/>
    </row>
    <row r="54" spans="1:7" ht="14.25" thickBot="1">
      <c r="A54" s="3276" t="s">
        <v>296</v>
      </c>
      <c r="B54" s="3266" t="s">
        <v>2935</v>
      </c>
      <c r="C54" s="3267">
        <v>9.6000000000000002E-2</v>
      </c>
      <c r="D54" s="3268"/>
      <c r="E54" s="3277"/>
      <c r="F54" s="3268"/>
      <c r="G54" s="3278"/>
    </row>
    <row r="55" spans="1:7">
      <c r="A55" s="3272" t="s">
        <v>110</v>
      </c>
      <c r="B55" s="3258" t="s">
        <v>2852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2933</v>
      </c>
      <c r="C78" s="3263">
        <v>0.1</v>
      </c>
      <c r="D78" s="3263">
        <v>8.5000000000000006E-2</v>
      </c>
      <c r="E78" s="3263">
        <v>9.6000000000000002E-2</v>
      </c>
      <c r="F78" s="3274"/>
      <c r="G78" s="3264">
        <v>9.6000000000000002E-2</v>
      </c>
    </row>
    <row r="79" spans="1:7">
      <c r="A79" s="3273" t="s">
        <v>110</v>
      </c>
      <c r="B79" s="3262" t="s">
        <v>2936</v>
      </c>
      <c r="C79" s="3263">
        <v>0.05</v>
      </c>
      <c r="D79" s="3263">
        <v>9.6000000000000002E-2</v>
      </c>
      <c r="E79" s="3263">
        <v>9.5000000000000001E-2</v>
      </c>
      <c r="F79" s="3274"/>
      <c r="G79" s="3264">
        <v>9.8000000000000004E-2</v>
      </c>
    </row>
    <row r="80" spans="1:7">
      <c r="A80" s="3273" t="s">
        <v>110</v>
      </c>
      <c r="B80" s="3262" t="s">
        <v>2940</v>
      </c>
      <c r="C80" s="3263">
        <v>8.5999999999999993E-2</v>
      </c>
      <c r="D80" s="3279"/>
      <c r="E80" s="3263">
        <v>0.1</v>
      </c>
      <c r="F80" s="3274"/>
      <c r="G80" s="3275"/>
    </row>
    <row r="81" spans="1:7">
      <c r="A81" s="3273" t="s">
        <v>110</v>
      </c>
      <c r="B81" s="3262" t="s">
        <v>2945</v>
      </c>
      <c r="C81" s="3263">
        <v>9.6000000000000002E-2</v>
      </c>
      <c r="D81" s="3274"/>
      <c r="E81" s="3263">
        <v>9.8000000000000004E-2</v>
      </c>
      <c r="F81" s="3274"/>
      <c r="G81" s="3275"/>
    </row>
    <row r="82" spans="1:7">
      <c r="A82" s="3273" t="s">
        <v>110</v>
      </c>
      <c r="B82" s="3262" t="s">
        <v>2952</v>
      </c>
      <c r="C82" s="3279"/>
      <c r="D82" s="3274"/>
      <c r="E82" s="3263">
        <v>7.6999999999999999E-2</v>
      </c>
      <c r="F82" s="3274"/>
      <c r="G82" s="3275"/>
    </row>
    <row r="83" spans="1:7">
      <c r="A83" s="3273" t="s">
        <v>110</v>
      </c>
      <c r="B83" s="3262" t="s">
        <v>2958</v>
      </c>
      <c r="C83" s="3274"/>
      <c r="D83" s="3274"/>
      <c r="E83" s="3274"/>
      <c r="F83" s="3263">
        <v>0.1</v>
      </c>
      <c r="G83" s="3280"/>
    </row>
    <row r="84" spans="1:7">
      <c r="A84" s="3273" t="s">
        <v>110</v>
      </c>
      <c r="B84" s="3262" t="s">
        <v>2965</v>
      </c>
      <c r="C84" s="3274"/>
      <c r="D84" s="3274"/>
      <c r="E84" s="3274"/>
      <c r="F84" s="3263">
        <v>0.1</v>
      </c>
      <c r="G84" s="3280"/>
    </row>
    <row r="85" spans="1:7">
      <c r="A85" s="3273" t="s">
        <v>110</v>
      </c>
      <c r="B85" s="3262" t="s">
        <v>2972</v>
      </c>
      <c r="C85" s="3274"/>
      <c r="D85" s="3274"/>
      <c r="E85" s="3274"/>
      <c r="F85" s="3263">
        <v>0.1</v>
      </c>
      <c r="G85" s="3280"/>
    </row>
    <row r="86" spans="1:7" ht="14.25" thickBot="1">
      <c r="A86" s="3276" t="s">
        <v>110</v>
      </c>
      <c r="B86" s="3266" t="s">
        <v>2977</v>
      </c>
      <c r="C86" s="3267">
        <v>9.8000000000000004E-2</v>
      </c>
      <c r="D86" s="3267">
        <v>9.8000000000000004E-2</v>
      </c>
      <c r="E86" s="3267">
        <v>9.6000000000000002E-2</v>
      </c>
      <c r="F86" s="3277"/>
      <c r="G86" s="3269">
        <v>0.1</v>
      </c>
    </row>
    <row r="87" spans="1:7">
      <c r="A87" s="3272" t="s">
        <v>303</v>
      </c>
      <c r="B87" s="3258" t="s">
        <v>2853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2946</v>
      </c>
      <c r="C113" s="3263">
        <v>0.1</v>
      </c>
      <c r="D113" s="3263">
        <v>0.1</v>
      </c>
      <c r="E113" s="3274"/>
      <c r="F113" s="3274"/>
      <c r="G113" s="3264">
        <v>0.1</v>
      </c>
    </row>
    <row r="114" spans="1:7">
      <c r="A114" s="3273" t="s">
        <v>303</v>
      </c>
      <c r="B114" s="3262" t="s">
        <v>2953</v>
      </c>
      <c r="C114" s="3263">
        <v>9.7000000000000003E-2</v>
      </c>
      <c r="D114" s="3263">
        <v>9.7000000000000003E-2</v>
      </c>
      <c r="E114" s="3274"/>
      <c r="F114" s="3274"/>
      <c r="G114" s="3264">
        <v>9.9000000000000005E-2</v>
      </c>
    </row>
    <row r="115" spans="1:7">
      <c r="A115" s="3273" t="s">
        <v>303</v>
      </c>
      <c r="B115" s="3262" t="s">
        <v>2959</v>
      </c>
      <c r="C115" s="3263">
        <v>0.1</v>
      </c>
      <c r="D115" s="3263">
        <v>0.1</v>
      </c>
      <c r="E115" s="3274"/>
      <c r="F115" s="3274"/>
      <c r="G115" s="3264">
        <v>0.1</v>
      </c>
    </row>
    <row r="116" spans="1:7">
      <c r="A116" s="3273" t="s">
        <v>303</v>
      </c>
      <c r="B116" s="3262" t="s">
        <v>2966</v>
      </c>
      <c r="C116" s="3263">
        <v>0.1</v>
      </c>
      <c r="D116" s="3263">
        <v>0.1</v>
      </c>
      <c r="E116" s="3274"/>
      <c r="F116" s="3274"/>
      <c r="G116" s="3264">
        <v>0.1</v>
      </c>
    </row>
    <row r="117" spans="1:7">
      <c r="A117" s="3273" t="s">
        <v>303</v>
      </c>
      <c r="B117" s="3262" t="s">
        <v>2973</v>
      </c>
      <c r="C117" s="3263">
        <v>9.7000000000000003E-2</v>
      </c>
      <c r="D117" s="3263">
        <v>9.7000000000000003E-2</v>
      </c>
      <c r="E117" s="3274"/>
      <c r="F117" s="3274"/>
      <c r="G117" s="3264">
        <v>9.7000000000000003E-2</v>
      </c>
    </row>
    <row r="118" spans="1:7">
      <c r="A118" s="3273" t="s">
        <v>303</v>
      </c>
      <c r="B118" s="3262" t="s">
        <v>2978</v>
      </c>
      <c r="C118" s="3263">
        <v>0.1</v>
      </c>
      <c r="D118" s="3263">
        <v>0.1</v>
      </c>
      <c r="E118" s="3274"/>
      <c r="F118" s="3274"/>
      <c r="G118" s="3264">
        <v>0.1</v>
      </c>
    </row>
    <row r="119" spans="1:7">
      <c r="A119" s="3273" t="s">
        <v>303</v>
      </c>
      <c r="B119" s="3262" t="s">
        <v>2982</v>
      </c>
      <c r="C119" s="3263">
        <v>5.0999999999999997E-2</v>
      </c>
      <c r="D119" s="3263">
        <v>5.1999999999999998E-2</v>
      </c>
      <c r="E119" s="3274"/>
      <c r="F119" s="3279"/>
      <c r="G119" s="3264">
        <v>0.06</v>
      </c>
    </row>
    <row r="120" spans="1:7">
      <c r="A120" s="3273" t="s">
        <v>303</v>
      </c>
      <c r="B120" s="3262" t="s">
        <v>2986</v>
      </c>
      <c r="C120" s="3274"/>
      <c r="D120" s="3274"/>
      <c r="E120" s="3274"/>
      <c r="F120" s="3263">
        <v>0.1</v>
      </c>
      <c r="G120" s="3280"/>
    </row>
    <row r="121" spans="1:7">
      <c r="A121" s="3273" t="s">
        <v>303</v>
      </c>
      <c r="B121" s="3262" t="s">
        <v>2991</v>
      </c>
      <c r="C121" s="3274"/>
      <c r="D121" s="3274"/>
      <c r="E121" s="3274"/>
      <c r="F121" s="3263">
        <v>0.1</v>
      </c>
      <c r="G121" s="3280"/>
    </row>
    <row r="122" spans="1:7">
      <c r="A122" s="3273" t="s">
        <v>303</v>
      </c>
      <c r="B122" s="3262" t="s">
        <v>2996</v>
      </c>
      <c r="C122" s="3263">
        <v>0.1</v>
      </c>
      <c r="D122" s="3263">
        <v>0.1</v>
      </c>
      <c r="E122" s="3263">
        <v>9.8000000000000004E-2</v>
      </c>
      <c r="F122" s="3263">
        <v>0.1</v>
      </c>
      <c r="G122" s="3264">
        <v>0.1</v>
      </c>
    </row>
    <row r="123" spans="1:7">
      <c r="A123" s="3273" t="s">
        <v>303</v>
      </c>
      <c r="B123" s="3262" t="s">
        <v>3001</v>
      </c>
      <c r="C123" s="3263">
        <v>0.1</v>
      </c>
      <c r="D123" s="3263">
        <v>0.1</v>
      </c>
      <c r="E123" s="3263">
        <v>9.8000000000000004E-2</v>
      </c>
      <c r="F123" s="3263">
        <v>0.1</v>
      </c>
      <c r="G123" s="3264">
        <v>0.1</v>
      </c>
    </row>
    <row r="124" spans="1:7">
      <c r="A124" s="3273" t="s">
        <v>303</v>
      </c>
      <c r="B124" s="3262" t="s">
        <v>3006</v>
      </c>
      <c r="C124" s="3263">
        <v>0.1</v>
      </c>
      <c r="D124" s="3263">
        <v>0.1</v>
      </c>
      <c r="E124" s="3263">
        <v>9.8000000000000004E-2</v>
      </c>
      <c r="F124" s="3279"/>
      <c r="G124" s="3264">
        <v>0.1</v>
      </c>
    </row>
    <row r="125" spans="1:7">
      <c r="A125" s="3273" t="s">
        <v>303</v>
      </c>
      <c r="B125" s="3262" t="s">
        <v>3011</v>
      </c>
      <c r="C125" s="3263">
        <v>9.8000000000000004E-2</v>
      </c>
      <c r="D125" s="3263">
        <v>9.8000000000000004E-2</v>
      </c>
      <c r="E125" s="3263">
        <v>9.6000000000000002E-2</v>
      </c>
      <c r="F125" s="3279"/>
      <c r="G125" s="3264">
        <v>0.1</v>
      </c>
    </row>
    <row r="126" spans="1:7" ht="14.25" thickBot="1">
      <c r="A126" s="3276" t="s">
        <v>303</v>
      </c>
      <c r="B126" s="3266" t="s">
        <v>3177</v>
      </c>
      <c r="C126" s="3267">
        <v>0.1</v>
      </c>
      <c r="D126" s="3267">
        <v>0.1</v>
      </c>
      <c r="E126" s="3267">
        <v>9.8000000000000004E-2</v>
      </c>
      <c r="F126" s="3267">
        <v>0.1</v>
      </c>
      <c r="G126" s="3269">
        <v>0.1</v>
      </c>
    </row>
    <row r="127" spans="1:7">
      <c r="A127" s="3272" t="s">
        <v>29</v>
      </c>
      <c r="B127" s="3258" t="s">
        <v>2854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2924</v>
      </c>
      <c r="C148" s="3263">
        <v>0.13</v>
      </c>
      <c r="D148" s="3263">
        <v>0.13</v>
      </c>
      <c r="E148" s="3263">
        <v>0.13</v>
      </c>
      <c r="F148" s="3274"/>
      <c r="G148" s="3264">
        <v>0.13</v>
      </c>
    </row>
    <row r="149" spans="1:7">
      <c r="A149" s="3273" t="s">
        <v>29</v>
      </c>
      <c r="B149" s="3262" t="s">
        <v>2928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2947</v>
      </c>
      <c r="C153" s="3263">
        <v>0.13</v>
      </c>
      <c r="D153" s="3263">
        <v>0.13</v>
      </c>
      <c r="E153" s="3263">
        <v>0.13</v>
      </c>
      <c r="F153" s="3263">
        <v>0.13</v>
      </c>
      <c r="G153" s="3264">
        <v>0.13</v>
      </c>
    </row>
    <row r="154" spans="1:7">
      <c r="A154" s="3273" t="s">
        <v>29</v>
      </c>
      <c r="B154" s="3262" t="s">
        <v>2954</v>
      </c>
      <c r="C154" s="3263">
        <v>0.121</v>
      </c>
      <c r="D154" s="3263">
        <v>0.121</v>
      </c>
      <c r="E154" s="3263">
        <v>0.105</v>
      </c>
      <c r="F154" s="3263">
        <v>0.121</v>
      </c>
      <c r="G154" s="3264">
        <v>0.123</v>
      </c>
    </row>
    <row r="155" spans="1:7">
      <c r="A155" s="3273" t="s">
        <v>29</v>
      </c>
      <c r="B155" s="3262" t="s">
        <v>2960</v>
      </c>
      <c r="C155" s="3263">
        <v>0.1</v>
      </c>
      <c r="D155" s="3263">
        <v>0.1</v>
      </c>
      <c r="E155" s="3263">
        <v>0.1</v>
      </c>
      <c r="F155" s="3263">
        <v>0.1</v>
      </c>
      <c r="G155" s="3264">
        <v>0.1</v>
      </c>
    </row>
    <row r="156" spans="1:7">
      <c r="A156" s="3273" t="s">
        <v>29</v>
      </c>
      <c r="B156" s="3262" t="s">
        <v>2967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2987</v>
      </c>
      <c r="C160" s="3263">
        <v>0.13</v>
      </c>
      <c r="D160" s="3263">
        <v>0.13</v>
      </c>
      <c r="E160" s="3263">
        <v>0.124</v>
      </c>
      <c r="F160" s="3263">
        <v>0.126</v>
      </c>
      <c r="G160" s="3264">
        <v>0.13</v>
      </c>
    </row>
    <row r="161" spans="1:7">
      <c r="A161" s="3273" t="s">
        <v>29</v>
      </c>
      <c r="B161" s="3262" t="s">
        <v>2992</v>
      </c>
      <c r="C161" s="3263">
        <v>0.13</v>
      </c>
      <c r="D161" s="3263">
        <v>0.13</v>
      </c>
      <c r="E161" s="3263">
        <v>0.124</v>
      </c>
      <c r="F161" s="3263">
        <v>0.127</v>
      </c>
      <c r="G161" s="3264">
        <v>0.13</v>
      </c>
    </row>
    <row r="162" spans="1:7">
      <c r="A162" s="3273" t="s">
        <v>29</v>
      </c>
      <c r="B162" s="3262" t="s">
        <v>2997</v>
      </c>
      <c r="C162" s="3263">
        <v>0.1</v>
      </c>
      <c r="D162" s="3263">
        <v>0.1</v>
      </c>
      <c r="E162" s="3263">
        <v>0.1</v>
      </c>
      <c r="F162" s="3263">
        <v>0.121</v>
      </c>
      <c r="G162" s="3264">
        <v>0.105</v>
      </c>
    </row>
    <row r="163" spans="1:7">
      <c r="A163" s="3273" t="s">
        <v>29</v>
      </c>
      <c r="B163" s="3262" t="s">
        <v>3002</v>
      </c>
      <c r="C163" s="3263">
        <v>0.1</v>
      </c>
      <c r="D163" s="3263">
        <v>0.1</v>
      </c>
      <c r="E163" s="3263">
        <v>0.1</v>
      </c>
      <c r="F163" s="3263">
        <v>0.1</v>
      </c>
      <c r="G163" s="3264">
        <v>0.1</v>
      </c>
    </row>
    <row r="164" spans="1:7">
      <c r="A164" s="3273" t="s">
        <v>29</v>
      </c>
      <c r="B164" s="3262" t="s">
        <v>3007</v>
      </c>
      <c r="C164" s="3279"/>
      <c r="D164" s="3279"/>
      <c r="E164" s="3279"/>
      <c r="F164" s="3263">
        <v>0.1</v>
      </c>
      <c r="G164" s="3275"/>
    </row>
    <row r="165" spans="1:7">
      <c r="A165" s="3273" t="s">
        <v>29</v>
      </c>
      <c r="B165" s="3262" t="s">
        <v>3178</v>
      </c>
      <c r="C165" s="3263">
        <v>0.126</v>
      </c>
      <c r="D165" s="3263">
        <v>0.126</v>
      </c>
      <c r="E165" s="3263">
        <v>0.11899999999999999</v>
      </c>
      <c r="F165" s="3263">
        <v>0.13</v>
      </c>
      <c r="G165" s="3264">
        <v>0.128</v>
      </c>
    </row>
    <row r="166" spans="1:7">
      <c r="A166" s="3273" t="s">
        <v>29</v>
      </c>
      <c r="B166" s="3262" t="s">
        <v>3017</v>
      </c>
      <c r="C166" s="3263">
        <v>0.129</v>
      </c>
      <c r="D166" s="3263">
        <v>0.129</v>
      </c>
      <c r="E166" s="3263">
        <v>0.123</v>
      </c>
      <c r="F166" s="3263">
        <v>0.128</v>
      </c>
      <c r="G166" s="3264">
        <v>0.13</v>
      </c>
    </row>
    <row r="167" spans="1:7">
      <c r="A167" s="3273" t="s">
        <v>29</v>
      </c>
      <c r="B167" s="3262" t="s">
        <v>3021</v>
      </c>
      <c r="C167" s="3263">
        <v>0.125</v>
      </c>
      <c r="D167" s="3263">
        <v>0.125</v>
      </c>
      <c r="E167" s="3263">
        <v>0.11700000000000001</v>
      </c>
      <c r="F167" s="3263">
        <v>0.13</v>
      </c>
      <c r="G167" s="3264">
        <v>0.126</v>
      </c>
    </row>
    <row r="168" spans="1:7">
      <c r="A168" s="3273" t="s">
        <v>29</v>
      </c>
      <c r="B168" s="3262" t="s">
        <v>3026</v>
      </c>
      <c r="C168" s="3263">
        <v>0.128</v>
      </c>
      <c r="D168" s="3263">
        <v>0.128</v>
      </c>
      <c r="E168" s="3263">
        <v>0.123</v>
      </c>
      <c r="F168" s="3274"/>
      <c r="G168" s="3264">
        <v>0.13</v>
      </c>
    </row>
    <row r="169" spans="1:7">
      <c r="A169" s="3273" t="s">
        <v>29</v>
      </c>
      <c r="B169" s="3262" t="s">
        <v>3179</v>
      </c>
      <c r="C169" s="3279"/>
      <c r="D169" s="3279"/>
      <c r="E169" s="3279"/>
      <c r="F169" s="3263">
        <v>0.05</v>
      </c>
      <c r="G169" s="3275"/>
    </row>
    <row r="170" spans="1:7">
      <c r="A170" s="3273" t="s">
        <v>29</v>
      </c>
      <c r="B170" s="3262" t="s">
        <v>3180</v>
      </c>
      <c r="C170" s="3279"/>
      <c r="D170" s="3279"/>
      <c r="E170" s="3279"/>
      <c r="F170" s="3263">
        <v>0.05</v>
      </c>
      <c r="G170" s="3275"/>
    </row>
    <row r="171" spans="1:7">
      <c r="A171" s="3273" t="s">
        <v>29</v>
      </c>
      <c r="B171" s="3262" t="s">
        <v>3181</v>
      </c>
      <c r="C171" s="3279"/>
      <c r="D171" s="3279"/>
      <c r="E171" s="3279"/>
      <c r="F171" s="3263">
        <v>0.05</v>
      </c>
      <c r="G171" s="3280"/>
    </row>
    <row r="172" spans="1:7">
      <c r="A172" s="3273" t="s">
        <v>29</v>
      </c>
      <c r="B172" s="3262" t="s">
        <v>3182</v>
      </c>
      <c r="C172" s="3279"/>
      <c r="D172" s="3279"/>
      <c r="E172" s="3279"/>
      <c r="F172" s="3263">
        <v>0.05</v>
      </c>
      <c r="G172" s="3280"/>
    </row>
    <row r="173" spans="1:7">
      <c r="A173" s="3273" t="s">
        <v>29</v>
      </c>
      <c r="B173" s="3262" t="s">
        <v>3183</v>
      </c>
      <c r="C173" s="3279"/>
      <c r="D173" s="3279"/>
      <c r="E173" s="3279"/>
      <c r="F173" s="3263">
        <v>0.05</v>
      </c>
      <c r="G173" s="3275"/>
    </row>
    <row r="174" spans="1:7">
      <c r="A174" s="3273" t="s">
        <v>29</v>
      </c>
      <c r="B174" s="3262" t="s">
        <v>3184</v>
      </c>
      <c r="C174" s="3279"/>
      <c r="D174" s="3279"/>
      <c r="E174" s="3279"/>
      <c r="F174" s="3263">
        <v>0.05</v>
      </c>
      <c r="G174" s="3275"/>
    </row>
    <row r="175" spans="1:7">
      <c r="A175" s="3273" t="s">
        <v>29</v>
      </c>
      <c r="B175" s="3262" t="s">
        <v>3185</v>
      </c>
      <c r="C175" s="3279"/>
      <c r="D175" s="3279"/>
      <c r="E175" s="3279"/>
      <c r="F175" s="3263">
        <v>0.05</v>
      </c>
      <c r="G175" s="3275"/>
    </row>
    <row r="176" spans="1:7">
      <c r="A176" s="3273" t="s">
        <v>29</v>
      </c>
      <c r="B176" s="3262" t="s">
        <v>3186</v>
      </c>
      <c r="C176" s="3279"/>
      <c r="D176" s="3279"/>
      <c r="E176" s="3279"/>
      <c r="F176" s="3263">
        <v>0.05</v>
      </c>
      <c r="G176" s="3275"/>
    </row>
    <row r="177" spans="1:7">
      <c r="A177" s="3273" t="s">
        <v>29</v>
      </c>
      <c r="B177" s="3262" t="s">
        <v>3187</v>
      </c>
      <c r="C177" s="3274"/>
      <c r="D177" s="3274"/>
      <c r="E177" s="3274"/>
      <c r="F177" s="3263">
        <v>0.05</v>
      </c>
      <c r="G177" s="3280"/>
    </row>
    <row r="178" spans="1:7">
      <c r="A178" s="3273" t="s">
        <v>29</v>
      </c>
      <c r="B178" s="3262" t="s">
        <v>3188</v>
      </c>
      <c r="C178" s="3274"/>
      <c r="D178" s="3274"/>
      <c r="E178" s="3274"/>
      <c r="F178" s="3263">
        <v>0.05</v>
      </c>
      <c r="G178" s="3280"/>
    </row>
    <row r="179" spans="1:7">
      <c r="A179" s="3273" t="s">
        <v>29</v>
      </c>
      <c r="B179" s="3262" t="s">
        <v>3189</v>
      </c>
      <c r="C179" s="3274"/>
      <c r="D179" s="3274"/>
      <c r="E179" s="3274"/>
      <c r="F179" s="3263">
        <v>0.05</v>
      </c>
      <c r="G179" s="3280"/>
    </row>
    <row r="180" spans="1:7">
      <c r="A180" s="3273" t="s">
        <v>29</v>
      </c>
      <c r="B180" s="3262" t="s">
        <v>3190</v>
      </c>
      <c r="C180" s="3274"/>
      <c r="D180" s="3274"/>
      <c r="E180" s="3274"/>
      <c r="F180" s="3263">
        <v>0.05</v>
      </c>
      <c r="G180" s="3280"/>
    </row>
    <row r="181" spans="1:7">
      <c r="A181" s="3273" t="s">
        <v>29</v>
      </c>
      <c r="B181" s="3262" t="s">
        <v>3191</v>
      </c>
      <c r="C181" s="3274"/>
      <c r="D181" s="3274"/>
      <c r="E181" s="3274"/>
      <c r="F181" s="3263">
        <v>0.05</v>
      </c>
      <c r="G181" s="3280"/>
    </row>
    <row r="182" spans="1:7">
      <c r="A182" s="3273" t="s">
        <v>29</v>
      </c>
      <c r="B182" s="3262" t="s">
        <v>3192</v>
      </c>
      <c r="C182" s="3274"/>
      <c r="D182" s="3274"/>
      <c r="E182" s="3274"/>
      <c r="F182" s="3263">
        <v>0.05</v>
      </c>
      <c r="G182" s="3280"/>
    </row>
    <row r="183" spans="1:7">
      <c r="A183" s="3273" t="s">
        <v>29</v>
      </c>
      <c r="B183" s="3262" t="s">
        <v>3193</v>
      </c>
      <c r="C183" s="3274"/>
      <c r="D183" s="3274"/>
      <c r="E183" s="3274"/>
      <c r="F183" s="3263">
        <v>0.05</v>
      </c>
      <c r="G183" s="3280"/>
    </row>
    <row r="184" spans="1:7">
      <c r="A184" s="3273" t="s">
        <v>29</v>
      </c>
      <c r="B184" s="3262" t="s">
        <v>3194</v>
      </c>
      <c r="C184" s="3274"/>
      <c r="D184" s="3274"/>
      <c r="E184" s="3274"/>
      <c r="F184" s="3263">
        <v>0.05</v>
      </c>
      <c r="G184" s="3280"/>
    </row>
    <row r="185" spans="1:7">
      <c r="A185" s="3273" t="s">
        <v>29</v>
      </c>
      <c r="B185" s="3262" t="s">
        <v>3195</v>
      </c>
      <c r="C185" s="3274"/>
      <c r="D185" s="3274"/>
      <c r="E185" s="3274"/>
      <c r="F185" s="3263">
        <v>0.05</v>
      </c>
      <c r="G185" s="3280"/>
    </row>
    <row r="186" spans="1:7">
      <c r="A186" s="3273" t="s">
        <v>29</v>
      </c>
      <c r="B186" s="3262" t="s">
        <v>3196</v>
      </c>
      <c r="C186" s="3274"/>
      <c r="D186" s="3274"/>
      <c r="E186" s="3274"/>
      <c r="F186" s="3263">
        <v>0.05</v>
      </c>
      <c r="G186" s="3280"/>
    </row>
    <row r="187" spans="1:7">
      <c r="A187" s="3273" t="s">
        <v>29</v>
      </c>
      <c r="B187" s="3262" t="s">
        <v>3197</v>
      </c>
      <c r="C187" s="3274"/>
      <c r="D187" s="3274"/>
      <c r="E187" s="3274"/>
      <c r="F187" s="3263">
        <v>0.05</v>
      </c>
      <c r="G187" s="3280"/>
    </row>
    <row r="188" spans="1:7">
      <c r="A188" s="3273" t="s">
        <v>29</v>
      </c>
      <c r="B188" s="3262" t="s">
        <v>3198</v>
      </c>
      <c r="C188" s="3274"/>
      <c r="D188" s="3274"/>
      <c r="E188" s="3274"/>
      <c r="F188" s="3263">
        <v>0.05</v>
      </c>
      <c r="G188" s="3280"/>
    </row>
    <row r="189" spans="1:7" ht="14.25" thickBot="1">
      <c r="A189" s="3276" t="s">
        <v>29</v>
      </c>
      <c r="B189" s="3266" t="s">
        <v>3199</v>
      </c>
      <c r="C189" s="3268"/>
      <c r="D189" s="3268"/>
      <c r="E189" s="3268"/>
      <c r="F189" s="3267">
        <v>0.05</v>
      </c>
      <c r="G189" s="3281"/>
    </row>
    <row r="190" spans="1:7">
      <c r="A190" s="3272" t="s">
        <v>304</v>
      </c>
      <c r="B190" s="3258" t="s">
        <v>2855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2891</v>
      </c>
      <c r="C199" s="3263">
        <v>0.13</v>
      </c>
      <c r="D199" s="3263">
        <v>0.13</v>
      </c>
      <c r="E199" s="3263">
        <v>0.13</v>
      </c>
      <c r="F199" s="3263">
        <v>0.13</v>
      </c>
      <c r="G199" s="3264">
        <v>0.13</v>
      </c>
    </row>
    <row r="200" spans="1:7">
      <c r="A200" s="3273" t="s">
        <v>304</v>
      </c>
      <c r="B200" s="3262" t="s">
        <v>2894</v>
      </c>
      <c r="C200" s="3279"/>
      <c r="D200" s="3279"/>
      <c r="E200" s="3279"/>
      <c r="F200" s="3263">
        <v>0.13</v>
      </c>
      <c r="G200" s="3275"/>
    </row>
    <row r="201" spans="1:7">
      <c r="A201" s="3273" t="s">
        <v>304</v>
      </c>
      <c r="B201" s="3262" t="s">
        <v>2899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2902</v>
      </c>
      <c r="C203" s="3263">
        <v>0.129</v>
      </c>
      <c r="D203" s="3263">
        <v>0.129</v>
      </c>
      <c r="E203" s="3263">
        <v>0.13</v>
      </c>
      <c r="F203" s="3263">
        <v>0.13</v>
      </c>
      <c r="G203" s="3264">
        <v>0.13</v>
      </c>
    </row>
    <row r="204" spans="1:7">
      <c r="A204" s="3273" t="s">
        <v>304</v>
      </c>
      <c r="B204" s="3262" t="s">
        <v>2905</v>
      </c>
      <c r="C204" s="3263">
        <v>0.129</v>
      </c>
      <c r="D204" s="3263">
        <v>0.129</v>
      </c>
      <c r="E204" s="3263">
        <v>0.123</v>
      </c>
      <c r="F204" s="3263">
        <v>0.13</v>
      </c>
      <c r="G204" s="3264">
        <v>0.13</v>
      </c>
    </row>
    <row r="205" spans="1:7">
      <c r="A205" s="3273" t="s">
        <v>304</v>
      </c>
      <c r="B205" s="3262" t="s">
        <v>2907</v>
      </c>
      <c r="C205" s="3263">
        <v>0.13</v>
      </c>
      <c r="D205" s="3263">
        <v>0.13</v>
      </c>
      <c r="E205" s="3263">
        <v>0.13</v>
      </c>
      <c r="F205" s="3263">
        <v>0.13</v>
      </c>
      <c r="G205" s="3264">
        <v>0.13</v>
      </c>
    </row>
    <row r="206" spans="1:7">
      <c r="A206" s="3273" t="s">
        <v>304</v>
      </c>
      <c r="B206" s="3262" t="s">
        <v>2910</v>
      </c>
      <c r="C206" s="3263">
        <v>0.13</v>
      </c>
      <c r="D206" s="3263">
        <v>0.13</v>
      </c>
      <c r="E206" s="3263">
        <v>0.13</v>
      </c>
      <c r="F206" s="3263">
        <v>0.128</v>
      </c>
      <c r="G206" s="3264">
        <v>0.13</v>
      </c>
    </row>
    <row r="207" spans="1:7">
      <c r="A207" s="3273" t="s">
        <v>304</v>
      </c>
      <c r="B207" s="3262" t="s">
        <v>2912</v>
      </c>
      <c r="C207" s="3263">
        <v>0.13</v>
      </c>
      <c r="D207" s="3263">
        <v>0.13</v>
      </c>
      <c r="E207" s="3263">
        <v>0.13</v>
      </c>
      <c r="F207" s="3263">
        <v>0.13</v>
      </c>
      <c r="G207" s="3264">
        <v>0.13</v>
      </c>
    </row>
    <row r="208" spans="1:7">
      <c r="A208" s="3273" t="s">
        <v>304</v>
      </c>
      <c r="B208" s="3262" t="s">
        <v>2915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2922</v>
      </c>
      <c r="C210" s="3263">
        <v>0.121</v>
      </c>
      <c r="D210" s="3263">
        <v>0.121</v>
      </c>
      <c r="E210" s="3263">
        <v>0.125</v>
      </c>
      <c r="F210" s="3263">
        <v>0.13</v>
      </c>
      <c r="G210" s="3264">
        <v>0.123</v>
      </c>
    </row>
    <row r="211" spans="1:7">
      <c r="A211" s="3273" t="s">
        <v>304</v>
      </c>
      <c r="B211" s="3262" t="s">
        <v>2925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2937</v>
      </c>
      <c r="C214" s="3263">
        <v>0.128</v>
      </c>
      <c r="D214" s="3263">
        <v>0.128</v>
      </c>
      <c r="E214" s="3263">
        <v>0.13</v>
      </c>
      <c r="F214" s="3263">
        <v>0.13</v>
      </c>
      <c r="G214" s="3264">
        <v>0.13</v>
      </c>
    </row>
    <row r="215" spans="1:7">
      <c r="A215" s="3273" t="s">
        <v>304</v>
      </c>
      <c r="B215" s="3262" t="s">
        <v>2941</v>
      </c>
      <c r="C215" s="3263">
        <v>0.13</v>
      </c>
      <c r="D215" s="3263">
        <v>0.13</v>
      </c>
      <c r="E215" s="3263">
        <v>0.13</v>
      </c>
      <c r="F215" s="3263">
        <v>0.129</v>
      </c>
      <c r="G215" s="3264">
        <v>0.13</v>
      </c>
    </row>
    <row r="216" spans="1:7">
      <c r="A216" s="3273" t="s">
        <v>304</v>
      </c>
      <c r="B216" s="3262" t="s">
        <v>2948</v>
      </c>
      <c r="C216" s="3263">
        <v>0.13</v>
      </c>
      <c r="D216" s="3263">
        <v>0.13</v>
      </c>
      <c r="E216" s="3263">
        <v>0.13</v>
      </c>
      <c r="F216" s="3263">
        <v>0.13</v>
      </c>
      <c r="G216" s="3264">
        <v>0.13</v>
      </c>
    </row>
    <row r="217" spans="1:7">
      <c r="A217" s="3273" t="s">
        <v>304</v>
      </c>
      <c r="B217" s="3262" t="s">
        <v>2955</v>
      </c>
      <c r="C217" s="3263">
        <v>0.129</v>
      </c>
      <c r="D217" s="3263">
        <v>0.129</v>
      </c>
      <c r="E217" s="3263">
        <v>0.13</v>
      </c>
      <c r="F217" s="3263">
        <v>0.13</v>
      </c>
      <c r="G217" s="3264">
        <v>0.13</v>
      </c>
    </row>
    <row r="218" spans="1:7">
      <c r="A218" s="3273" t="s">
        <v>304</v>
      </c>
      <c r="B218" s="3262" t="s">
        <v>2961</v>
      </c>
      <c r="C218" s="3274"/>
      <c r="D218" s="3274"/>
      <c r="E218" s="3274"/>
      <c r="F218" s="3263">
        <v>0.05</v>
      </c>
      <c r="G218" s="3280"/>
    </row>
    <row r="219" spans="1:7">
      <c r="A219" s="3273" t="s">
        <v>304</v>
      </c>
      <c r="B219" s="3262" t="s">
        <v>2968</v>
      </c>
      <c r="C219" s="3274"/>
      <c r="D219" s="3274"/>
      <c r="E219" s="3274"/>
      <c r="F219" s="3263">
        <v>0.05</v>
      </c>
      <c r="G219" s="3280"/>
    </row>
    <row r="220" spans="1:7">
      <c r="A220" s="3273" t="s">
        <v>304</v>
      </c>
      <c r="B220" s="3262" t="s">
        <v>2974</v>
      </c>
      <c r="C220" s="3274"/>
      <c r="D220" s="3274"/>
      <c r="E220" s="3274"/>
      <c r="F220" s="3263">
        <v>0.05</v>
      </c>
      <c r="G220" s="3280"/>
    </row>
    <row r="221" spans="1:7">
      <c r="A221" s="3273" t="s">
        <v>304</v>
      </c>
      <c r="B221" s="3262" t="s">
        <v>2979</v>
      </c>
      <c r="C221" s="3274"/>
      <c r="D221" s="3274"/>
      <c r="E221" s="3274"/>
      <c r="F221" s="3263">
        <v>0.05</v>
      </c>
      <c r="G221" s="3280"/>
    </row>
    <row r="222" spans="1:7">
      <c r="A222" s="3273" t="s">
        <v>304</v>
      </c>
      <c r="B222" s="3262" t="s">
        <v>2983</v>
      </c>
      <c r="C222" s="3274"/>
      <c r="D222" s="3274"/>
      <c r="E222" s="3274"/>
      <c r="F222" s="3263">
        <v>0.05</v>
      </c>
      <c r="G222" s="3280"/>
    </row>
    <row r="223" spans="1:7">
      <c r="A223" s="3273" t="s">
        <v>304</v>
      </c>
      <c r="B223" s="3262" t="s">
        <v>2988</v>
      </c>
      <c r="C223" s="3274"/>
      <c r="D223" s="3274"/>
      <c r="E223" s="3274"/>
      <c r="F223" s="3263">
        <v>0.05</v>
      </c>
      <c r="G223" s="3280"/>
    </row>
    <row r="224" spans="1:7">
      <c r="A224" s="3273" t="s">
        <v>304</v>
      </c>
      <c r="B224" s="3262" t="s">
        <v>2993</v>
      </c>
      <c r="C224" s="3274"/>
      <c r="D224" s="3274"/>
      <c r="E224" s="3274"/>
      <c r="F224" s="3263">
        <v>0.05</v>
      </c>
      <c r="G224" s="3280"/>
    </row>
    <row r="225" spans="1:7">
      <c r="A225" s="3273" t="s">
        <v>304</v>
      </c>
      <c r="B225" s="3262" t="s">
        <v>2998</v>
      </c>
      <c r="C225" s="3274"/>
      <c r="D225" s="3274"/>
      <c r="E225" s="3274"/>
      <c r="F225" s="3263">
        <v>0.05</v>
      </c>
      <c r="G225" s="3280"/>
    </row>
    <row r="226" spans="1:7">
      <c r="A226" s="3273" t="s">
        <v>304</v>
      </c>
      <c r="B226" s="3262" t="s">
        <v>3200</v>
      </c>
      <c r="C226" s="3274"/>
      <c r="D226" s="3274"/>
      <c r="E226" s="3274"/>
      <c r="F226" s="3263">
        <v>0.05</v>
      </c>
      <c r="G226" s="3280"/>
    </row>
    <row r="227" spans="1:7">
      <c r="A227" s="3273" t="s">
        <v>304</v>
      </c>
      <c r="B227" s="3262" t="s">
        <v>3201</v>
      </c>
      <c r="C227" s="3274"/>
      <c r="D227" s="3274"/>
      <c r="E227" s="3274"/>
      <c r="F227" s="3263">
        <v>0.05</v>
      </c>
      <c r="G227" s="3280"/>
    </row>
    <row r="228" spans="1:7">
      <c r="A228" s="3273" t="s">
        <v>304</v>
      </c>
      <c r="B228" s="3262" t="s">
        <v>3202</v>
      </c>
      <c r="C228" s="3274"/>
      <c r="D228" s="3274"/>
      <c r="E228" s="3274"/>
      <c r="F228" s="3263">
        <v>0.05</v>
      </c>
      <c r="G228" s="3280"/>
    </row>
    <row r="229" spans="1:7">
      <c r="A229" s="3273" t="s">
        <v>304</v>
      </c>
      <c r="B229" s="3262" t="s">
        <v>3203</v>
      </c>
      <c r="C229" s="3274"/>
      <c r="D229" s="3274"/>
      <c r="E229" s="3274"/>
      <c r="F229" s="3263">
        <v>0.05</v>
      </c>
      <c r="G229" s="3280"/>
    </row>
    <row r="230" spans="1:7">
      <c r="A230" s="3273" t="s">
        <v>304</v>
      </c>
      <c r="B230" s="3262" t="s">
        <v>3204</v>
      </c>
      <c r="C230" s="3274"/>
      <c r="D230" s="3274"/>
      <c r="E230" s="3274"/>
      <c r="F230" s="3263">
        <v>0.05</v>
      </c>
      <c r="G230" s="3280"/>
    </row>
    <row r="231" spans="1:7">
      <c r="A231" s="3273" t="s">
        <v>304</v>
      </c>
      <c r="B231" s="3262" t="s">
        <v>3205</v>
      </c>
      <c r="C231" s="3274"/>
      <c r="D231" s="3274"/>
      <c r="E231" s="3274"/>
      <c r="F231" s="3263">
        <v>0.05</v>
      </c>
      <c r="G231" s="3280"/>
    </row>
    <row r="232" spans="1:7">
      <c r="A232" s="3273" t="s">
        <v>304</v>
      </c>
      <c r="B232" s="3262" t="s">
        <v>3206</v>
      </c>
      <c r="C232" s="3274"/>
      <c r="D232" s="3274"/>
      <c r="E232" s="3274"/>
      <c r="F232" s="3263">
        <v>0.05</v>
      </c>
      <c r="G232" s="3280"/>
    </row>
    <row r="233" spans="1:7" ht="14.25" thickBot="1">
      <c r="A233" s="3276" t="s">
        <v>304</v>
      </c>
      <c r="B233" s="3266" t="s">
        <v>3207</v>
      </c>
      <c r="C233" s="3268"/>
      <c r="D233" s="3268"/>
      <c r="E233" s="3268"/>
      <c r="F233" s="3267">
        <v>0.05</v>
      </c>
      <c r="G233" s="3281"/>
    </row>
    <row r="234" spans="1:7">
      <c r="A234" s="3272" t="s">
        <v>305</v>
      </c>
      <c r="B234" s="3258" t="s">
        <v>2856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2876</v>
      </c>
      <c r="C238" s="3263">
        <v>0.14899999999999999</v>
      </c>
      <c r="D238" s="3263">
        <v>0.14899999999999999</v>
      </c>
      <c r="E238" s="3263">
        <v>0.15</v>
      </c>
      <c r="F238" s="3263">
        <v>0.15</v>
      </c>
      <c r="G238" s="3264">
        <v>0.15</v>
      </c>
    </row>
    <row r="239" spans="1:7">
      <c r="A239" s="3273" t="s">
        <v>305</v>
      </c>
      <c r="B239" s="3262" t="s">
        <v>2880</v>
      </c>
      <c r="C239" s="3263">
        <v>0.15</v>
      </c>
      <c r="D239" s="3263">
        <v>0.15</v>
      </c>
      <c r="E239" s="3263">
        <v>0.15</v>
      </c>
      <c r="F239" s="3263">
        <v>0.15</v>
      </c>
      <c r="G239" s="3264">
        <v>0.15</v>
      </c>
    </row>
    <row r="240" spans="1:7">
      <c r="A240" s="3273" t="s">
        <v>305</v>
      </c>
      <c r="B240" s="3262" t="s">
        <v>2885</v>
      </c>
      <c r="C240" s="3263">
        <v>0.15</v>
      </c>
      <c r="D240" s="3263">
        <v>0.15</v>
      </c>
      <c r="E240" s="3263">
        <v>0.15</v>
      </c>
      <c r="F240" s="3263">
        <v>0.15</v>
      </c>
      <c r="G240" s="3264">
        <v>0.15</v>
      </c>
    </row>
    <row r="241" spans="1:7">
      <c r="A241" s="3273" t="s">
        <v>305</v>
      </c>
      <c r="B241" s="3262" t="s">
        <v>2889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2908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2929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2938</v>
      </c>
      <c r="C258" s="3263">
        <v>0.14299999999999999</v>
      </c>
      <c r="D258" s="3263">
        <v>0.14299999999999999</v>
      </c>
      <c r="E258" s="3263">
        <v>0.15</v>
      </c>
      <c r="F258" s="3263">
        <v>0.14799999999999999</v>
      </c>
      <c r="G258" s="3264">
        <v>0.14599999999999999</v>
      </c>
    </row>
    <row r="259" spans="1:7">
      <c r="A259" s="3273" t="s">
        <v>305</v>
      </c>
      <c r="B259" s="3262" t="s">
        <v>2942</v>
      </c>
      <c r="C259" s="3263">
        <v>0.14399999999999999</v>
      </c>
      <c r="D259" s="3263">
        <v>0.14399999999999999</v>
      </c>
      <c r="E259" s="3263">
        <v>0.14899999999999999</v>
      </c>
      <c r="F259" s="3263">
        <v>0.14699999999999999</v>
      </c>
      <c r="G259" s="3264">
        <v>0.14599999999999999</v>
      </c>
    </row>
    <row r="260" spans="1:7">
      <c r="A260" s="3273" t="s">
        <v>305</v>
      </c>
      <c r="B260" s="3262" t="s">
        <v>2949</v>
      </c>
      <c r="C260" s="3263">
        <v>0.109</v>
      </c>
      <c r="D260" s="3263">
        <v>0.111</v>
      </c>
      <c r="E260" s="3263">
        <v>0.13100000000000001</v>
      </c>
      <c r="F260" s="3263">
        <v>0.126</v>
      </c>
      <c r="G260" s="3264">
        <v>0.11899999999999999</v>
      </c>
    </row>
    <row r="261" spans="1:7">
      <c r="A261" s="3273" t="s">
        <v>305</v>
      </c>
      <c r="B261" s="3262" t="s">
        <v>2956</v>
      </c>
      <c r="C261" s="3263">
        <v>0.1</v>
      </c>
      <c r="D261" s="3263">
        <v>0.1</v>
      </c>
      <c r="E261" s="3263">
        <v>0.11799999999999999</v>
      </c>
      <c r="F261" s="3263">
        <v>0.108</v>
      </c>
      <c r="G261" s="3264">
        <v>0.107</v>
      </c>
    </row>
    <row r="262" spans="1:7">
      <c r="A262" s="3273" t="s">
        <v>305</v>
      </c>
      <c r="B262" s="3262" t="s">
        <v>2962</v>
      </c>
      <c r="C262" s="3263">
        <v>0.1</v>
      </c>
      <c r="D262" s="3263">
        <v>0.1</v>
      </c>
      <c r="E262" s="3263">
        <v>0.1</v>
      </c>
      <c r="F262" s="3263">
        <v>0.14099999999999999</v>
      </c>
      <c r="G262" s="3264">
        <v>0.1</v>
      </c>
    </row>
    <row r="263" spans="1:7">
      <c r="A263" s="3273" t="s">
        <v>305</v>
      </c>
      <c r="B263" s="3262" t="s">
        <v>2969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2980</v>
      </c>
      <c r="C265" s="3274"/>
      <c r="D265" s="3274"/>
      <c r="E265" s="3274"/>
      <c r="F265" s="3263">
        <v>0.05</v>
      </c>
      <c r="G265" s="3280"/>
    </row>
    <row r="266" spans="1:7">
      <c r="A266" s="3273" t="s">
        <v>305</v>
      </c>
      <c r="B266" s="3262" t="s">
        <v>2984</v>
      </c>
      <c r="C266" s="3274"/>
      <c r="D266" s="3274"/>
      <c r="E266" s="3274"/>
      <c r="F266" s="3263">
        <v>0.05</v>
      </c>
      <c r="G266" s="3280"/>
    </row>
    <row r="267" spans="1:7">
      <c r="A267" s="3273" t="s">
        <v>305</v>
      </c>
      <c r="B267" s="3262" t="s">
        <v>2989</v>
      </c>
      <c r="C267" s="3274"/>
      <c r="D267" s="3274"/>
      <c r="E267" s="3274"/>
      <c r="F267" s="3263">
        <v>0.05</v>
      </c>
      <c r="G267" s="3280"/>
    </row>
    <row r="268" spans="1:7">
      <c r="A268" s="3273" t="s">
        <v>305</v>
      </c>
      <c r="B268" s="3262" t="s">
        <v>2994</v>
      </c>
      <c r="C268" s="3274"/>
      <c r="D268" s="3274"/>
      <c r="E268" s="3274"/>
      <c r="F268" s="3263">
        <v>0.05</v>
      </c>
      <c r="G268" s="3280"/>
    </row>
    <row r="269" spans="1:7">
      <c r="A269" s="3273" t="s">
        <v>305</v>
      </c>
      <c r="B269" s="3262" t="s">
        <v>2999</v>
      </c>
      <c r="C269" s="3274"/>
      <c r="D269" s="3274"/>
      <c r="E269" s="3274"/>
      <c r="F269" s="3263">
        <v>0.05</v>
      </c>
      <c r="G269" s="3280"/>
    </row>
    <row r="270" spans="1:7">
      <c r="A270" s="3273" t="s">
        <v>305</v>
      </c>
      <c r="B270" s="3262" t="s">
        <v>3004</v>
      </c>
      <c r="C270" s="3274"/>
      <c r="D270" s="3274"/>
      <c r="E270" s="3274"/>
      <c r="F270" s="3263">
        <v>0.05</v>
      </c>
      <c r="G270" s="3280"/>
    </row>
    <row r="271" spans="1:7">
      <c r="A271" s="3273" t="s">
        <v>305</v>
      </c>
      <c r="B271" s="3262" t="s">
        <v>3208</v>
      </c>
      <c r="C271" s="3274"/>
      <c r="D271" s="3274"/>
      <c r="E271" s="3274"/>
      <c r="F271" s="3263">
        <v>0.05</v>
      </c>
      <c r="G271" s="3280"/>
    </row>
    <row r="272" spans="1:7">
      <c r="A272" s="3273" t="s">
        <v>305</v>
      </c>
      <c r="B272" s="3262" t="s">
        <v>3209</v>
      </c>
      <c r="C272" s="3274"/>
      <c r="D272" s="3274"/>
      <c r="E272" s="3274"/>
      <c r="F272" s="3263">
        <v>0.05</v>
      </c>
      <c r="G272" s="3280"/>
    </row>
    <row r="273" spans="1:7">
      <c r="A273" s="3273" t="s">
        <v>305</v>
      </c>
      <c r="B273" s="3262" t="s">
        <v>3210</v>
      </c>
      <c r="C273" s="3274"/>
      <c r="D273" s="3274"/>
      <c r="E273" s="3274"/>
      <c r="F273" s="3263">
        <v>0.05</v>
      </c>
      <c r="G273" s="3280"/>
    </row>
    <row r="274" spans="1:7">
      <c r="A274" s="3273" t="s">
        <v>305</v>
      </c>
      <c r="B274" s="3262" t="s">
        <v>3211</v>
      </c>
      <c r="C274" s="3274"/>
      <c r="D274" s="3274"/>
      <c r="E274" s="3274"/>
      <c r="F274" s="3263">
        <v>0.05</v>
      </c>
      <c r="G274" s="3280"/>
    </row>
    <row r="275" spans="1:7">
      <c r="A275" s="3273" t="s">
        <v>305</v>
      </c>
      <c r="B275" s="3262" t="s">
        <v>3212</v>
      </c>
      <c r="C275" s="3274"/>
      <c r="D275" s="3274"/>
      <c r="E275" s="3274"/>
      <c r="F275" s="3263">
        <v>0.05</v>
      </c>
      <c r="G275" s="3280"/>
    </row>
    <row r="276" spans="1:7" ht="14.25" thickBot="1">
      <c r="A276" s="3276" t="s">
        <v>305</v>
      </c>
      <c r="B276" s="3266" t="s">
        <v>3213</v>
      </c>
      <c r="C276" s="3268"/>
      <c r="D276" s="3268"/>
      <c r="E276" s="3268"/>
      <c r="F276" s="3267">
        <v>0.05</v>
      </c>
      <c r="G276" s="3281"/>
    </row>
    <row r="277" spans="1:7">
      <c r="A277" s="3272" t="s">
        <v>306</v>
      </c>
      <c r="B277" s="3258" t="s">
        <v>2857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2869</v>
      </c>
      <c r="C279" s="3263">
        <v>0.15</v>
      </c>
      <c r="D279" s="3263">
        <v>0.15</v>
      </c>
      <c r="E279" s="3263">
        <v>0.15</v>
      </c>
      <c r="F279" s="3263">
        <v>0.15</v>
      </c>
      <c r="G279" s="3264">
        <v>0.15</v>
      </c>
    </row>
    <row r="280" spans="1:7">
      <c r="A280" s="3273" t="s">
        <v>306</v>
      </c>
      <c r="B280" s="3262" t="s">
        <v>2873</v>
      </c>
      <c r="C280" s="3263">
        <v>0.15</v>
      </c>
      <c r="D280" s="3263">
        <v>0.15</v>
      </c>
      <c r="E280" s="3263">
        <v>0.15</v>
      </c>
      <c r="F280" s="3263">
        <v>0.15</v>
      </c>
      <c r="G280" s="3264">
        <v>0.15</v>
      </c>
    </row>
    <row r="281" spans="1:7">
      <c r="A281" s="3273" t="s">
        <v>306</v>
      </c>
      <c r="B281" s="3262" t="s">
        <v>2877</v>
      </c>
      <c r="C281" s="3263">
        <v>0.15</v>
      </c>
      <c r="D281" s="3263">
        <v>0.15</v>
      </c>
      <c r="E281" s="3263">
        <v>0.15</v>
      </c>
      <c r="F281" s="3263">
        <v>0.15</v>
      </c>
      <c r="G281" s="3264">
        <v>0.15</v>
      </c>
    </row>
    <row r="282" spans="1:7">
      <c r="A282" s="3273" t="s">
        <v>306</v>
      </c>
      <c r="B282" s="3262" t="s">
        <v>2881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2911</v>
      </c>
      <c r="C293" s="3263">
        <v>0.15</v>
      </c>
      <c r="D293" s="3263">
        <v>0.15</v>
      </c>
      <c r="E293" s="3263">
        <v>0.15</v>
      </c>
      <c r="F293" s="3263">
        <v>0.14499999999999999</v>
      </c>
      <c r="G293" s="3264">
        <v>0.15</v>
      </c>
    </row>
    <row r="294" spans="1:7">
      <c r="A294" s="3273" t="s">
        <v>306</v>
      </c>
      <c r="B294" s="3262" t="s">
        <v>2913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2943</v>
      </c>
      <c r="C302" s="3263">
        <v>0.15</v>
      </c>
      <c r="D302" s="3263">
        <v>0.15</v>
      </c>
      <c r="E302" s="3263">
        <v>0.15</v>
      </c>
      <c r="F302" s="3263">
        <v>0.14699999999999999</v>
      </c>
      <c r="G302" s="3264">
        <v>0.15</v>
      </c>
    </row>
    <row r="303" spans="1:7">
      <c r="A303" s="3273" t="s">
        <v>306</v>
      </c>
      <c r="B303" s="3262" t="s">
        <v>2950</v>
      </c>
      <c r="C303" s="3263">
        <v>0.15</v>
      </c>
      <c r="D303" s="3263">
        <v>0.15</v>
      </c>
      <c r="E303" s="3263">
        <v>0.15</v>
      </c>
      <c r="F303" s="3263">
        <v>0.14199999999999999</v>
      </c>
      <c r="G303" s="3264">
        <v>0.15</v>
      </c>
    </row>
    <row r="304" spans="1:7">
      <c r="A304" s="3273" t="s">
        <v>306</v>
      </c>
      <c r="B304" s="3262" t="s">
        <v>2957</v>
      </c>
      <c r="C304" s="3263">
        <v>0.15</v>
      </c>
      <c r="D304" s="3263">
        <v>0.15</v>
      </c>
      <c r="E304" s="3263">
        <v>0.15</v>
      </c>
      <c r="F304" s="3263">
        <v>0.14499999999999999</v>
      </c>
      <c r="G304" s="3264">
        <v>0.15</v>
      </c>
    </row>
    <row r="305" spans="1:7">
      <c r="A305" s="3273" t="s">
        <v>306</v>
      </c>
      <c r="B305" s="3262" t="s">
        <v>2963</v>
      </c>
      <c r="C305" s="3263">
        <v>0.15</v>
      </c>
      <c r="D305" s="3263">
        <v>0.15</v>
      </c>
      <c r="E305" s="3263">
        <v>0.15</v>
      </c>
      <c r="F305" s="3263">
        <v>0.111</v>
      </c>
      <c r="G305" s="3264">
        <v>0.15</v>
      </c>
    </row>
    <row r="306" spans="1:7">
      <c r="A306" s="3273" t="s">
        <v>306</v>
      </c>
      <c r="B306" s="3262" t="s">
        <v>2970</v>
      </c>
      <c r="C306" s="3263">
        <v>0.15</v>
      </c>
      <c r="D306" s="3263">
        <v>0.15</v>
      </c>
      <c r="E306" s="3263">
        <v>0.15</v>
      </c>
      <c r="F306" s="3263">
        <v>0.126</v>
      </c>
      <c r="G306" s="3264">
        <v>0.15</v>
      </c>
    </row>
    <row r="307" spans="1:7">
      <c r="A307" s="3273" t="s">
        <v>306</v>
      </c>
      <c r="B307" s="3262" t="s">
        <v>2975</v>
      </c>
      <c r="C307" s="3263">
        <v>0.15</v>
      </c>
      <c r="D307" s="3263">
        <v>0.15</v>
      </c>
      <c r="E307" s="3263">
        <v>0.15</v>
      </c>
      <c r="F307" s="3263">
        <v>0.12</v>
      </c>
      <c r="G307" s="3264">
        <v>0.15</v>
      </c>
    </row>
    <row r="308" spans="1:7">
      <c r="A308" s="3273" t="s">
        <v>306</v>
      </c>
      <c r="B308" s="3262" t="s">
        <v>2981</v>
      </c>
      <c r="C308" s="3263">
        <v>0.15</v>
      </c>
      <c r="D308" s="3263">
        <v>0.15</v>
      </c>
      <c r="E308" s="3263">
        <v>0.15</v>
      </c>
      <c r="F308" s="3263">
        <v>0.13</v>
      </c>
      <c r="G308" s="3264">
        <v>0.15</v>
      </c>
    </row>
    <row r="309" spans="1:7">
      <c r="A309" s="3273" t="s">
        <v>306</v>
      </c>
      <c r="B309" s="3262" t="s">
        <v>2985</v>
      </c>
      <c r="C309" s="3263">
        <v>0.15</v>
      </c>
      <c r="D309" s="3263">
        <v>0.15</v>
      </c>
      <c r="E309" s="3263">
        <v>0.15</v>
      </c>
      <c r="F309" s="3263">
        <v>0.14099999999999999</v>
      </c>
      <c r="G309" s="3264">
        <v>0.15</v>
      </c>
    </row>
    <row r="310" spans="1:7">
      <c r="A310" s="3273" t="s">
        <v>306</v>
      </c>
      <c r="B310" s="3262" t="s">
        <v>2990</v>
      </c>
      <c r="C310" s="3263">
        <v>0.15</v>
      </c>
      <c r="D310" s="3263">
        <v>0.15</v>
      </c>
      <c r="E310" s="3263">
        <v>0.15</v>
      </c>
      <c r="F310" s="3263">
        <v>0.15</v>
      </c>
      <c r="G310" s="3264">
        <v>0.15</v>
      </c>
    </row>
    <row r="311" spans="1:7">
      <c r="A311" s="3273" t="s">
        <v>306</v>
      </c>
      <c r="B311" s="3262" t="s">
        <v>2995</v>
      </c>
      <c r="C311" s="3263">
        <v>0.13200000000000001</v>
      </c>
      <c r="D311" s="3263">
        <v>0.13300000000000001</v>
      </c>
      <c r="E311" s="3263">
        <v>0.14499999999999999</v>
      </c>
      <c r="F311" s="3263">
        <v>0.14199999999999999</v>
      </c>
      <c r="G311" s="3264">
        <v>0.14000000000000001</v>
      </c>
    </row>
    <row r="312" spans="1:7">
      <c r="A312" s="3273" t="s">
        <v>306</v>
      </c>
      <c r="B312" s="3262" t="s">
        <v>3000</v>
      </c>
      <c r="C312" s="3263">
        <v>0.13800000000000001</v>
      </c>
      <c r="D312" s="3263">
        <v>0.14000000000000001</v>
      </c>
      <c r="E312" s="3263">
        <v>0.14599999999999999</v>
      </c>
      <c r="F312" s="3263">
        <v>0.14899999999999999</v>
      </c>
      <c r="G312" s="3264">
        <v>0.14199999999999999</v>
      </c>
    </row>
    <row r="313" spans="1:7">
      <c r="A313" s="3273" t="s">
        <v>306</v>
      </c>
      <c r="B313" s="3262" t="s">
        <v>3005</v>
      </c>
      <c r="C313" s="3263">
        <v>0.125</v>
      </c>
      <c r="D313" s="3263">
        <v>0.127</v>
      </c>
      <c r="E313" s="3263">
        <v>0.14399999999999999</v>
      </c>
      <c r="F313" s="3263">
        <v>0.115</v>
      </c>
      <c r="G313" s="3264">
        <v>0.13600000000000001</v>
      </c>
    </row>
    <row r="314" spans="1:7">
      <c r="A314" s="3273" t="s">
        <v>306</v>
      </c>
      <c r="B314" s="3262" t="s">
        <v>3214</v>
      </c>
      <c r="C314" s="3279"/>
      <c r="D314" s="3279"/>
      <c r="E314" s="3279"/>
      <c r="F314" s="3263">
        <v>0.05</v>
      </c>
      <c r="G314" s="3280"/>
    </row>
    <row r="315" spans="1:7">
      <c r="A315" s="3273" t="s">
        <v>306</v>
      </c>
      <c r="B315" s="3262" t="s">
        <v>3215</v>
      </c>
      <c r="C315" s="3279"/>
      <c r="D315" s="3279"/>
      <c r="E315" s="3279"/>
      <c r="F315" s="3263">
        <v>0.05</v>
      </c>
      <c r="G315" s="3280"/>
    </row>
    <row r="316" spans="1:7">
      <c r="A316" s="3273" t="s">
        <v>306</v>
      </c>
      <c r="B316" s="3262" t="s">
        <v>3216</v>
      </c>
      <c r="C316" s="3274"/>
      <c r="D316" s="3274"/>
      <c r="E316" s="3274"/>
      <c r="F316" s="3263">
        <v>0.05</v>
      </c>
      <c r="G316" s="3280"/>
    </row>
    <row r="317" spans="1:7">
      <c r="A317" s="3273" t="s">
        <v>306</v>
      </c>
      <c r="B317" s="3262" t="s">
        <v>3217</v>
      </c>
      <c r="C317" s="3274"/>
      <c r="D317" s="3274"/>
      <c r="E317" s="3274"/>
      <c r="F317" s="3263">
        <v>0.05</v>
      </c>
      <c r="G317" s="3280"/>
    </row>
    <row r="318" spans="1:7">
      <c r="A318" s="3273" t="s">
        <v>306</v>
      </c>
      <c r="B318" s="3262" t="s">
        <v>3218</v>
      </c>
      <c r="C318" s="3274"/>
      <c r="D318" s="3274"/>
      <c r="E318" s="3274"/>
      <c r="F318" s="3263">
        <v>0.05</v>
      </c>
      <c r="G318" s="3280"/>
    </row>
    <row r="319" spans="1:7">
      <c r="A319" s="3273" t="s">
        <v>306</v>
      </c>
      <c r="B319" s="3262" t="s">
        <v>3219</v>
      </c>
      <c r="C319" s="3274"/>
      <c r="D319" s="3274"/>
      <c r="E319" s="3274"/>
      <c r="F319" s="3263">
        <v>0.05</v>
      </c>
      <c r="G319" s="3280"/>
    </row>
    <row r="320" spans="1:7">
      <c r="A320" s="3273" t="s">
        <v>306</v>
      </c>
      <c r="B320" s="3262" t="s">
        <v>3220</v>
      </c>
      <c r="C320" s="3274"/>
      <c r="D320" s="3274"/>
      <c r="E320" s="3274"/>
      <c r="F320" s="3263">
        <v>0.05</v>
      </c>
      <c r="G320" s="3280"/>
    </row>
    <row r="321" spans="1:7">
      <c r="A321" s="3273" t="s">
        <v>306</v>
      </c>
      <c r="B321" s="3262" t="s">
        <v>3221</v>
      </c>
      <c r="C321" s="3274"/>
      <c r="D321" s="3274"/>
      <c r="E321" s="3274"/>
      <c r="F321" s="3263">
        <v>0.05</v>
      </c>
      <c r="G321" s="3280"/>
    </row>
    <row r="322" spans="1:7">
      <c r="A322" s="3273" t="s">
        <v>306</v>
      </c>
      <c r="B322" s="3262" t="s">
        <v>3222</v>
      </c>
      <c r="C322" s="3274"/>
      <c r="D322" s="3274"/>
      <c r="E322" s="3274"/>
      <c r="F322" s="3263">
        <v>0.05</v>
      </c>
      <c r="G322" s="3280"/>
    </row>
    <row r="323" spans="1:7">
      <c r="A323" s="3273" t="s">
        <v>306</v>
      </c>
      <c r="B323" s="3262" t="s">
        <v>3223</v>
      </c>
      <c r="C323" s="3274"/>
      <c r="D323" s="3274"/>
      <c r="E323" s="3274"/>
      <c r="F323" s="3263">
        <v>0.05</v>
      </c>
      <c r="G323" s="3280"/>
    </row>
    <row r="324" spans="1:7">
      <c r="A324" s="3273" t="s">
        <v>306</v>
      </c>
      <c r="B324" s="3262" t="s">
        <v>3224</v>
      </c>
      <c r="C324" s="3274"/>
      <c r="D324" s="3274"/>
      <c r="E324" s="3274"/>
      <c r="F324" s="3263">
        <v>0.05</v>
      </c>
      <c r="G324" s="3280"/>
    </row>
    <row r="325" spans="1:7">
      <c r="A325" s="3273" t="s">
        <v>306</v>
      </c>
      <c r="B325" s="3262" t="s">
        <v>3225</v>
      </c>
      <c r="C325" s="3274"/>
      <c r="D325" s="3274"/>
      <c r="E325" s="3274"/>
      <c r="F325" s="3263">
        <v>0.05</v>
      </c>
      <c r="G325" s="3280"/>
    </row>
    <row r="326" spans="1:7" ht="14.25" thickBot="1">
      <c r="A326" s="3276" t="s">
        <v>306</v>
      </c>
      <c r="B326" s="3266" t="s">
        <v>3226</v>
      </c>
      <c r="C326" s="3268"/>
      <c r="D326" s="3268"/>
      <c r="E326" s="3268"/>
      <c r="F326" s="3267">
        <v>0.05</v>
      </c>
      <c r="G326" s="3281"/>
    </row>
    <row r="327" spans="1:7">
      <c r="A327" s="3272" t="s">
        <v>307</v>
      </c>
      <c r="B327" s="3258" t="s">
        <v>2858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2870</v>
      </c>
      <c r="C329" s="3263">
        <v>0.15</v>
      </c>
      <c r="D329" s="3263">
        <v>0.15</v>
      </c>
      <c r="E329" s="3263">
        <v>0.15</v>
      </c>
      <c r="F329" s="3263">
        <v>0.15</v>
      </c>
      <c r="G329" s="3264">
        <v>0.15</v>
      </c>
    </row>
    <row r="330" spans="1:7">
      <c r="A330" s="3273" t="s">
        <v>307</v>
      </c>
      <c r="B330" s="3262" t="s">
        <v>2874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2882</v>
      </c>
      <c r="C332" s="3263">
        <v>0.15</v>
      </c>
      <c r="D332" s="3263">
        <v>0.15</v>
      </c>
      <c r="E332" s="3263">
        <v>0.15</v>
      </c>
      <c r="F332" s="3263">
        <v>0.15</v>
      </c>
      <c r="G332" s="3264">
        <v>0.15</v>
      </c>
    </row>
    <row r="333" spans="1:7">
      <c r="A333" s="3273" t="s">
        <v>307</v>
      </c>
      <c r="B333" s="3262" t="s">
        <v>2886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2892</v>
      </c>
      <c r="C336" s="3263">
        <v>0.15</v>
      </c>
      <c r="D336" s="3263">
        <v>0.15</v>
      </c>
      <c r="E336" s="3263">
        <v>0.15</v>
      </c>
      <c r="F336" s="3263">
        <v>0.14199999999999999</v>
      </c>
      <c r="G336" s="3264">
        <v>0.15</v>
      </c>
    </row>
    <row r="337" spans="1:7">
      <c r="A337" s="3273" t="s">
        <v>307</v>
      </c>
      <c r="B337" s="3262" t="s">
        <v>2897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2909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2917</v>
      </c>
      <c r="C345" s="3263">
        <v>0.15</v>
      </c>
      <c r="D345" s="3263">
        <v>0.15</v>
      </c>
      <c r="E345" s="3263">
        <v>0.15</v>
      </c>
      <c r="F345" s="3263">
        <v>0.13800000000000001</v>
      </c>
      <c r="G345" s="3264">
        <v>0.15</v>
      </c>
    </row>
    <row r="346" spans="1:7">
      <c r="A346" s="3273" t="s">
        <v>307</v>
      </c>
      <c r="B346" s="3262" t="s">
        <v>2919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2926</v>
      </c>
      <c r="C348" s="3263">
        <v>0.15</v>
      </c>
      <c r="D348" s="3263">
        <v>0.15</v>
      </c>
      <c r="E348" s="3263">
        <v>0.15</v>
      </c>
      <c r="F348" s="3263">
        <v>0.14399999999999999</v>
      </c>
      <c r="G348" s="3264">
        <v>0.15</v>
      </c>
    </row>
    <row r="349" spans="1:7">
      <c r="A349" s="3273" t="s">
        <v>307</v>
      </c>
      <c r="B349" s="3262" t="s">
        <v>2931</v>
      </c>
      <c r="C349" s="3263">
        <v>0.15</v>
      </c>
      <c r="D349" s="3263">
        <v>0.15</v>
      </c>
      <c r="E349" s="3263">
        <v>0.15</v>
      </c>
      <c r="F349" s="3263">
        <v>0.15</v>
      </c>
      <c r="G349" s="3264">
        <v>0.15</v>
      </c>
    </row>
    <row r="350" spans="1:7">
      <c r="A350" s="3273" t="s">
        <v>307</v>
      </c>
      <c r="B350" s="3262" t="s">
        <v>2934</v>
      </c>
      <c r="C350" s="3263">
        <v>0.15</v>
      </c>
      <c r="D350" s="3263">
        <v>0.15</v>
      </c>
      <c r="E350" s="3263">
        <v>0.15</v>
      </c>
      <c r="F350" s="3263">
        <v>0.14699999999999999</v>
      </c>
      <c r="G350" s="3264">
        <v>0.15</v>
      </c>
    </row>
    <row r="351" spans="1:7">
      <c r="A351" s="3273" t="s">
        <v>307</v>
      </c>
      <c r="B351" s="3262" t="s">
        <v>2939</v>
      </c>
      <c r="C351" s="3263">
        <v>0.15</v>
      </c>
      <c r="D351" s="3263">
        <v>0.15</v>
      </c>
      <c r="E351" s="3263">
        <v>0.15</v>
      </c>
      <c r="F351" s="3263">
        <v>0.13</v>
      </c>
      <c r="G351" s="3264">
        <v>0.15</v>
      </c>
    </row>
    <row r="352" spans="1:7">
      <c r="A352" s="3273" t="s">
        <v>307</v>
      </c>
      <c r="B352" s="3262" t="s">
        <v>2944</v>
      </c>
      <c r="C352" s="3263">
        <v>0.15</v>
      </c>
      <c r="D352" s="3263">
        <v>0.15</v>
      </c>
      <c r="E352" s="3263">
        <v>0.15</v>
      </c>
      <c r="F352" s="3263">
        <v>0.14599999999999999</v>
      </c>
      <c r="G352" s="3264">
        <v>0.15</v>
      </c>
    </row>
    <row r="353" spans="1:7">
      <c r="A353" s="3273" t="s">
        <v>307</v>
      </c>
      <c r="B353" s="3262" t="s">
        <v>2951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2964</v>
      </c>
      <c r="C355" s="3263">
        <v>0.15</v>
      </c>
      <c r="D355" s="3263">
        <v>0.15</v>
      </c>
      <c r="E355" s="3263">
        <v>0.15</v>
      </c>
      <c r="F355" s="3263">
        <v>0.15</v>
      </c>
      <c r="G355" s="3264">
        <v>0.15</v>
      </c>
    </row>
    <row r="356" spans="1:7">
      <c r="A356" s="3273" t="s">
        <v>307</v>
      </c>
      <c r="B356" s="3262" t="s">
        <v>2971</v>
      </c>
      <c r="C356" s="3263">
        <v>0.15</v>
      </c>
      <c r="D356" s="3263">
        <v>0.15</v>
      </c>
      <c r="E356" s="3263">
        <v>0.15</v>
      </c>
      <c r="F356" s="3263">
        <v>0.15</v>
      </c>
      <c r="G356" s="3264">
        <v>0.15</v>
      </c>
    </row>
    <row r="357" spans="1:7" ht="14.25" thickBot="1">
      <c r="A357" s="3276" t="s">
        <v>307</v>
      </c>
      <c r="B357" s="3266" t="s">
        <v>2976</v>
      </c>
      <c r="C357" s="3267">
        <v>0.126</v>
      </c>
      <c r="D357" s="3267">
        <v>0.127</v>
      </c>
      <c r="E357" s="3267">
        <v>0.14299999999999999</v>
      </c>
      <c r="F357" s="3267">
        <v>0.125</v>
      </c>
      <c r="G357" s="3269">
        <v>0.129</v>
      </c>
    </row>
    <row r="358" spans="1:7">
      <c r="A358" s="3272" t="s">
        <v>2845</v>
      </c>
      <c r="B358" s="3258" t="s">
        <v>2859</v>
      </c>
      <c r="C358" s="3259">
        <v>0.15</v>
      </c>
      <c r="D358" s="3259">
        <v>0.15</v>
      </c>
      <c r="E358" s="3259">
        <v>0.15</v>
      </c>
      <c r="F358" s="3259">
        <v>0.15</v>
      </c>
      <c r="G358" s="3260">
        <v>0.15</v>
      </c>
    </row>
    <row r="359" spans="1:7">
      <c r="A359" s="3273" t="s">
        <v>2845</v>
      </c>
      <c r="B359" s="3262" t="s">
        <v>2865</v>
      </c>
      <c r="C359" s="3263">
        <v>0.1</v>
      </c>
      <c r="D359" s="3263">
        <v>0.1</v>
      </c>
      <c r="E359" s="3263">
        <v>0.1</v>
      </c>
      <c r="F359" s="3263">
        <v>0.1</v>
      </c>
      <c r="G359" s="3264">
        <v>0.1</v>
      </c>
    </row>
    <row r="360" spans="1:7">
      <c r="A360" s="3273" t="s">
        <v>2845</v>
      </c>
      <c r="B360" s="3262" t="s">
        <v>2871</v>
      </c>
      <c r="C360" s="3263">
        <v>0.15</v>
      </c>
      <c r="D360" s="3263">
        <v>0.15</v>
      </c>
      <c r="E360" s="3263">
        <v>0.15</v>
      </c>
      <c r="F360" s="3263">
        <v>0.14899999999999999</v>
      </c>
      <c r="G360" s="3264">
        <v>0.15</v>
      </c>
    </row>
    <row r="361" spans="1:7">
      <c r="A361" s="3273" t="s">
        <v>2845</v>
      </c>
      <c r="B361" s="3262" t="s">
        <v>153</v>
      </c>
      <c r="C361" s="3263">
        <v>0.15</v>
      </c>
      <c r="D361" s="3263">
        <v>0.15</v>
      </c>
      <c r="E361" s="3263">
        <v>0.15</v>
      </c>
      <c r="F361" s="3263">
        <v>0.115</v>
      </c>
      <c r="G361" s="3264">
        <v>0.15</v>
      </c>
    </row>
    <row r="362" spans="1:7">
      <c r="A362" s="3273" t="s">
        <v>2845</v>
      </c>
      <c r="B362" s="3262" t="s">
        <v>2878</v>
      </c>
      <c r="C362" s="3263">
        <v>0.15</v>
      </c>
      <c r="D362" s="3263">
        <v>0.15</v>
      </c>
      <c r="E362" s="3263">
        <v>0.15</v>
      </c>
      <c r="F362" s="3263">
        <v>0.106</v>
      </c>
      <c r="G362" s="3264">
        <v>0.15</v>
      </c>
    </row>
    <row r="363" spans="1:7">
      <c r="A363" s="3273" t="s">
        <v>2845</v>
      </c>
      <c r="B363" s="3262" t="s">
        <v>2883</v>
      </c>
      <c r="C363" s="3263">
        <v>0.15</v>
      </c>
      <c r="D363" s="3263">
        <v>0.15</v>
      </c>
      <c r="E363" s="3263">
        <v>0.15</v>
      </c>
      <c r="F363" s="3263">
        <v>0.14699999999999999</v>
      </c>
      <c r="G363" s="3264">
        <v>0.15</v>
      </c>
    </row>
    <row r="364" spans="1:7">
      <c r="A364" s="3273" t="s">
        <v>2845</v>
      </c>
      <c r="B364" s="3262" t="s">
        <v>2887</v>
      </c>
      <c r="C364" s="3263">
        <v>0.15</v>
      </c>
      <c r="D364" s="3263">
        <v>0.15</v>
      </c>
      <c r="E364" s="3263">
        <v>0.15</v>
      </c>
      <c r="F364" s="3263">
        <v>0.14799999999999999</v>
      </c>
      <c r="G364" s="3264">
        <v>0.15</v>
      </c>
    </row>
    <row r="365" spans="1:7">
      <c r="A365" s="3273" t="s">
        <v>2845</v>
      </c>
      <c r="B365" s="3262" t="s">
        <v>200</v>
      </c>
      <c r="C365" s="3263">
        <v>0.15</v>
      </c>
      <c r="D365" s="3263">
        <v>0.15</v>
      </c>
      <c r="E365" s="3263">
        <v>0.15</v>
      </c>
      <c r="F365" s="3263">
        <v>0.15</v>
      </c>
      <c r="G365" s="3264">
        <v>0.15</v>
      </c>
    </row>
    <row r="366" spans="1:7">
      <c r="A366" s="3273" t="s">
        <v>2845</v>
      </c>
      <c r="B366" s="3262" t="s">
        <v>2890</v>
      </c>
      <c r="C366" s="3263">
        <v>0.15</v>
      </c>
      <c r="D366" s="3263">
        <v>0.15</v>
      </c>
      <c r="E366" s="3263">
        <v>0.15</v>
      </c>
      <c r="F366" s="3263">
        <v>0.15</v>
      </c>
      <c r="G366" s="3264">
        <v>0.15</v>
      </c>
    </row>
    <row r="367" spans="1:7">
      <c r="A367" s="3273" t="s">
        <v>2845</v>
      </c>
      <c r="B367" s="3262" t="s">
        <v>2893</v>
      </c>
      <c r="C367" s="3263">
        <v>0.15</v>
      </c>
      <c r="D367" s="3263">
        <v>0.15</v>
      </c>
      <c r="E367" s="3263">
        <v>0.15</v>
      </c>
      <c r="F367" s="3263">
        <v>0.14699999999999999</v>
      </c>
      <c r="G367" s="3264">
        <v>0.15</v>
      </c>
    </row>
    <row r="368" spans="1:7">
      <c r="A368" s="3273" t="s">
        <v>2845</v>
      </c>
      <c r="B368" s="3262" t="s">
        <v>2898</v>
      </c>
      <c r="C368" s="3263">
        <v>0.15</v>
      </c>
      <c r="D368" s="3263">
        <v>0.15</v>
      </c>
      <c r="E368" s="3263">
        <v>0.15</v>
      </c>
      <c r="F368" s="3263">
        <v>0.13600000000000001</v>
      </c>
      <c r="G368" s="3264">
        <v>0.15</v>
      </c>
    </row>
    <row r="369" spans="1:7">
      <c r="A369" s="3273" t="s">
        <v>2845</v>
      </c>
      <c r="B369" s="3262" t="s">
        <v>214</v>
      </c>
      <c r="C369" s="3263">
        <v>0.15</v>
      </c>
      <c r="D369" s="3263">
        <v>0.15</v>
      </c>
      <c r="E369" s="3263">
        <v>0.15</v>
      </c>
      <c r="F369" s="3263">
        <v>0.14399999999999999</v>
      </c>
      <c r="G369" s="3264">
        <v>0.15</v>
      </c>
    </row>
    <row r="370" spans="1:7">
      <c r="A370" s="3273" t="s">
        <v>2845</v>
      </c>
      <c r="B370" s="3262" t="s">
        <v>221</v>
      </c>
      <c r="C370" s="3263">
        <v>0.15</v>
      </c>
      <c r="D370" s="3263">
        <v>0.15</v>
      </c>
      <c r="E370" s="3263">
        <v>0.15</v>
      </c>
      <c r="F370" s="3263">
        <v>0.14599999999999999</v>
      </c>
      <c r="G370" s="3264">
        <v>0.15</v>
      </c>
    </row>
    <row r="371" spans="1:7">
      <c r="A371" s="3273" t="s">
        <v>2845</v>
      </c>
      <c r="B371" s="3262" t="s">
        <v>229</v>
      </c>
      <c r="C371" s="3263">
        <v>0.15</v>
      </c>
      <c r="D371" s="3263">
        <v>0.15</v>
      </c>
      <c r="E371" s="3263">
        <v>0.15</v>
      </c>
      <c r="F371" s="3263">
        <v>0.12</v>
      </c>
      <c r="G371" s="3264">
        <v>0.15</v>
      </c>
    </row>
    <row r="372" spans="1:7">
      <c r="A372" s="3273" t="s">
        <v>2845</v>
      </c>
      <c r="B372" s="3262" t="s">
        <v>2906</v>
      </c>
      <c r="C372" s="3263">
        <v>0.15</v>
      </c>
      <c r="D372" s="3263">
        <v>0.15</v>
      </c>
      <c r="E372" s="3263">
        <v>0.15</v>
      </c>
      <c r="F372" s="3263">
        <v>0.14299999999999999</v>
      </c>
      <c r="G372" s="3264">
        <v>0.15</v>
      </c>
    </row>
    <row r="373" spans="1:7">
      <c r="A373" s="3273" t="s">
        <v>2845</v>
      </c>
      <c r="B373" s="3262" t="s">
        <v>258</v>
      </c>
      <c r="C373" s="3263">
        <v>0.15</v>
      </c>
      <c r="D373" s="3263">
        <v>0.15</v>
      </c>
      <c r="E373" s="3263">
        <v>0.15</v>
      </c>
      <c r="F373" s="3263">
        <v>0.14599999999999999</v>
      </c>
      <c r="G373" s="3264">
        <v>0.15</v>
      </c>
    </row>
    <row r="374" spans="1:7">
      <c r="A374" s="3273" t="s">
        <v>2845</v>
      </c>
      <c r="B374" s="3262" t="s">
        <v>266</v>
      </c>
      <c r="C374" s="3263">
        <v>0.15</v>
      </c>
      <c r="D374" s="3263">
        <v>0.15</v>
      </c>
      <c r="E374" s="3263">
        <v>0.15</v>
      </c>
      <c r="F374" s="3263">
        <v>0.14399999999999999</v>
      </c>
      <c r="G374" s="3264">
        <v>0.15</v>
      </c>
    </row>
    <row r="375" spans="1:7">
      <c r="A375" s="3273" t="s">
        <v>2845</v>
      </c>
      <c r="B375" s="3262" t="s">
        <v>2914</v>
      </c>
      <c r="C375" s="3263">
        <v>0.15</v>
      </c>
      <c r="D375" s="3263">
        <v>0.15</v>
      </c>
      <c r="E375" s="3263">
        <v>0.15</v>
      </c>
      <c r="F375" s="3263">
        <v>0.13</v>
      </c>
      <c r="G375" s="3264">
        <v>0.15</v>
      </c>
    </row>
    <row r="376" spans="1:7">
      <c r="A376" s="3273" t="s">
        <v>2845</v>
      </c>
      <c r="B376" s="3262" t="s">
        <v>277</v>
      </c>
      <c r="C376" s="3263">
        <v>0.15</v>
      </c>
      <c r="D376" s="3263">
        <v>0.15</v>
      </c>
      <c r="E376" s="3263">
        <v>0.15</v>
      </c>
      <c r="F376" s="3263">
        <v>0.14199999999999999</v>
      </c>
      <c r="G376" s="3264">
        <v>0.15</v>
      </c>
    </row>
    <row r="377" spans="1:7" ht="14.25" thickBot="1">
      <c r="A377" s="3276" t="s">
        <v>2845</v>
      </c>
      <c r="B377" s="3266" t="s">
        <v>2920</v>
      </c>
      <c r="C377" s="3267">
        <v>0.15</v>
      </c>
      <c r="D377" s="3267">
        <v>0.15</v>
      </c>
      <c r="E377" s="3267">
        <v>0.15</v>
      </c>
      <c r="F377" s="3267">
        <v>0.14000000000000001</v>
      </c>
      <c r="G377" s="3269">
        <v>0.15</v>
      </c>
    </row>
    <row r="378" spans="1:7">
      <c r="A378" s="3272" t="s">
        <v>2846</v>
      </c>
      <c r="B378" s="3258" t="s">
        <v>2860</v>
      </c>
      <c r="C378" s="3259">
        <v>0.15</v>
      </c>
      <c r="D378" s="3259">
        <v>0.15</v>
      </c>
      <c r="E378" s="3259">
        <v>0.15</v>
      </c>
      <c r="F378" s="3259">
        <v>0.107</v>
      </c>
      <c r="G378" s="3260">
        <v>0.15</v>
      </c>
    </row>
    <row r="379" spans="1:7">
      <c r="A379" s="3273" t="s">
        <v>2846</v>
      </c>
      <c r="B379" s="3262" t="s">
        <v>2866</v>
      </c>
      <c r="C379" s="3263">
        <v>0.15</v>
      </c>
      <c r="D379" s="3263">
        <v>0.15</v>
      </c>
      <c r="E379" s="3263">
        <v>0.15</v>
      </c>
      <c r="F379" s="3263">
        <v>0.115</v>
      </c>
      <c r="G379" s="3264">
        <v>0.14899999999999999</v>
      </c>
    </row>
    <row r="380" spans="1:7">
      <c r="A380" s="3273" t="s">
        <v>2846</v>
      </c>
      <c r="B380" s="3262" t="s">
        <v>2872</v>
      </c>
      <c r="C380" s="3263">
        <v>0.15</v>
      </c>
      <c r="D380" s="3263">
        <v>0.15</v>
      </c>
      <c r="E380" s="3263">
        <v>0.15</v>
      </c>
      <c r="F380" s="3263">
        <v>0.1</v>
      </c>
      <c r="G380" s="3264">
        <v>0.14799999999999999</v>
      </c>
    </row>
    <row r="381" spans="1:7">
      <c r="A381" s="3273" t="s">
        <v>2846</v>
      </c>
      <c r="B381" s="3262" t="s">
        <v>2875</v>
      </c>
      <c r="C381" s="3263">
        <v>0.15</v>
      </c>
      <c r="D381" s="3263">
        <v>0.15</v>
      </c>
      <c r="E381" s="3263">
        <v>0.15</v>
      </c>
      <c r="F381" s="3263">
        <v>0.126</v>
      </c>
      <c r="G381" s="3264">
        <v>0.15</v>
      </c>
    </row>
    <row r="382" spans="1:7">
      <c r="A382" s="3273" t="s">
        <v>2846</v>
      </c>
      <c r="B382" s="3262" t="s">
        <v>2879</v>
      </c>
      <c r="C382" s="3263">
        <v>0.15</v>
      </c>
      <c r="D382" s="3263">
        <v>0.15</v>
      </c>
      <c r="E382" s="3263">
        <v>0.15</v>
      </c>
      <c r="F382" s="3263">
        <v>0.15</v>
      </c>
      <c r="G382" s="3264">
        <v>0.15</v>
      </c>
    </row>
    <row r="383" spans="1:7">
      <c r="A383" s="3273" t="s">
        <v>2846</v>
      </c>
      <c r="B383" s="3262" t="s">
        <v>2884</v>
      </c>
      <c r="C383" s="3263">
        <v>0.15</v>
      </c>
      <c r="D383" s="3263">
        <v>0.15</v>
      </c>
      <c r="E383" s="3263">
        <v>0.15</v>
      </c>
      <c r="F383" s="3263">
        <v>0.14699999999999999</v>
      </c>
      <c r="G383" s="3264">
        <v>0.15</v>
      </c>
    </row>
    <row r="384" spans="1:7" ht="14.25" thickBot="1">
      <c r="A384" s="3283" t="s">
        <v>2846</v>
      </c>
      <c r="B384" s="3284" t="s">
        <v>2888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81" t="s">
        <v>3227</v>
      </c>
      <c r="B1" s="3881"/>
      <c r="C1" s="3881"/>
      <c r="D1" s="3881"/>
      <c r="E1" s="3881"/>
      <c r="F1" s="3882"/>
    </row>
    <row r="2" spans="1:6">
      <c r="A2" s="3289" t="s">
        <v>3228</v>
      </c>
      <c r="B2" s="3290"/>
      <c r="C2" s="3290"/>
      <c r="D2" s="3290"/>
      <c r="E2" s="3290"/>
      <c r="F2" s="3290"/>
    </row>
    <row r="3" spans="1:6">
      <c r="A3" s="3289" t="s">
        <v>3229</v>
      </c>
      <c r="B3" s="3290"/>
      <c r="C3" s="3290"/>
      <c r="D3" s="3290"/>
      <c r="E3" s="3290"/>
      <c r="F3" s="3291" t="s">
        <v>3230</v>
      </c>
    </row>
    <row r="4" spans="1:6">
      <c r="A4" s="3292" t="s">
        <v>672</v>
      </c>
      <c r="B4" s="3292" t="s">
        <v>673</v>
      </c>
      <c r="C4" s="3292" t="s">
        <v>21</v>
      </c>
      <c r="D4" s="3292" t="s">
        <v>674</v>
      </c>
      <c r="E4" s="3292" t="s">
        <v>3</v>
      </c>
      <c r="F4" s="3292" t="s">
        <v>3231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45495</v>
      </c>
      <c r="B1" s="3208" t="s">
        <v>3364</v>
      </c>
      <c r="C1" s="3209"/>
      <c r="D1" s="3209"/>
      <c r="E1" s="3209"/>
      <c r="F1" s="3209"/>
      <c r="G1" s="3209"/>
      <c r="H1" s="3209"/>
      <c r="I1" s="3209"/>
      <c r="J1" s="3163"/>
      <c r="K1" s="3209" t="s">
        <v>454</v>
      </c>
      <c r="L1" s="3209"/>
      <c r="M1" s="3209"/>
      <c r="N1" s="3209"/>
      <c r="O1" s="3209"/>
      <c r="P1" s="3209"/>
      <c r="Q1" s="3163"/>
      <c r="R1" s="3883" t="s">
        <v>456</v>
      </c>
      <c r="S1" s="3884"/>
      <c r="T1" s="3884"/>
      <c r="U1" s="3884"/>
      <c r="V1" s="3884"/>
      <c r="W1" s="3884"/>
      <c r="X1" s="3163"/>
      <c r="Y1" s="3883" t="s">
        <v>457</v>
      </c>
      <c r="Z1" s="3884"/>
      <c r="AA1" s="3884"/>
      <c r="AB1" s="3884"/>
      <c r="AC1" s="3884"/>
      <c r="AD1" s="3884"/>
    </row>
    <row r="2" spans="1:30" s="3141" customFormat="1" ht="14.25" thickBot="1">
      <c r="B2" s="3142"/>
      <c r="C2" s="3143"/>
      <c r="D2" s="3144" t="s">
        <v>2805</v>
      </c>
      <c r="E2" s="3145" t="s">
        <v>2806</v>
      </c>
      <c r="F2" s="3145" t="s">
        <v>2807</v>
      </c>
      <c r="G2" s="3145" t="s">
        <v>2808</v>
      </c>
      <c r="H2" s="3145" t="s">
        <v>2809</v>
      </c>
      <c r="I2" s="3145" t="s">
        <v>2626</v>
      </c>
      <c r="J2" s="3146"/>
      <c r="K2" s="3144" t="s">
        <v>2805</v>
      </c>
      <c r="L2" s="3145" t="s">
        <v>2806</v>
      </c>
      <c r="M2" s="3145" t="s">
        <v>2807</v>
      </c>
      <c r="N2" s="3145" t="s">
        <v>2808</v>
      </c>
      <c r="O2" s="3145" t="s">
        <v>2810</v>
      </c>
      <c r="P2" s="3145" t="s">
        <v>2626</v>
      </c>
      <c r="Q2" s="3146"/>
      <c r="R2" s="3144" t="s">
        <v>2805</v>
      </c>
      <c r="S2" s="3145" t="s">
        <v>2806</v>
      </c>
      <c r="T2" s="3145" t="s">
        <v>2807</v>
      </c>
      <c r="U2" s="3145" t="s">
        <v>2811</v>
      </c>
      <c r="V2" s="3145" t="s">
        <v>2812</v>
      </c>
      <c r="W2" s="3145" t="s">
        <v>2626</v>
      </c>
      <c r="X2" s="3146"/>
      <c r="Y2" s="3144" t="s">
        <v>2805</v>
      </c>
      <c r="Z2" s="3145" t="s">
        <v>2806</v>
      </c>
      <c r="AA2" s="3145" t="s">
        <v>2807</v>
      </c>
      <c r="AB2" s="3145" t="s">
        <v>2813</v>
      </c>
      <c r="AC2" s="3145" t="s">
        <v>2812</v>
      </c>
      <c r="AD2" s="3145" t="s">
        <v>2626</v>
      </c>
    </row>
    <row r="3" spans="1:30" s="3159" customFormat="1" ht="12.75">
      <c r="A3" s="3147" t="s">
        <v>2814</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3371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3373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3368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3367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3363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3362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3361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3357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3348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2815</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2816</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2817</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2818</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2819</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3359</v>
      </c>
    </row>
    <row r="22" spans="1:30" s="3007" customFormat="1">
      <c r="I22" s="3206" t="s">
        <v>2820</v>
      </c>
    </row>
    <row r="23" spans="1:30" s="3007" customFormat="1"/>
    <row r="24" spans="1:30" s="3207" customFormat="1" ht="12.75">
      <c r="B24" s="3208" t="s">
        <v>3365</v>
      </c>
      <c r="C24" s="3209"/>
      <c r="D24" s="3209"/>
      <c r="E24" s="3209"/>
      <c r="F24" s="3209"/>
      <c r="G24" s="3209"/>
      <c r="H24" s="3209"/>
      <c r="I24" s="3209"/>
      <c r="J24" s="3163"/>
      <c r="K24" s="3209" t="s">
        <v>2821</v>
      </c>
      <c r="L24" s="3209"/>
      <c r="M24" s="3209"/>
      <c r="N24" s="3209"/>
      <c r="O24" s="3209"/>
      <c r="P24" s="3209"/>
      <c r="Q24" s="3163"/>
      <c r="R24" s="3883" t="s">
        <v>2822</v>
      </c>
      <c r="S24" s="3884"/>
      <c r="T24" s="3884"/>
      <c r="U24" s="3884"/>
      <c r="V24" s="3884"/>
      <c r="W24" s="3884"/>
      <c r="X24" s="3163"/>
      <c r="Y24" s="3883" t="s">
        <v>2823</v>
      </c>
      <c r="Z24" s="3884"/>
      <c r="AA24" s="3884"/>
      <c r="AB24" s="3884"/>
      <c r="AC24" s="3884"/>
      <c r="AD24" s="3884"/>
    </row>
    <row r="25" spans="1:30" s="3141" customFormat="1" ht="14.25" thickBot="1">
      <c r="B25" s="3142"/>
      <c r="C25" s="3143"/>
      <c r="D25" s="3144" t="s">
        <v>2824</v>
      </c>
      <c r="E25" s="3145" t="s">
        <v>2825</v>
      </c>
      <c r="F25" s="3145" t="s">
        <v>2826</v>
      </c>
      <c r="G25" s="3145" t="s">
        <v>2827</v>
      </c>
      <c r="H25" s="3145"/>
      <c r="I25" s="3145" t="s">
        <v>2828</v>
      </c>
      <c r="J25" s="3146"/>
      <c r="K25" s="3144" t="s">
        <v>2824</v>
      </c>
      <c r="L25" s="3145" t="s">
        <v>2825</v>
      </c>
      <c r="M25" s="3145" t="s">
        <v>2826</v>
      </c>
      <c r="N25" s="3145" t="s">
        <v>2827</v>
      </c>
      <c r="O25" s="3145"/>
      <c r="P25" s="3145" t="s">
        <v>2828</v>
      </c>
      <c r="Q25" s="3146"/>
      <c r="R25" s="3144" t="s">
        <v>2824</v>
      </c>
      <c r="S25" s="3145" t="s">
        <v>2825</v>
      </c>
      <c r="T25" s="3145" t="s">
        <v>2826</v>
      </c>
      <c r="U25" s="3145" t="s">
        <v>2827</v>
      </c>
      <c r="V25" s="3145"/>
      <c r="W25" s="3145" t="s">
        <v>2828</v>
      </c>
      <c r="X25" s="3146"/>
      <c r="Y25" s="3144" t="s">
        <v>2824</v>
      </c>
      <c r="Z25" s="3145" t="s">
        <v>2825</v>
      </c>
      <c r="AA25" s="3145" t="s">
        <v>2826</v>
      </c>
      <c r="AB25" s="3145" t="s">
        <v>2827</v>
      </c>
      <c r="AC25" s="3145"/>
      <c r="AD25" s="3145" t="s">
        <v>2828</v>
      </c>
    </row>
    <row r="26" spans="1:30" s="3159" customFormat="1" ht="12.75">
      <c r="A26" s="3147" t="s">
        <v>2829</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5" t="s">
        <v>3370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3371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3372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3369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3367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3366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3362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3361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3358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3348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2830</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2831</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2832</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2833</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2819</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3360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90" t="s">
        <v>452</v>
      </c>
      <c r="C1" s="3890"/>
      <c r="D1" s="3890"/>
      <c r="E1" s="3890"/>
      <c r="F1" s="3890"/>
      <c r="G1" s="3889" t="s">
        <v>453</v>
      </c>
      <c r="H1" s="3889"/>
      <c r="I1" s="3889"/>
      <c r="J1" s="3889"/>
      <c r="K1" s="3889"/>
      <c r="L1" s="3889"/>
      <c r="N1" s="3889" t="s">
        <v>454</v>
      </c>
      <c r="O1" s="3889"/>
      <c r="P1" s="3889"/>
      <c r="Q1" s="3889"/>
      <c r="S1" s="3889" t="s">
        <v>455</v>
      </c>
      <c r="T1" s="3889"/>
      <c r="U1" s="3889"/>
      <c r="V1" s="3889"/>
      <c r="X1" s="3888" t="s">
        <v>456</v>
      </c>
      <c r="Y1" s="3889"/>
      <c r="Z1" s="3889"/>
      <c r="AA1" s="3889"/>
      <c r="AB1" s="3889"/>
      <c r="AD1" s="3888" t="s">
        <v>457</v>
      </c>
      <c r="AE1" s="3889"/>
      <c r="AF1" s="3889"/>
      <c r="AG1" s="3889"/>
      <c r="AH1" s="388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2431</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2308</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2307</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2306</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8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8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8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9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9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8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8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9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9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8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8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8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8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8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8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8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8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8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8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8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9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9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9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9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8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8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8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8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8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8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8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8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8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8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8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8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8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8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8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8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8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8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8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8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8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8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8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8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8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8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8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8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8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8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8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8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8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8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8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8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8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8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8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8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8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8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8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8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45495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2304</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27" t="str">
        <f>IF(项目基本情况!B9="房地产市场价值","估价结果一览表","结果表-2")</f>
        <v>结果表-2</v>
      </c>
      <c r="B1" s="3527"/>
      <c r="C1" s="3527"/>
      <c r="D1" s="3527"/>
      <c r="E1" s="3527"/>
      <c r="F1" s="3527"/>
      <c r="G1" s="3527"/>
      <c r="H1" s="3527"/>
      <c r="I1" s="3527"/>
    </row>
    <row r="2" spans="1:9" ht="30" customHeight="1" thickTop="1">
      <c r="A2" s="3528" t="s">
        <v>928</v>
      </c>
      <c r="B2" s="3528" t="s">
        <v>929</v>
      </c>
      <c r="C2" s="3528" t="s">
        <v>930</v>
      </c>
      <c r="D2" s="3528" t="str">
        <f>结果表!D116</f>
        <v>出让国有建设用地使用权价值</v>
      </c>
      <c r="E2" s="3528"/>
      <c r="F2" s="3528" t="str">
        <f>结果表!F116</f>
        <v>在建建筑物价值</v>
      </c>
      <c r="G2" s="3528"/>
      <c r="H2" s="3528" t="str">
        <f>IF(项目基本情况!B9="房地产市场价值","房地产市场价值","房地产价值")</f>
        <v>房地产价值</v>
      </c>
      <c r="I2" s="3528"/>
    </row>
    <row r="3" spans="1:9" ht="15">
      <c r="A3" s="3523"/>
      <c r="B3" s="3523"/>
      <c r="C3" s="3523"/>
      <c r="D3" s="854" t="s">
        <v>925</v>
      </c>
      <c r="E3" s="854" t="s">
        <v>931</v>
      </c>
      <c r="F3" s="854" t="s">
        <v>925</v>
      </c>
      <c r="G3" s="854" t="s">
        <v>926</v>
      </c>
      <c r="H3" s="854" t="s">
        <v>925</v>
      </c>
      <c r="I3" s="854" t="s">
        <v>926</v>
      </c>
    </row>
    <row r="4" spans="1:9" ht="30">
      <c r="A4" s="1505" t="str">
        <f>项目基本情况!S2</f>
        <v>北京市门头沟区城子大街90号院17号楼1层17-2房地产</v>
      </c>
      <c r="B4" s="854">
        <f>项目基本情况!C17</f>
        <v>499.53</v>
      </c>
      <c r="C4" s="854">
        <f>项目基本情况!C18</f>
        <v>0</v>
      </c>
      <c r="D4" s="854" t="e">
        <f ca="1">结果表!D118</f>
        <v>#REF!</v>
      </c>
      <c r="E4" s="854" t="e">
        <f ca="1">结果表!E118</f>
        <v>#REF!</v>
      </c>
      <c r="F4" s="854" t="e">
        <f ca="1">结果表!F118</f>
        <v>#REF!</v>
      </c>
      <c r="G4" s="854" t="e">
        <f ca="1">结果表!G118</f>
        <v>#REF!</v>
      </c>
      <c r="H4" s="854">
        <f ca="1">结果表!H118</f>
        <v>1400</v>
      </c>
      <c r="I4" s="854">
        <f ca="1">结果表!I118</f>
        <v>28034</v>
      </c>
    </row>
    <row r="5" spans="1:9" ht="30" customHeight="1">
      <c r="A5" s="3523" t="s">
        <v>927</v>
      </c>
      <c r="B5" s="3523"/>
      <c r="C5" s="3523"/>
      <c r="D5" s="3523" t="e">
        <f ca="1">结果表!D119</f>
        <v>#REF!</v>
      </c>
      <c r="E5" s="3523"/>
      <c r="F5" s="3523" t="e">
        <f ca="1">结果表!F119</f>
        <v>#REF!</v>
      </c>
      <c r="G5" s="3523"/>
      <c r="H5" s="3523" t="str">
        <f ca="1">结果表!H119</f>
        <v>壹仟肆佰万元整</v>
      </c>
      <c r="I5" s="3523"/>
    </row>
    <row r="6" spans="1:9" ht="15.75">
      <c r="A6" s="3522" t="str">
        <f>结果表!A120</f>
        <v>估价师知悉的法定优先受偿款</v>
      </c>
      <c r="B6" s="3522"/>
      <c r="C6" s="3522"/>
      <c r="D6" s="3522">
        <f>结果表!D120</f>
        <v>0</v>
      </c>
      <c r="E6" s="3522"/>
      <c r="F6" s="3522"/>
      <c r="G6" s="3522"/>
      <c r="H6" s="3522"/>
      <c r="I6" s="3522"/>
    </row>
    <row r="7" spans="1:9" ht="15">
      <c r="A7" s="3523" t="s">
        <v>927</v>
      </c>
      <c r="B7" s="3523"/>
      <c r="C7" s="3523"/>
      <c r="D7" s="3524" t="str">
        <f>结果表!D121</f>
        <v>零元整</v>
      </c>
      <c r="E7" s="3525"/>
      <c r="F7" s="3525"/>
      <c r="G7" s="3525"/>
      <c r="H7" s="3525"/>
      <c r="I7" s="3526"/>
    </row>
    <row r="8" spans="1:9" ht="15.75">
      <c r="A8" s="3522" t="str">
        <f>结果表!A122</f>
        <v>房地产抵押价值</v>
      </c>
      <c r="B8" s="3522"/>
      <c r="C8" s="3522"/>
      <c r="D8" s="3522">
        <f ca="1">结果表!D122</f>
        <v>1400</v>
      </c>
      <c r="E8" s="3522"/>
      <c r="F8" s="3522"/>
      <c r="G8" s="3522"/>
      <c r="H8" s="3522"/>
      <c r="I8" s="3522"/>
    </row>
    <row r="9" spans="1:9" ht="15">
      <c r="A9" s="3523" t="s">
        <v>927</v>
      </c>
      <c r="B9" s="3523"/>
      <c r="C9" s="3523"/>
      <c r="D9" s="3523" t="str">
        <f ca="1">结果表!D123</f>
        <v>壹仟肆佰万元整</v>
      </c>
      <c r="E9" s="3523"/>
      <c r="F9" s="3523"/>
      <c r="G9" s="3523"/>
      <c r="H9" s="3523"/>
      <c r="I9" s="3523"/>
    </row>
    <row r="10" spans="1:9" ht="15.75">
      <c r="A10" s="3522" t="str">
        <f>结果表!A124</f>
        <v/>
      </c>
      <c r="B10" s="3522"/>
      <c r="C10" s="3522"/>
      <c r="D10" s="3522" t="str">
        <f>结果表!D124</f>
        <v>——</v>
      </c>
      <c r="E10" s="3522"/>
      <c r="F10" s="3522"/>
      <c r="G10" s="3522"/>
      <c r="H10" s="3522"/>
      <c r="I10" s="3522"/>
    </row>
    <row r="11" spans="1:9" ht="15">
      <c r="A11" s="3523" t="s">
        <v>927</v>
      </c>
      <c r="B11" s="3523"/>
      <c r="C11" s="3523"/>
      <c r="D11" s="3523" t="e">
        <f>结果表!D125</f>
        <v>#VALUE!</v>
      </c>
      <c r="E11" s="3523"/>
      <c r="F11" s="3523"/>
      <c r="G11" s="3523"/>
      <c r="H11" s="3523"/>
      <c r="I11" s="3523"/>
    </row>
    <row r="12" spans="1:9" ht="15.75">
      <c r="A12" s="3522" t="str">
        <f>结果表!A126</f>
        <v/>
      </c>
      <c r="B12" s="3522"/>
      <c r="C12" s="3522"/>
      <c r="D12" s="3522" t="str">
        <f>结果表!D126</f>
        <v>——</v>
      </c>
      <c r="E12" s="3522"/>
      <c r="F12" s="3522"/>
      <c r="G12" s="3522"/>
      <c r="H12" s="3522"/>
      <c r="I12" s="3522"/>
    </row>
    <row r="13" spans="1:9" ht="15.75" thickBot="1">
      <c r="A13" s="3520" t="s">
        <v>927</v>
      </c>
      <c r="B13" s="3520"/>
      <c r="C13" s="3520"/>
      <c r="D13" s="3520" t="e">
        <f>结果表!D127</f>
        <v>#VALUE!</v>
      </c>
      <c r="E13" s="3520"/>
      <c r="F13" s="3520"/>
      <c r="G13" s="3520"/>
      <c r="H13" s="3520"/>
      <c r="I13" s="3520"/>
    </row>
    <row r="14" spans="1:9" ht="15" thickTop="1">
      <c r="A14" s="3521" t="s">
        <v>932</v>
      </c>
      <c r="B14" s="3521"/>
      <c r="C14" s="3521"/>
      <c r="D14" s="3521"/>
      <c r="E14" s="3521"/>
      <c r="F14" s="3521"/>
      <c r="G14" s="3521"/>
      <c r="H14" s="3521"/>
      <c r="I14" s="352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35" t="s">
        <v>949</v>
      </c>
      <c r="B1" s="3535"/>
      <c r="C1" s="3535"/>
      <c r="D1" s="3535"/>
    </row>
    <row r="2" spans="1:4" ht="18">
      <c r="A2" s="3536" t="s">
        <v>933</v>
      </c>
      <c r="B2" s="3536"/>
      <c r="C2" s="3536"/>
      <c r="D2" s="3536"/>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36" t="s">
        <v>939</v>
      </c>
      <c r="B6" s="3536"/>
      <c r="C6" s="3536"/>
      <c r="D6" s="353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37" t="s">
        <v>942</v>
      </c>
      <c r="B11" s="3529"/>
      <c r="C11" s="3529"/>
      <c r="D11" s="3529"/>
    </row>
    <row r="12" spans="1:4" ht="15.75">
      <c r="A12" s="35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4"/>
      <c r="C12" s="3534"/>
      <c r="D12" s="3534"/>
    </row>
    <row r="13" spans="1:4" ht="30" customHeight="1">
      <c r="A13" s="35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4"/>
      <c r="C13" s="3534"/>
      <c r="D13" s="3534"/>
    </row>
    <row r="14" spans="1:4" ht="15.75" customHeight="1">
      <c r="A14" s="3529" t="str">
        <f>IF(项目基本情况!B8="抵押","4.本次评估估价师所知悉的法定优先受偿款情况说明如下：","——")</f>
        <v>4.本次评估估价师所知悉的法定优先受偿款情况说明如下：</v>
      </c>
      <c r="B14" s="3534"/>
      <c r="C14" s="3534"/>
      <c r="D14" s="3534"/>
    </row>
    <row r="15" spans="1:4" ht="42" customHeight="1">
      <c r="A15" s="3529"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9"/>
      <c r="C15" s="3529"/>
      <c r="D15" s="3529"/>
    </row>
    <row r="16" spans="1:4" ht="30" customHeight="1">
      <c r="A16" s="3531" t="s">
        <v>943</v>
      </c>
      <c r="B16" s="3531"/>
      <c r="C16" s="3531"/>
      <c r="D16" s="3531"/>
    </row>
    <row r="17" spans="1:4" ht="144" customHeight="1">
      <c r="A17" s="3531" t="s">
        <v>944</v>
      </c>
      <c r="B17" s="3531"/>
      <c r="C17" s="3531"/>
      <c r="D17" s="3531"/>
    </row>
    <row r="18" spans="1:4" ht="15.75" customHeight="1">
      <c r="A18" s="3529" t="str">
        <f>IF(项目基本情况!B8="抵押",结果表!K120,"——")</f>
        <v>故，本次评估不存在估价师知悉的法定优先受偿款</v>
      </c>
      <c r="B18" s="3529"/>
      <c r="C18" s="3529"/>
      <c r="D18" s="3529"/>
    </row>
    <row r="19" spans="1:4" ht="46.5" customHeight="1">
      <c r="A19" s="35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9"/>
      <c r="C19" s="3529"/>
      <c r="D19" s="3529"/>
    </row>
    <row r="20" spans="1:4" ht="57.75" customHeight="1">
      <c r="A20" s="35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9"/>
      <c r="C20" s="3529"/>
      <c r="D20" s="3529"/>
    </row>
    <row r="21" spans="1:4" ht="57.75" customHeight="1">
      <c r="A21" s="35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2"/>
      <c r="C21" s="3532"/>
      <c r="D21" s="3532"/>
    </row>
    <row r="22" spans="1:4" ht="18.75" customHeight="1">
      <c r="A22" s="3533" t="s">
        <v>945</v>
      </c>
      <c r="B22" s="3533"/>
      <c r="C22" s="3533"/>
      <c r="D22" s="353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30">
        <v>42551</v>
      </c>
      <c r="D31" s="35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43" t="s">
        <v>956</v>
      </c>
      <c r="B15" s="3538" t="s">
        <v>109</v>
      </c>
      <c r="C15" s="3539"/>
    </row>
    <row r="16" spans="1:7" ht="13.5">
      <c r="A16" s="3544"/>
      <c r="B16" s="3538" t="s">
        <v>42</v>
      </c>
      <c r="C16" s="3539"/>
    </row>
    <row r="17" spans="1:3" ht="13.5">
      <c r="A17" s="3544"/>
      <c r="B17" s="3541" t="s">
        <v>957</v>
      </c>
      <c r="C17" s="1532" t="s">
        <v>956</v>
      </c>
    </row>
    <row r="18" spans="1:3" ht="13.5">
      <c r="A18" s="3544"/>
      <c r="B18" s="3541"/>
      <c r="C18" s="1532" t="s">
        <v>958</v>
      </c>
    </row>
    <row r="19" spans="1:3" ht="13.5">
      <c r="A19" s="3544"/>
      <c r="B19" s="3541"/>
      <c r="C19" s="1532" t="s">
        <v>959</v>
      </c>
    </row>
    <row r="20" spans="1:3" ht="13.5">
      <c r="A20" s="3545"/>
      <c r="B20" s="3540" t="s">
        <v>960</v>
      </c>
      <c r="C20" s="3539"/>
    </row>
    <row r="21" spans="1:3" ht="13.5">
      <c r="A21" s="1533" t="s">
        <v>961</v>
      </c>
      <c r="B21" s="1534"/>
      <c r="C21" s="1535"/>
    </row>
    <row r="22" spans="1:3" ht="13.5">
      <c r="A22" s="3542" t="s">
        <v>962</v>
      </c>
      <c r="B22" s="3540" t="s">
        <v>963</v>
      </c>
      <c r="C22" s="3539"/>
    </row>
    <row r="23" spans="1:3" ht="13.5">
      <c r="A23" s="3542"/>
      <c r="B23" s="3540" t="s">
        <v>964</v>
      </c>
      <c r="C23" s="3539"/>
    </row>
    <row r="24" spans="1:3" ht="13.5">
      <c r="A24" s="3542"/>
      <c r="B24" s="3540" t="s">
        <v>965</v>
      </c>
      <c r="C24" s="3539"/>
    </row>
    <row r="25" spans="1:3" ht="13.5">
      <c r="A25" s="3542"/>
      <c r="B25" s="3541" t="s">
        <v>966</v>
      </c>
      <c r="C25" s="1532" t="s">
        <v>967</v>
      </c>
    </row>
    <row r="26" spans="1:3" ht="13.5">
      <c r="A26" s="3542"/>
      <c r="B26" s="3541"/>
      <c r="C26" s="1532" t="s">
        <v>968</v>
      </c>
    </row>
    <row r="27" spans="1:3" ht="13.5">
      <c r="A27" s="3542"/>
      <c r="B27" s="3541"/>
      <c r="C27" s="1532" t="s">
        <v>969</v>
      </c>
    </row>
    <row r="28" spans="1:3" ht="13.5">
      <c r="A28" s="3542"/>
      <c r="B28" s="3541"/>
      <c r="C28" s="1532" t="s">
        <v>970</v>
      </c>
    </row>
    <row r="29" spans="1:3" ht="13.5">
      <c r="A29" s="3542"/>
      <c r="B29" s="3541"/>
      <c r="C29" s="1532" t="s">
        <v>971</v>
      </c>
    </row>
    <row r="30" spans="1:3" ht="13.5">
      <c r="A30" s="3542"/>
      <c r="B30" s="3541"/>
      <c r="C30" s="1532" t="s">
        <v>972</v>
      </c>
    </row>
    <row r="31" spans="1:3" ht="13.5">
      <c r="A31" s="3542"/>
      <c r="B31" s="3541"/>
      <c r="C31" s="1532" t="s">
        <v>973</v>
      </c>
    </row>
    <row r="32" spans="1:3" ht="13.5">
      <c r="A32" s="3542"/>
      <c r="B32" s="3541"/>
      <c r="C32" s="1532" t="s">
        <v>974</v>
      </c>
    </row>
    <row r="33" spans="1:3" ht="13.5">
      <c r="A33" s="3542"/>
      <c r="B33" s="354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45505</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t="str">
        <f ca="1">IF(C6&lt;B2,"已过期",1120050019)</f>
        <v>已过期</v>
      </c>
      <c r="C6" s="2345">
        <v>45410</v>
      </c>
      <c r="D6" s="2346" t="str">
        <f t="shared" ca="1" si="0"/>
        <v>王鹏（注册号：已过期）</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t="str">
        <f ca="1">IF(C13&lt;B2,"已过期",1120020033)</f>
        <v>已过期</v>
      </c>
      <c r="C13" s="2345">
        <v>45375</v>
      </c>
      <c r="D13" s="2346" t="str">
        <f t="shared" ca="1" si="0"/>
        <v>刘敬东（注册号：已过期）</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2432</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46" t="s">
        <v>2158</v>
      </c>
      <c r="B17" s="3546"/>
      <c r="C17" s="3546"/>
      <c r="D17" s="3546"/>
      <c r="E17" s="3546"/>
      <c r="F17" s="3546"/>
      <c r="G17" s="3546"/>
      <c r="H17" s="3546"/>
    </row>
    <row r="18" spans="1:8" ht="24" customHeight="1">
      <c r="A18" s="3547" t="s">
        <v>2159</v>
      </c>
      <c r="B18" s="3547"/>
      <c r="C18" s="3547"/>
      <c r="D18" s="2343"/>
      <c r="E18" s="3548" t="s">
        <v>2160</v>
      </c>
      <c r="F18" s="3547"/>
      <c r="G18" s="3547"/>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2433</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案例</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2024-08-01T02:22:22Z</dcterms:modified>
</cp:coreProperties>
</file>