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24" i="80" l="1"/>
  <c r="D24" i="80"/>
  <c r="G23" i="80"/>
  <c r="I23" i="80"/>
  <c r="H23" i="80"/>
  <c r="E21" i="80" l="1"/>
  <c r="D21" i="80"/>
  <c r="E20" i="80"/>
  <c r="D20" i="80"/>
  <c r="F8" i="80" l="1"/>
  <c r="E8" i="80" s="1"/>
  <c r="C17" i="74"/>
  <c r="E23" i="80" s="1"/>
  <c r="B17" i="74"/>
  <c r="D23" i="80" s="1"/>
  <c r="C16" i="74"/>
  <c r="E22" i="80" s="1"/>
  <c r="B16" i="74"/>
  <c r="D22" i="80" s="1"/>
  <c r="C15" i="74"/>
  <c r="B15" i="74"/>
  <c r="E5" i="80" l="1"/>
  <c r="E9" i="80" s="1"/>
  <c r="C14" i="74"/>
  <c r="B14" i="74"/>
  <c r="M16" i="77"/>
  <c r="L16" i="77"/>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C18" i="79" s="1"/>
  <c r="D18" i="79" s="1"/>
  <c r="L4" i="79"/>
  <c r="K4" i="79"/>
  <c r="A2" i="79"/>
  <c r="H1" i="79"/>
  <c r="D34" i="79"/>
  <c r="D35" i="79"/>
  <c r="E6" i="80" l="1"/>
  <c r="E4" i="80" s="1"/>
  <c r="D17" i="74" s="1"/>
  <c r="J23" i="80" s="1"/>
  <c r="C74" i="79"/>
  <c r="C92" i="79"/>
  <c r="C94" i="79"/>
  <c r="K120" i="79"/>
  <c r="D121" i="79"/>
  <c r="H109" i="79"/>
  <c r="L9" i="77"/>
  <c r="I13" i="3"/>
  <c r="F19" i="6" s="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A3" i="3"/>
  <c r="G201" i="77"/>
  <c r="L4" i="77"/>
  <c r="L3" i="77"/>
  <c r="F23" i="80" l="1"/>
  <c r="K23" i="80"/>
  <c r="I31" i="77"/>
  <c r="G17" i="74"/>
  <c r="D124" i="79"/>
  <c r="D125" i="79" s="1"/>
  <c r="H110"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G60" i="43"/>
  <c r="G61" i="43"/>
  <c r="G62" i="43"/>
  <c r="G63" i="43"/>
  <c r="G64" i="43"/>
  <c r="G65" i="43"/>
  <c r="G66" i="43"/>
  <c r="G67" i="43"/>
  <c r="G59" i="43"/>
  <c r="G41" i="43"/>
  <c r="Y7" i="1"/>
  <c r="Y6" i="1"/>
  <c r="N7" i="1"/>
  <c r="M21" i="1"/>
  <c r="M23" i="1" s="1"/>
  <c r="D39" i="43"/>
  <c r="D29" i="43"/>
  <c r="L5" i="77" l="1"/>
  <c r="L6" i="77" s="1"/>
  <c r="D24" i="78"/>
  <c r="P61" i="78"/>
  <c r="D22" i="78"/>
  <c r="C76" i="78"/>
  <c r="F37" i="78"/>
  <c r="F8" i="78"/>
  <c r="M6" i="78"/>
  <c r="F13" i="78"/>
  <c r="M24" i="78"/>
  <c r="M9" i="78"/>
  <c r="F7" i="78"/>
  <c r="F40" i="78"/>
  <c r="F16" i="78"/>
  <c r="F9" i="78"/>
  <c r="L48" i="78"/>
  <c r="M23" i="78"/>
  <c r="M22" i="78"/>
  <c r="F6" i="78"/>
  <c r="M26" i="78"/>
  <c r="M28" i="78"/>
  <c r="M8" i="78"/>
  <c r="F36" i="78"/>
  <c r="F42" i="78"/>
  <c r="F26" i="78"/>
  <c r="F38" i="78"/>
  <c r="L47" i="78"/>
  <c r="M27" i="78"/>
  <c r="J15" i="78"/>
  <c r="H4" i="77" l="1"/>
  <c r="H6" i="77"/>
  <c r="H8" i="77"/>
  <c r="H10" i="77"/>
  <c r="H12" i="77"/>
  <c r="H14" i="77"/>
  <c r="H16" i="77"/>
  <c r="H18" i="77"/>
  <c r="H20" i="77"/>
  <c r="H22" i="77"/>
  <c r="H24" i="77"/>
  <c r="H26" i="77"/>
  <c r="H28" i="77"/>
  <c r="H30" i="77"/>
  <c r="H32" i="77"/>
  <c r="H34" i="77"/>
  <c r="H36" i="77"/>
  <c r="H38" i="77"/>
  <c r="H40" i="77"/>
  <c r="H42" i="77"/>
  <c r="H44" i="77"/>
  <c r="H46" i="77"/>
  <c r="H48" i="77"/>
  <c r="H50" i="77"/>
  <c r="H52" i="77"/>
  <c r="H54" i="77"/>
  <c r="H56" i="77"/>
  <c r="H58" i="77"/>
  <c r="H60" i="77"/>
  <c r="H62" i="77"/>
  <c r="H64" i="77"/>
  <c r="H66" i="77"/>
  <c r="H68" i="77"/>
  <c r="H70" i="77"/>
  <c r="H72" i="77"/>
  <c r="H74" i="77"/>
  <c r="H76" i="77"/>
  <c r="H78" i="77"/>
  <c r="H80" i="77"/>
  <c r="H82" i="77"/>
  <c r="H84" i="77"/>
  <c r="H86" i="77"/>
  <c r="H88" i="77"/>
  <c r="H90" i="77"/>
  <c r="H92" i="77"/>
  <c r="H94" i="77"/>
  <c r="H96" i="77"/>
  <c r="H98" i="77"/>
  <c r="H100" i="77"/>
  <c r="H102" i="77"/>
  <c r="H104" i="77"/>
  <c r="H106" i="77"/>
  <c r="H108" i="77"/>
  <c r="H110" i="77"/>
  <c r="H112" i="77"/>
  <c r="H114" i="77"/>
  <c r="H116" i="77"/>
  <c r="H118" i="77"/>
  <c r="H120" i="77"/>
  <c r="H122" i="77"/>
  <c r="H124" i="77"/>
  <c r="H126" i="77"/>
  <c r="H128" i="77"/>
  <c r="H130" i="77"/>
  <c r="H132" i="77"/>
  <c r="H134" i="77"/>
  <c r="H136" i="77"/>
  <c r="H138" i="77"/>
  <c r="H140" i="77"/>
  <c r="H142" i="77"/>
  <c r="H144" i="77"/>
  <c r="H146" i="77"/>
  <c r="H148" i="77"/>
  <c r="H150" i="77"/>
  <c r="H152" i="77"/>
  <c r="H154" i="77"/>
  <c r="H156" i="77"/>
  <c r="H158" i="77"/>
  <c r="H160" i="77"/>
  <c r="H162" i="77"/>
  <c r="H164" i="77"/>
  <c r="H166" i="77"/>
  <c r="H168" i="77"/>
  <c r="H170" i="77"/>
  <c r="H5" i="77"/>
  <c r="H9" i="77"/>
  <c r="H13" i="77"/>
  <c r="H17" i="77"/>
  <c r="H21" i="77"/>
  <c r="H25" i="77"/>
  <c r="H29" i="77"/>
  <c r="H33" i="77"/>
  <c r="H37" i="77"/>
  <c r="H41" i="77"/>
  <c r="H45" i="77"/>
  <c r="H49" i="77"/>
  <c r="H53" i="77"/>
  <c r="H57" i="77"/>
  <c r="H61" i="77"/>
  <c r="H65" i="77"/>
  <c r="H69" i="77"/>
  <c r="H73" i="77"/>
  <c r="H77" i="77"/>
  <c r="H81" i="77"/>
  <c r="H85" i="77"/>
  <c r="H89" i="77"/>
  <c r="H93" i="77"/>
  <c r="H97" i="77"/>
  <c r="H101" i="77"/>
  <c r="H105" i="77"/>
  <c r="H109" i="77"/>
  <c r="H113" i="77"/>
  <c r="H117" i="77"/>
  <c r="H121" i="77"/>
  <c r="H125" i="77"/>
  <c r="H129" i="77"/>
  <c r="H133" i="77"/>
  <c r="H137" i="77"/>
  <c r="H141" i="77"/>
  <c r="H145" i="77"/>
  <c r="H149" i="77"/>
  <c r="H153" i="77"/>
  <c r="H157" i="77"/>
  <c r="H161" i="77"/>
  <c r="H165" i="77"/>
  <c r="H169" i="77"/>
  <c r="H172" i="77"/>
  <c r="H174" i="77"/>
  <c r="H176" i="77"/>
  <c r="H178" i="77"/>
  <c r="H180" i="77"/>
  <c r="H182" i="77"/>
  <c r="H184" i="77"/>
  <c r="H186" i="77"/>
  <c r="H188" i="77"/>
  <c r="H190" i="77"/>
  <c r="H192" i="77"/>
  <c r="H194" i="77"/>
  <c r="H196" i="77"/>
  <c r="H198" i="77"/>
  <c r="H2" i="77"/>
  <c r="H200" i="77" s="1"/>
  <c r="H201" i="77" s="1"/>
  <c r="H3" i="77"/>
  <c r="H7" i="77"/>
  <c r="H11" i="77"/>
  <c r="H15" i="77"/>
  <c r="H19" i="77"/>
  <c r="H23" i="77"/>
  <c r="H27" i="77"/>
  <c r="H31" i="77"/>
  <c r="H35" i="77"/>
  <c r="H39" i="77"/>
  <c r="H43" i="77"/>
  <c r="H47" i="77"/>
  <c r="H51" i="77"/>
  <c r="H55" i="77"/>
  <c r="H59" i="77"/>
  <c r="H63" i="77"/>
  <c r="H67" i="77"/>
  <c r="H71" i="77"/>
  <c r="H75" i="77"/>
  <c r="H79" i="77"/>
  <c r="H83" i="77"/>
  <c r="H87" i="77"/>
  <c r="H91" i="77"/>
  <c r="H95" i="77"/>
  <c r="H99" i="77"/>
  <c r="H103" i="77"/>
  <c r="H107" i="77"/>
  <c r="H111" i="77"/>
  <c r="H119" i="77"/>
  <c r="H127" i="77"/>
  <c r="H135" i="77"/>
  <c r="H143" i="77"/>
  <c r="H151" i="77"/>
  <c r="H159" i="77"/>
  <c r="H167" i="77"/>
  <c r="H173" i="77"/>
  <c r="H177" i="77"/>
  <c r="H181" i="77"/>
  <c r="H185" i="77"/>
  <c r="H189" i="77"/>
  <c r="H193" i="77"/>
  <c r="H197" i="77"/>
  <c r="H115" i="77"/>
  <c r="H123" i="77"/>
  <c r="H131" i="77"/>
  <c r="H139" i="77"/>
  <c r="H147" i="77"/>
  <c r="H155" i="77"/>
  <c r="H163" i="77"/>
  <c r="H171" i="77"/>
  <c r="H175" i="77"/>
  <c r="H179" i="77"/>
  <c r="H183" i="77"/>
  <c r="H187" i="77"/>
  <c r="H191" i="77"/>
  <c r="H195" i="77"/>
  <c r="H199" i="77"/>
  <c r="F64" i="78"/>
  <c r="F66" i="78"/>
  <c r="F51" i="78"/>
  <c r="F68" i="78"/>
  <c r="L57" i="78"/>
  <c r="L56" i="78"/>
  <c r="J60" i="78"/>
  <c r="Q48" i="78" s="1"/>
  <c r="J53" i="78"/>
  <c r="I54" i="78"/>
  <c r="L60" i="78"/>
  <c r="J59" i="78"/>
  <c r="J57" i="78"/>
  <c r="J55" i="78" s="1"/>
  <c r="J58" i="78" s="1"/>
  <c r="Q50" i="78" s="1"/>
  <c r="C6" i="78"/>
  <c r="C27" i="78"/>
  <c r="F65" i="78"/>
  <c r="F50" i="78"/>
  <c r="M7" i="78"/>
  <c r="J6" i="78" s="1"/>
  <c r="N59" i="78"/>
  <c r="L59" i="78"/>
  <c r="L58" i="78"/>
  <c r="M59" i="78"/>
  <c r="Q71" i="78"/>
  <c r="L46" i="78" l="1"/>
  <c r="C49" i="78"/>
  <c r="J18" i="78"/>
  <c r="Q60" i="78"/>
  <c r="Q73" i="78"/>
  <c r="C33" i="78"/>
  <c r="C32" i="78"/>
  <c r="Q61" i="78"/>
  <c r="Q74" i="78"/>
  <c r="Q66" i="78"/>
  <c r="Q57" i="78"/>
  <c r="F1" i="78"/>
  <c r="Q5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D67" i="43" s="1"/>
  <c r="J67" i="43"/>
  <c r="M66" i="43"/>
  <c r="N66" i="43"/>
  <c r="K66" i="43"/>
  <c r="J66" i="43"/>
  <c r="D66" i="43" s="1"/>
  <c r="M65" i="43"/>
  <c r="N65" i="43"/>
  <c r="K65" i="43"/>
  <c r="J65" i="43"/>
  <c r="M64" i="43"/>
  <c r="N64" i="43"/>
  <c r="K64" i="43"/>
  <c r="D64" i="43" s="1"/>
  <c r="J64" i="43"/>
  <c r="M63" i="43"/>
  <c r="N63" i="43"/>
  <c r="K63" i="43"/>
  <c r="J63" i="43"/>
  <c r="M62" i="43"/>
  <c r="N62" i="43"/>
  <c r="K62" i="43"/>
  <c r="D62" i="43" s="1"/>
  <c r="J62" i="43"/>
  <c r="M61" i="43"/>
  <c r="N61" i="43"/>
  <c r="K61" i="43"/>
  <c r="J61" i="43"/>
  <c r="M60" i="43"/>
  <c r="N60" i="43"/>
  <c r="K60" i="43"/>
  <c r="D60" i="43" s="1"/>
  <c r="J60" i="43"/>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R8" i="1"/>
  <c r="AE8" i="1"/>
  <c r="AG6" i="1"/>
  <c r="H109" i="9"/>
  <c r="H110" i="9"/>
  <c r="D18" i="53" s="1"/>
  <c r="B35" i="72" s="1"/>
  <c r="D16" i="53"/>
  <c r="B34" i="72" s="1"/>
  <c r="J7" i="33"/>
  <c r="W7" i="33" s="1"/>
  <c r="F7" i="33"/>
  <c r="S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C16" i="43" s="1"/>
  <c r="M17" i="43"/>
  <c r="E17" i="43"/>
  <c r="C70" i="39"/>
  <c r="D68" i="39"/>
  <c r="U7" i="33"/>
  <c r="F48" i="35"/>
  <c r="G48" i="35"/>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E63" i="40"/>
  <c r="F63" i="40" s="1"/>
  <c r="D70" i="39"/>
  <c r="E68" i="39"/>
  <c r="E70" i="39" s="1"/>
  <c r="E65" i="40"/>
  <c r="C19" i="43"/>
  <c r="AO12" i="1"/>
  <c r="D2" i="36"/>
  <c r="D7" i="73"/>
  <c r="F36" i="67"/>
  <c r="E9" i="76"/>
  <c r="M22" i="67"/>
  <c r="D2" i="35"/>
  <c r="E2" i="69"/>
  <c r="F26" i="67"/>
  <c r="L47" i="15"/>
  <c r="J15" i="67"/>
  <c r="D2" i="21"/>
  <c r="F20" i="31"/>
  <c r="F4" i="73"/>
  <c r="F37" i="67"/>
  <c r="M9" i="15"/>
  <c r="F42" i="15"/>
  <c r="D3" i="73"/>
  <c r="M8" i="67"/>
  <c r="L48" i="15"/>
  <c r="F6" i="15"/>
  <c r="F26" i="15"/>
  <c r="F13" i="15"/>
  <c r="F36" i="15"/>
  <c r="B8" i="76"/>
  <c r="D2" i="34"/>
  <c r="D2" i="37"/>
  <c r="M28" i="67"/>
  <c r="C76" i="15"/>
  <c r="D2" i="33"/>
  <c r="M6" i="67"/>
  <c r="AO13" i="1"/>
  <c r="F7" i="15"/>
  <c r="F6" i="67"/>
  <c r="M23" i="67"/>
  <c r="AO10" i="1"/>
  <c r="AO8" i="1"/>
  <c r="J15" i="15"/>
  <c r="E2" i="68"/>
  <c r="B13" i="76"/>
  <c r="F43" i="15"/>
  <c r="M27" i="15"/>
  <c r="L48" i="67"/>
  <c r="M28" i="15"/>
  <c r="B7" i="76"/>
  <c r="F43" i="67"/>
  <c r="M27" i="67"/>
  <c r="M22" i="15"/>
  <c r="F3" i="73"/>
  <c r="M24" i="15"/>
  <c r="F7" i="73"/>
  <c r="M23" i="15"/>
  <c r="F7" i="67"/>
  <c r="B12" i="76"/>
  <c r="F16" i="67"/>
  <c r="F8" i="67"/>
  <c r="M6" i="15"/>
  <c r="F9" i="15"/>
  <c r="F38" i="67"/>
  <c r="F9" i="67"/>
  <c r="F37" i="15"/>
  <c r="D5" i="73"/>
  <c r="B10" i="76"/>
  <c r="F8" i="15"/>
  <c r="M29" i="67"/>
  <c r="E8" i="76"/>
  <c r="D6" i="73"/>
  <c r="C76" i="67"/>
  <c r="E7" i="76"/>
  <c r="D4" i="73"/>
  <c r="M26" i="15"/>
  <c r="E12" i="76"/>
  <c r="M29" i="15"/>
  <c r="L47" i="67"/>
  <c r="B11" i="76"/>
  <c r="F42" i="67"/>
  <c r="AE7" i="1"/>
  <c r="F38" i="15"/>
  <c r="M8" i="15"/>
  <c r="F13" i="67"/>
  <c r="B9" i="76"/>
  <c r="F6" i="73"/>
  <c r="F43" i="78"/>
  <c r="AO9" i="1"/>
  <c r="AO11" i="1"/>
  <c r="F40" i="67"/>
  <c r="E13" i="76"/>
  <c r="M29" i="78"/>
  <c r="M9" i="67"/>
  <c r="E11" i="76"/>
  <c r="M24" i="67"/>
  <c r="F5" i="73"/>
  <c r="F40" i="15"/>
  <c r="F16" i="15"/>
  <c r="M26" i="67"/>
  <c r="E10" i="76"/>
  <c r="P74" i="67" l="1"/>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9" i="1"/>
  <c r="AQ9" i="1"/>
  <c r="T12" i="1"/>
  <c r="E59" i="40"/>
  <c r="F71" i="78"/>
  <c r="T13" i="1"/>
  <c r="AR11" i="1"/>
  <c r="T11" i="1"/>
  <c r="M7" i="1"/>
  <c r="AR10" i="1"/>
  <c r="D115" i="43"/>
  <c r="E115" i="43" s="1"/>
  <c r="F115" i="43" s="1"/>
  <c r="G115" i="43" s="1"/>
  <c r="H115" i="43" s="1"/>
  <c r="J59" i="43"/>
  <c r="E59" i="43"/>
  <c r="B57" i="43" s="1"/>
  <c r="C24" i="43" s="1"/>
  <c r="H62" i="43"/>
  <c r="H65" i="43"/>
  <c r="H63" i="43"/>
  <c r="H67" i="43"/>
  <c r="H60" i="43"/>
  <c r="H66" i="43"/>
  <c r="H64" i="43"/>
  <c r="H59" i="43"/>
  <c r="H61" i="43"/>
  <c r="D5" i="43"/>
  <c r="H75" i="43"/>
  <c r="H82" i="43"/>
  <c r="H50" i="43"/>
  <c r="P61" i="15"/>
  <c r="C48" i="68"/>
  <c r="C30" i="68"/>
  <c r="C31" i="12"/>
  <c r="D22" i="67"/>
  <c r="L27" i="6"/>
  <c r="Q16" i="1"/>
  <c r="F27" i="69" s="1"/>
  <c r="D19" i="12"/>
  <c r="C19" i="12" s="1"/>
  <c r="AQ8" i="1"/>
  <c r="I102" i="43"/>
  <c r="T8" i="1"/>
  <c r="H16" i="1"/>
  <c r="E29" i="6"/>
  <c r="K15" i="1" s="1"/>
  <c r="I105" i="43"/>
  <c r="C101" i="43"/>
  <c r="E22" i="43"/>
  <c r="N101" i="43"/>
  <c r="F101" i="43"/>
  <c r="K101" i="43"/>
  <c r="G16" i="1"/>
  <c r="J10" i="40" s="1"/>
  <c r="I14" i="74"/>
  <c r="B8" i="74" s="1"/>
  <c r="D12" i="52"/>
  <c r="D127" i="9"/>
  <c r="D13" i="52" s="1"/>
  <c r="B13" i="53"/>
  <c r="B29" i="72" s="1"/>
  <c r="F65" i="40"/>
  <c r="G63" i="40"/>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C36" i="69"/>
  <c r="D9" i="69"/>
  <c r="D9" i="68"/>
  <c r="C36" i="68"/>
  <c r="C16" i="78"/>
  <c r="C16" i="15"/>
  <c r="G1" i="73"/>
  <c r="C16" i="67"/>
  <c r="E16" i="6" l="1"/>
  <c r="AG13" i="43"/>
  <c r="F27" i="68"/>
  <c r="C29" i="68" s="1"/>
  <c r="D27" i="68" s="1"/>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45"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H63" i="40"/>
  <c r="G65" i="40"/>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41" i="15"/>
  <c r="F41" i="78"/>
  <c r="C47" i="68" l="1"/>
  <c r="D45" i="68" s="1"/>
  <c r="D113" i="43"/>
  <c r="J22" i="43" s="1"/>
  <c r="F69" i="78"/>
  <c r="C24" i="78"/>
  <c r="J26" i="78"/>
  <c r="J29" i="78" s="1"/>
  <c r="J24" i="78"/>
  <c r="C53" i="78"/>
  <c r="C48" i="78" s="1"/>
  <c r="C10" i="78"/>
  <c r="C5" i="78" s="1"/>
  <c r="E41" i="43"/>
  <c r="C41" i="43" s="1"/>
  <c r="C20" i="43"/>
  <c r="F69" i="15"/>
  <c r="C47" i="11"/>
  <c r="D45" i="11" s="1"/>
  <c r="C29" i="11"/>
  <c r="D27" i="11" s="1"/>
  <c r="S10" i="40"/>
  <c r="U10" i="40"/>
  <c r="C23" i="43"/>
  <c r="C21" i="43" s="1"/>
  <c r="S5" i="43"/>
  <c r="S6" i="43"/>
  <c r="S4" i="43"/>
  <c r="S7" i="43"/>
  <c r="S2" i="43"/>
  <c r="S3" i="43"/>
  <c r="AC10" i="39"/>
  <c r="AB10" i="39"/>
  <c r="S10" i="39"/>
  <c r="G70" i="39"/>
  <c r="H68" i="39"/>
  <c r="I63" i="40"/>
  <c r="H65" i="40"/>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M21" i="6" s="1"/>
  <c r="I21" i="6" s="1"/>
  <c r="S21" i="6" s="1"/>
  <c r="K22" i="6"/>
  <c r="M22" i="6" s="1"/>
  <c r="I22" i="6" s="1"/>
  <c r="S22" i="6" s="1"/>
  <c r="AY6" i="3"/>
  <c r="E3" i="6"/>
  <c r="E8" i="71"/>
  <c r="E7" i="71" s="1"/>
  <c r="E6" i="71" s="1"/>
  <c r="E5" i="71" s="1"/>
  <c r="V9" i="71"/>
  <c r="J26" i="67"/>
  <c r="J24" i="67"/>
  <c r="J24" i="15"/>
  <c r="J26" i="15"/>
  <c r="J29" i="15" s="1"/>
  <c r="C53" i="67"/>
  <c r="C48" i="67" s="1"/>
  <c r="C10" i="67"/>
  <c r="C5" i="67" s="1"/>
  <c r="C53" i="15"/>
  <c r="C48" i="15" s="1"/>
  <c r="C10" i="15"/>
  <c r="C5" i="15" s="1"/>
  <c r="F25" i="12"/>
  <c r="F22" i="69"/>
  <c r="F41" i="69" s="1"/>
  <c r="F24" i="67"/>
  <c r="C24" i="67" s="1"/>
  <c r="F22" i="11"/>
  <c r="F22" i="68"/>
  <c r="F24" i="15"/>
  <c r="C24" i="15" s="1"/>
  <c r="C17" i="67"/>
  <c r="C14" i="67"/>
  <c r="C17" i="15"/>
  <c r="F41" i="67"/>
  <c r="C18" i="67" l="1"/>
  <c r="C15" i="67"/>
  <c r="M18" i="79"/>
  <c r="B118" i="79" s="1"/>
  <c r="L18" i="79"/>
  <c r="F69" i="67"/>
  <c r="J29" i="67"/>
  <c r="E6" i="70"/>
  <c r="T2" i="43"/>
  <c r="V2" i="43" s="1"/>
  <c r="T4" i="43"/>
  <c r="V4" i="43" s="1"/>
  <c r="T5" i="43"/>
  <c r="V5" i="43" s="1"/>
  <c r="C38" i="78"/>
  <c r="C66" i="78"/>
  <c r="C60"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29" i="43"/>
  <c r="C38" i="43"/>
  <c r="C39" i="43"/>
  <c r="AQ6" i="1"/>
  <c r="AR6" i="1"/>
  <c r="T6" i="1"/>
  <c r="M20" i="6"/>
  <c r="I20" i="6" s="1"/>
  <c r="S20" i="6" s="1"/>
  <c r="S7" i="1"/>
  <c r="AC6" i="3"/>
  <c r="H6" i="3"/>
  <c r="J63" i="40"/>
  <c r="I65" i="40"/>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34" i="69"/>
  <c r="C14" i="15"/>
  <c r="C17" i="78"/>
  <c r="C19" i="67" l="1"/>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K63" i="40"/>
  <c r="J65" i="40"/>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8" i="74"/>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9"/>
  <c r="D10" i="68"/>
  <c r="C14" i="78"/>
  <c r="C23" i="67" l="1"/>
  <c r="C29" i="67" s="1"/>
  <c r="C19" i="15"/>
  <c r="C20" i="15" s="1"/>
  <c r="C26" i="15" s="1"/>
  <c r="C18" i="78"/>
  <c r="C15" i="78"/>
  <c r="C26" i="43"/>
  <c r="B2" i="43" s="1"/>
  <c r="C6" i="68" s="1"/>
  <c r="C7" i="68" s="1"/>
  <c r="C27" i="43"/>
  <c r="R20" i="6"/>
  <c r="R7" i="1" s="1"/>
  <c r="D16" i="6"/>
  <c r="C28" i="11"/>
  <c r="C27" i="11" s="1"/>
  <c r="C31" i="11" s="1"/>
  <c r="P14" i="1"/>
  <c r="P16" i="1" s="1"/>
  <c r="C11" i="12" s="1"/>
  <c r="C12" i="12" s="1"/>
  <c r="R25" i="6"/>
  <c r="K65" i="40"/>
  <c r="L63" i="40"/>
  <c r="K68" i="39"/>
  <c r="J70" i="39"/>
  <c r="C10" i="68"/>
  <c r="C8" i="68" s="1"/>
  <c r="D19" i="68"/>
  <c r="S19" i="6"/>
  <c r="S27" i="6" s="1"/>
  <c r="I27" i="6"/>
  <c r="C12" i="71"/>
  <c r="T13" i="71"/>
  <c r="D13" i="71"/>
  <c r="U13" i="71" s="1"/>
  <c r="H19" i="6"/>
  <c r="H27" i="6" s="1"/>
  <c r="R23" i="6"/>
  <c r="A7" i="51"/>
  <c r="B7" i="72" s="1"/>
  <c r="C4" i="52"/>
  <c r="B45" i="72" s="1"/>
  <c r="A10" i="51"/>
  <c r="B9" i="72" s="1"/>
  <c r="D27" i="6"/>
  <c r="D31" i="6" s="1"/>
  <c r="R19" i="6"/>
  <c r="R24" i="6"/>
  <c r="R22" i="6"/>
  <c r="C10" i="69"/>
  <c r="C8" i="69" s="1"/>
  <c r="D19" i="69"/>
  <c r="R26" i="6"/>
  <c r="D8" i="74"/>
  <c r="D7" i="74"/>
  <c r="R21" i="6"/>
  <c r="N16" i="1"/>
  <c r="L16" i="1"/>
  <c r="C34" i="11"/>
  <c r="Q48" i="15"/>
  <c r="Q48" i="67"/>
  <c r="C34" i="68"/>
  <c r="B6" i="76"/>
  <c r="E6" i="76"/>
  <c r="C36" i="67" l="1"/>
  <c r="J14" i="67"/>
  <c r="J19" i="67"/>
  <c r="Q49" i="67"/>
  <c r="C13" i="67"/>
  <c r="C57" i="67"/>
  <c r="C19" i="78"/>
  <c r="C20" i="78" s="1"/>
  <c r="C26" i="78" s="1"/>
  <c r="C23" i="15"/>
  <c r="C29" i="15" s="1"/>
  <c r="J14" i="15" s="1"/>
  <c r="C5" i="68"/>
  <c r="C23" i="68" s="1"/>
  <c r="C15" i="12"/>
  <c r="E2" i="76"/>
  <c r="B2" i="76"/>
  <c r="B3" i="43"/>
  <c r="C6" i="69" s="1"/>
  <c r="R27" i="6"/>
  <c r="R6" i="1"/>
  <c r="C16" i="12"/>
  <c r="C21" i="12" s="1"/>
  <c r="C22" i="12" s="1"/>
  <c r="M63" i="40"/>
  <c r="L65" i="40"/>
  <c r="L68" i="39"/>
  <c r="K70" i="39"/>
  <c r="C35" i="68"/>
  <c r="C38" i="68"/>
  <c r="C19" i="68"/>
  <c r="D37" i="68"/>
  <c r="C37" i="68" s="1"/>
  <c r="C38" i="11"/>
  <c r="C35" i="11"/>
  <c r="F50" i="69"/>
  <c r="F50" i="11"/>
  <c r="F50" i="68"/>
  <c r="C19" i="69"/>
  <c r="C24" i="69" s="1"/>
  <c r="D37" i="69"/>
  <c r="C37" i="69" s="1"/>
  <c r="C33" i="69" s="1"/>
  <c r="I6" i="6"/>
  <c r="I5" i="6"/>
  <c r="C11" i="71"/>
  <c r="D12" i="71"/>
  <c r="F35" i="15"/>
  <c r="M21" i="78"/>
  <c r="M21" i="15"/>
  <c r="M21" i="67"/>
  <c r="F35" i="78"/>
  <c r="F35" i="67"/>
  <c r="C61" i="67" l="1"/>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M65" i="40"/>
  <c r="N63" i="40"/>
  <c r="C39" i="69"/>
  <c r="C43" i="69" s="1"/>
  <c r="C42" i="69"/>
  <c r="C20" i="68"/>
  <c r="C25" i="68" s="1"/>
  <c r="C24" i="68"/>
  <c r="C10" i="71"/>
  <c r="D11" i="71"/>
  <c r="C33" i="11"/>
  <c r="C33" i="68"/>
  <c r="J16" i="67" l="1"/>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N65" i="40"/>
  <c r="H7" i="40" s="1"/>
  <c r="O63" i="40"/>
  <c r="O65" i="40" s="1"/>
  <c r="F7" i="40"/>
  <c r="C46" i="69"/>
  <c r="C45" i="69" s="1"/>
  <c r="C49" i="69" s="1"/>
  <c r="C51" i="69" s="1"/>
  <c r="N68" i="39"/>
  <c r="M70" i="39"/>
  <c r="C39" i="11"/>
  <c r="C42" i="11"/>
  <c r="C9" i="71"/>
  <c r="D10" i="71"/>
  <c r="C39" i="68"/>
  <c r="C42" i="68"/>
  <c r="L51" i="67"/>
  <c r="L51" i="15"/>
  <c r="C80" i="67" l="1"/>
  <c r="C79" i="67" s="1"/>
  <c r="Q69" i="67"/>
  <c r="Q68" i="67" s="1"/>
  <c r="Q67" i="67"/>
  <c r="Q66" i="67"/>
  <c r="D2" i="67"/>
  <c r="Q56" i="67"/>
  <c r="C83" i="67"/>
  <c r="C82" i="67" s="1"/>
  <c r="C45" i="67"/>
  <c r="C46" i="67" s="1"/>
  <c r="C43" i="67"/>
  <c r="Q47" i="67"/>
  <c r="Q53" i="67" s="1"/>
  <c r="Q65" i="67"/>
  <c r="Q57" i="67"/>
  <c r="Q62" i="67" s="1"/>
  <c r="C25" i="69"/>
  <c r="C22" i="69" s="1"/>
  <c r="C31" i="69" s="1"/>
  <c r="C52" i="69" s="1"/>
  <c r="B2" i="69" s="1"/>
  <c r="B3" i="69" s="1"/>
  <c r="C58" i="15"/>
  <c r="C67" i="15" s="1"/>
  <c r="C68" i="15" s="1"/>
  <c r="C71" i="15" s="1"/>
  <c r="Q57" i="15"/>
  <c r="Q67" i="15"/>
  <c r="C40" i="15"/>
  <c r="Q65" i="15" s="1"/>
  <c r="C80" i="15"/>
  <c r="C79" i="15" s="1"/>
  <c r="Q70" i="78"/>
  <c r="C75" i="78"/>
  <c r="C56" i="78"/>
  <c r="C65" i="78" s="1"/>
  <c r="C37" i="78"/>
  <c r="C30" i="78" s="1"/>
  <c r="C39" i="78" s="1"/>
  <c r="J22" i="78"/>
  <c r="J13" i="78"/>
  <c r="J23" i="78" s="1"/>
  <c r="C61" i="78"/>
  <c r="C59" i="78" s="1"/>
  <c r="C64" i="78"/>
  <c r="Q66" i="15"/>
  <c r="C31" i="68"/>
  <c r="O68" i="39"/>
  <c r="O70" i="39" s="1"/>
  <c r="N70" i="39"/>
  <c r="S7" i="40"/>
  <c r="AA7" i="40"/>
  <c r="R42" i="40" s="1"/>
  <c r="H7" i="39"/>
  <c r="AB7" i="40"/>
  <c r="T42" i="40" s="1"/>
  <c r="G42" i="40" s="1"/>
  <c r="U7" i="40"/>
  <c r="J7" i="40"/>
  <c r="C46" i="68"/>
  <c r="C45" i="68" s="1"/>
  <c r="C43" i="68"/>
  <c r="C41" i="68" s="1"/>
  <c r="C8" i="71"/>
  <c r="T9" i="71"/>
  <c r="D9" i="71"/>
  <c r="U9" i="71" s="1"/>
  <c r="C46" i="11"/>
  <c r="C45" i="11" s="1"/>
  <c r="C43" i="11"/>
  <c r="C41" i="11" s="1"/>
  <c r="L51" i="78"/>
  <c r="Q75" i="67" l="1"/>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57" i="69"/>
  <c r="C56" i="69" s="1"/>
  <c r="C49" i="11"/>
  <c r="C51" i="11" s="1"/>
  <c r="C52" i="11" s="1"/>
  <c r="U7" i="39"/>
  <c r="AB7" i="39"/>
  <c r="T47" i="39" s="1"/>
  <c r="G47" i="39" s="1"/>
  <c r="J7" i="39"/>
  <c r="F7" i="39"/>
  <c r="AC7" i="40"/>
  <c r="V42" i="40" s="1"/>
  <c r="I42" i="40" s="1"/>
  <c r="G47" i="40" s="1"/>
  <c r="H47" i="40" s="1"/>
  <c r="W7" i="40"/>
  <c r="G46" i="40"/>
  <c r="H46" i="40" s="1"/>
  <c r="R43" i="40"/>
  <c r="E42" i="40"/>
  <c r="D8" i="71"/>
  <c r="C7" i="71"/>
  <c r="C19" i="79"/>
  <c r="AO6" i="1"/>
  <c r="D35" i="9"/>
  <c r="D34" i="9"/>
  <c r="C102" i="79" l="1"/>
  <c r="C21" i="79"/>
  <c r="B6" i="70"/>
  <c r="B3" i="15"/>
  <c r="C46" i="78"/>
  <c r="B2" i="78"/>
  <c r="Q56" i="78"/>
  <c r="Q62" i="78" s="1"/>
  <c r="C83" i="78"/>
  <c r="C82" i="78" s="1"/>
  <c r="Q47" i="78"/>
  <c r="Q53" i="78" s="1"/>
  <c r="Q65" i="78"/>
  <c r="Q75" i="78" s="1"/>
  <c r="C43" i="78"/>
  <c r="C57" i="68"/>
  <c r="C56" i="68" s="1"/>
  <c r="B2" i="11"/>
  <c r="B3" i="11" s="1"/>
  <c r="C56" i="11"/>
  <c r="C57" i="11" s="1"/>
  <c r="E46" i="40"/>
  <c r="F46" i="40" s="1"/>
  <c r="E47" i="40"/>
  <c r="F47" i="40" s="1"/>
  <c r="C43" i="40"/>
  <c r="C42" i="40"/>
  <c r="I46" i="40"/>
  <c r="J46" i="40" s="1"/>
  <c r="I47" i="40"/>
  <c r="J47" i="40" s="1"/>
  <c r="W7" i="39"/>
  <c r="AC7" i="39"/>
  <c r="V47" i="39" s="1"/>
  <c r="I47" i="39" s="1"/>
  <c r="G52" i="39" s="1"/>
  <c r="H52" i="39" s="1"/>
  <c r="S7" i="39"/>
  <c r="AA7" i="39"/>
  <c r="R47" i="39" s="1"/>
  <c r="G51" i="39"/>
  <c r="H51" i="39" s="1"/>
  <c r="D7" i="71"/>
  <c r="C6" i="71"/>
  <c r="B3" i="68"/>
  <c r="C20" i="79"/>
  <c r="AO7" i="1"/>
  <c r="C103" i="79" l="1"/>
  <c r="B7" i="70"/>
  <c r="B2" i="70" s="1"/>
  <c r="B3" i="78"/>
  <c r="R48" i="39"/>
  <c r="E47" i="39"/>
  <c r="I52" i="39" s="1"/>
  <c r="J52" i="39" s="1"/>
  <c r="I51" i="39"/>
  <c r="J51" i="39" s="1"/>
  <c r="B55" i="40"/>
  <c r="F55" i="40" s="1"/>
  <c r="B54" i="40"/>
  <c r="F54" i="40" s="1"/>
  <c r="B59" i="40"/>
  <c r="F59" i="40" s="1"/>
  <c r="B56" i="40"/>
  <c r="F56" i="40" s="1"/>
  <c r="B57" i="40"/>
  <c r="F57" i="40" s="1"/>
  <c r="F61" i="40"/>
  <c r="B2" i="40" s="1"/>
  <c r="B3" i="40" s="1"/>
  <c r="B53" i="40"/>
  <c r="F53" i="40" s="1"/>
  <c r="B52" i="40"/>
  <c r="F52" i="40" s="1"/>
  <c r="B60" i="40"/>
  <c r="F60" i="40" s="1"/>
  <c r="B58" i="40"/>
  <c r="F58" i="40" s="1"/>
  <c r="B51" i="40"/>
  <c r="F51" i="40" s="1"/>
  <c r="D6" i="71"/>
  <c r="C5" i="71"/>
  <c r="D19" i="79"/>
  <c r="D102" i="79" l="1"/>
  <c r="D21" i="79"/>
  <c r="D22" i="79"/>
  <c r="G19" i="79"/>
  <c r="G21" i="79" s="1"/>
  <c r="B3" i="70"/>
  <c r="E52" i="39"/>
  <c r="F52" i="39" s="1"/>
  <c r="E51" i="39"/>
  <c r="F51" i="39" s="1"/>
  <c r="C47" i="39"/>
  <c r="C48" i="39"/>
  <c r="D5" i="71"/>
  <c r="M20" i="43"/>
  <c r="D20" i="79"/>
  <c r="D103" i="79" l="1"/>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C35" i="79" s="1"/>
  <c r="C34" i="79" s="1"/>
  <c r="R24" i="31"/>
  <c r="S24" i="31" l="1"/>
  <c r="I18" i="77" s="1"/>
  <c r="R25" i="31"/>
  <c r="S25" i="31" s="1"/>
  <c r="I2" i="77" s="1"/>
  <c r="R44" i="31"/>
  <c r="S44" i="31" s="1"/>
  <c r="I21" i="77" s="1"/>
  <c r="R40" i="31"/>
  <c r="S40" i="31" s="1"/>
  <c r="I17" i="77" s="1"/>
  <c r="R36" i="31"/>
  <c r="S36" i="31" s="1"/>
  <c r="I13" i="77" s="1"/>
  <c r="R32" i="31"/>
  <c r="S32" i="31" s="1"/>
  <c r="I9" i="77" s="1"/>
  <c r="R28" i="31"/>
  <c r="S28" i="31" s="1"/>
  <c r="I5" i="77" s="1"/>
  <c r="R45" i="31"/>
  <c r="S45" i="31" s="1"/>
  <c r="I22" i="77" s="1"/>
  <c r="R39" i="31"/>
  <c r="S39" i="31" s="1"/>
  <c r="I16" i="77" s="1"/>
  <c r="R35" i="31"/>
  <c r="S35" i="31" s="1"/>
  <c r="I12" i="77" s="1"/>
  <c r="R31" i="31"/>
  <c r="S31" i="31" s="1"/>
  <c r="I8" i="77" s="1"/>
  <c r="R27" i="31"/>
  <c r="S27" i="31" s="1"/>
  <c r="I4" i="77" s="1"/>
  <c r="R46" i="31"/>
  <c r="S46" i="31" s="1"/>
  <c r="I23" i="77" s="1"/>
  <c r="R42" i="31"/>
  <c r="S42" i="31" s="1"/>
  <c r="I19" i="77" s="1"/>
  <c r="R38" i="31"/>
  <c r="S38" i="31" s="1"/>
  <c r="I15" i="77" s="1"/>
  <c r="R34" i="31"/>
  <c r="S34" i="31" s="1"/>
  <c r="I11" i="77" s="1"/>
  <c r="R30" i="31"/>
  <c r="S30" i="31" s="1"/>
  <c r="I7" i="77" s="1"/>
  <c r="R26" i="31"/>
  <c r="S26" i="31" s="1"/>
  <c r="I3" i="77" s="1"/>
  <c r="R43" i="31"/>
  <c r="S43" i="31" s="1"/>
  <c r="I20" i="77" s="1"/>
  <c r="R37" i="31"/>
  <c r="S37" i="31" s="1"/>
  <c r="I14" i="77" s="1"/>
  <c r="R33" i="31"/>
  <c r="S33" i="31" s="1"/>
  <c r="I10" i="77" s="1"/>
  <c r="R29" i="31"/>
  <c r="S29" i="31" s="1"/>
  <c r="I6" i="77" s="1"/>
  <c r="S22" i="31" l="1"/>
  <c r="R22" i="31" l="1"/>
  <c r="B20" i="31"/>
  <c r="D19" i="9"/>
  <c r="C19" i="9"/>
  <c r="D21" i="9" l="1"/>
  <c r="D102" i="9"/>
  <c r="C102" i="9"/>
  <c r="C21" i="9"/>
  <c r="D22" i="9"/>
  <c r="G19" i="9"/>
  <c r="G21" i="9" s="1"/>
  <c r="B21" i="31"/>
  <c r="D20" i="9"/>
  <c r="C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J20" i="80"/>
  <c r="I4" i="52"/>
  <c r="H102" i="9"/>
  <c r="D7" i="53" s="1"/>
  <c r="B21" i="72" s="1"/>
  <c r="C105" i="9"/>
  <c r="D5" i="53"/>
  <c r="M48" i="9"/>
  <c r="D45" i="9"/>
  <c r="H107" i="9"/>
  <c r="F14" i="74"/>
  <c r="E14" i="74"/>
  <c r="G4" i="52"/>
  <c r="B52" i="72" s="1"/>
  <c r="E118" i="9"/>
  <c r="E4" i="52" s="1"/>
  <c r="B48" i="72" s="1"/>
  <c r="H20" i="80" l="1"/>
  <c r="F20" i="80" s="1"/>
  <c r="K20" i="80"/>
  <c r="C78" i="9"/>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I20" i="80" l="1"/>
  <c r="G20" i="80" s="1"/>
  <c r="C81" i="9"/>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I48" i="77" l="1"/>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I140" i="77"/>
  <c r="I142" i="77"/>
  <c r="I144" i="77"/>
  <c r="I146" i="77"/>
  <c r="I148" i="77"/>
  <c r="I150" i="77"/>
  <c r="I152" i="77"/>
  <c r="I154" i="77"/>
  <c r="I156" i="77"/>
  <c r="I158" i="77"/>
  <c r="I160" i="77"/>
  <c r="I162" i="77"/>
  <c r="I164" i="77"/>
  <c r="I166" i="77"/>
  <c r="I168" i="77"/>
  <c r="I170" i="77"/>
  <c r="I172" i="77"/>
  <c r="I174" i="77"/>
  <c r="I176" i="77"/>
  <c r="I178" i="77"/>
  <c r="I180" i="77"/>
  <c r="I182" i="77"/>
  <c r="I184" i="77"/>
  <c r="I186" i="77"/>
  <c r="I188" i="77"/>
  <c r="I190" i="77"/>
  <c r="I192" i="77"/>
  <c r="I194" i="77"/>
  <c r="I196" i="77"/>
  <c r="I198"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139" i="77"/>
  <c r="I141" i="77"/>
  <c r="I143" i="77"/>
  <c r="I145" i="77"/>
  <c r="I147" i="77"/>
  <c r="I149" i="77"/>
  <c r="I151" i="77"/>
  <c r="I153" i="77"/>
  <c r="I155" i="77"/>
  <c r="I157" i="77"/>
  <c r="I159" i="77"/>
  <c r="I161" i="77"/>
  <c r="I163" i="77"/>
  <c r="I165" i="77"/>
  <c r="I167" i="77"/>
  <c r="I169" i="77"/>
  <c r="I171" i="77"/>
  <c r="I173" i="77"/>
  <c r="I175" i="77"/>
  <c r="I177" i="77"/>
  <c r="I179" i="77"/>
  <c r="I181" i="77"/>
  <c r="I183" i="77"/>
  <c r="I185" i="77"/>
  <c r="I187" i="77"/>
  <c r="I189" i="77"/>
  <c r="I191" i="77"/>
  <c r="I193" i="77"/>
  <c r="I195" i="77"/>
  <c r="I197" i="77"/>
  <c r="I199" i="77"/>
  <c r="I41" i="77"/>
  <c r="I30" i="77"/>
  <c r="I25" i="77"/>
  <c r="I40" i="77"/>
  <c r="I32" i="77"/>
  <c r="I45" i="77"/>
  <c r="I35" i="77"/>
  <c r="I27" i="77"/>
  <c r="I42" i="77"/>
  <c r="I34" i="77"/>
  <c r="I26" i="77"/>
  <c r="I37" i="77"/>
  <c r="I29" i="77"/>
  <c r="I24" i="77"/>
  <c r="I44" i="77"/>
  <c r="I36" i="77"/>
  <c r="I28" i="77"/>
  <c r="I39" i="77"/>
  <c r="I46" i="77"/>
  <c r="I38" i="77"/>
  <c r="I43" i="77"/>
  <c r="I33" i="77"/>
  <c r="D16" i="74" l="1"/>
  <c r="G16" i="74" l="1"/>
  <c r="J22" i="80"/>
  <c r="H22" i="80" s="1"/>
  <c r="I22" i="80" s="1"/>
  <c r="E16" i="74"/>
  <c r="F16" i="74"/>
  <c r="F22" i="80" l="1"/>
  <c r="K22" i="80"/>
  <c r="G22" i="80" s="1"/>
  <c r="D15" i="74"/>
  <c r="J21" i="80" s="1"/>
  <c r="H21" i="80" l="1"/>
  <c r="J24" i="80"/>
  <c r="F21" i="80"/>
  <c r="F24" i="80" s="1"/>
  <c r="K21" i="80"/>
  <c r="G15" i="74"/>
  <c r="B6" i="74" s="1"/>
  <c r="C6" i="74" s="1"/>
  <c r="I200" i="77"/>
  <c r="I201" i="77" s="1"/>
  <c r="E15" i="74"/>
  <c r="F15" i="74"/>
  <c r="B5" i="74"/>
  <c r="I21" i="80" l="1"/>
  <c r="H24" i="80"/>
  <c r="D6" i="74"/>
  <c r="D5" i="74"/>
  <c r="C5" i="74"/>
  <c r="G21" i="80" l="1"/>
  <c r="C104" i="79" l="1"/>
  <c r="H119" i="79"/>
  <c r="D52" i="79"/>
  <c r="D53" i="79"/>
  <c r="N61" i="79"/>
  <c r="N60" i="79"/>
  <c r="H102" i="79"/>
  <c r="C105" i="79"/>
  <c r="P57" i="79"/>
  <c r="N58" i="79"/>
  <c r="E81" i="79"/>
  <c r="C81" i="79"/>
  <c r="D119" i="79"/>
  <c r="N59" i="79"/>
  <c r="H108" i="79"/>
  <c r="L64" i="79"/>
  <c r="M64" i="79"/>
  <c r="N69" i="79"/>
  <c r="C93" i="79"/>
  <c r="C86" i="79"/>
  <c r="L65" i="79"/>
  <c r="M65" i="79"/>
  <c r="E97" i="79"/>
  <c r="E118" i="79"/>
  <c r="D118" i="79"/>
  <c r="F119" i="79"/>
  <c r="C78" i="79"/>
  <c r="C73" i="79"/>
  <c r="D122" i="79"/>
  <c r="D123" i="79"/>
  <c r="L68" i="79"/>
  <c r="M68" i="79"/>
  <c r="L67" i="79"/>
  <c r="M67" i="79"/>
  <c r="N57" i="79"/>
  <c r="M54" i="79"/>
  <c r="M55" i="79"/>
  <c r="E96" i="79"/>
  <c r="C72" i="79"/>
  <c r="C79" i="79"/>
  <c r="C80" i="79"/>
  <c r="E80" i="79"/>
  <c r="L66" i="79"/>
  <c r="M66" i="79"/>
  <c r="M48" i="79"/>
  <c r="D55" i="79"/>
  <c r="M53" i="79"/>
  <c r="D58" i="79"/>
  <c r="D56" i="79"/>
  <c r="C96" i="79"/>
  <c r="C97" i="79"/>
  <c r="D54" i="79"/>
  <c r="C68" i="79"/>
  <c r="C64" i="79"/>
  <c r="C63" i="79"/>
  <c r="C67" i="79"/>
  <c r="D59" i="79"/>
  <c r="G118" i="79"/>
  <c r="F118" i="79"/>
  <c r="H107" i="79"/>
  <c r="M49" i="79"/>
  <c r="L63" i="79"/>
  <c r="M63" i="79"/>
  <c r="M69" i="79"/>
  <c r="I118" i="79"/>
  <c r="H118" i="79"/>
  <c r="H101" i="79"/>
  <c r="D45" i="79"/>
  <c r="C85" i="79"/>
  <c r="C95"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<sst xmlns="http://schemas.openxmlformats.org/spreadsheetml/2006/main" count="8486" uniqueCount="3356">
  <si>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</si>
  <si>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</si>
  <si>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</si>
  <si>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</si>
  <si>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</si>
  <si>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</si>
  <si>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</si>
  <si>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</si>
  <si>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</si>
  <si>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</si>
  <si>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</si>
  <si>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</si>
  <si>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</si>
  <si>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</si>
  <si>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</si>
  <si>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</si>
  <si>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</si>
  <si>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</si>
  <si>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</si>
  <si>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</si>
  <si>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</si>
  <si>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</si>
  <si>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</si>
  <si>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</si>
  <si>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</si>
  <si>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</si>
  <si>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</si>
  <si>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</si>
  <si>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</si>
  <si>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</si>
  <si>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</si>
  <si>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</si>
  <si>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</si>
  <si>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</si>
  <si>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</si>
  <si>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</si>
  <si>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</si>
  <si>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</si>
  <si>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</si>
  <si>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</si>
  <si>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</si>
  <si>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</si>
  <si>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</si>
  <si>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</si>
  <si>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</si>
  <si>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</si>
  <si>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</si>
  <si>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</si>
  <si>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</si>
  <si>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</si>
  <si>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</si>
  <si>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</si>
  <si>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</si>
  <si>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</si>
  <si>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</si>
  <si>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</si>
  <si>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</si>
  <si>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</si>
  <si>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</si>
  <si>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</si>
  <si>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</si>
  <si>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</si>
  <si>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</si>
  <si>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</si>
  <si>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</si>
  <si>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</si>
  <si>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</si>
  <si>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</si>
  <si>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</si>
  <si>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</si>
  <si>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</si>
  <si>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</si>
  <si>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</si>
  <si>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</si>
  <si>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</si>
  <si>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</si>
  <si>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</si>
  <si>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</si>
  <si>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</si>
  <si>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</si>
  <si>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</si>
  <si>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</si>
  <si>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</si>
  <si>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</si>
  <si>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</si>
  <si>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</si>
  <si>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</si>
  <si>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</si>
  <si>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</si>
  <si>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</si>
  <si>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</si>
  <si>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</si>
  <si>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</si>
  <si>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</si>
  <si>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</si>
  <si>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</si>
  <si>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</si>
  <si>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</si>
  <si>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</si>
  <si>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</si>
  <si>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</si>
  <si>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</si>
  <si>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</si>
  <si>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</si>
  <si>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</si>
  <si>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</si>
  <si>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</si>
  <si>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</si>
  <si>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</si>
  <si>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</si>
  <si>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</si>
  <si>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</si>
  <si>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</si>
  <si>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</si>
  <si>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</si>
  <si>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</si>
  <si>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</si>
  <si>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</si>
  <si>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</si>
  <si>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</si>
  <si>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</si>
  <si>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</si>
  <si>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</si>
  <si>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</si>
  <si>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</si>
  <si>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</si>
  <si>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</si>
  <si>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</si>
  <si>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</si>
  <si>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</si>
  <si>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</si>
  <si>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</si>
  <si>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</si>
  <si>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</si>
  <si>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</si>
  <si>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</si>
  <si>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</si>
  <si>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</si>
  <si>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</si>
  <si>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</si>
  <si>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</si>
  <si>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</si>
  <si>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</si>
  <si>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</si>
  <si>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</si>
  <si>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</si>
  <si>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</si>
  <si>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</si>
  <si>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</si>
  <si>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</si>
  <si>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</si>
  <si>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</si>
  <si>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</si>
  <si>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</si>
  <si>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</si>
  <si>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</si>
  <si>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</si>
  <si>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</si>
  <si>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</si>
  <si>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</si>
  <si>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</si>
  <si>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</si>
  <si>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</si>
  <si>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</si>
  <si>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</si>
  <si>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</si>
  <si>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</si>
  <si>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</si>
  <si>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</si>
  <si>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</si>
  <si>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</si>
  <si>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</si>
  <si>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</si>
  <si>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</si>
  <si>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</si>
  <si>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</si>
  <si>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</si>
  <si>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</si>
  <si>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</si>
  <si>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</si>
  <si>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</si>
  <si>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</si>
  <si>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</si>
  <si>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</si>
  <si>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</si>
  <si>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</si>
  <si>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</si>
  <si>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</si>
  <si>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</si>
  <si>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</si>
  <si>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</si>
  <si>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</si>
  <si>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</si>
  <si>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</si>
  <si>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</si>
  <si>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</si>
  <si>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</si>
  <si>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</si>
  <si>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</si>
  <si>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</si>
  <si>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</si>
  <si>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</si>
  <si>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</si>
  <si>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</si>
  <si>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</si>
  <si>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</si>
  <si>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</si>
  <si>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</si>
  <si>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</si>
  <si>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</si>
  <si>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</si>
  <si>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</si>
  <si>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</si>
  <si>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</si>
  <si>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</si>
  <si>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</si>
  <si>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</si>
  <si>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</si>
  <si>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</si>
  <si>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</si>
  <si>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</si>
  <si>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</si>
  <si>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</si>
  <si>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</si>
  <si>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</si>
  <si>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</si>
  <si>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</si>
  <si>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</si>
  <si>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</si>
  <si>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</si>
  <si>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</si>
  <si>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</si>
  <si>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</si>
  <si>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</si>
  <si>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</si>
  <si>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</si>
  <si>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</si>
  <si>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</si>
  <si>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</si>
  <si>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</si>
  <si>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</si>
  <si>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</si>
  <si>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</si>
  <si>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</si>
  <si>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</si>
  <si>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</si>
  <si>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</si>
  <si>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</si>
  <si>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</si>
  <si>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</si>
  <si>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</si>
  <si>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</si>
  <si>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</si>
  <si>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</si>
  <si>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</si>
  <si>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</si>
  <si>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</si>
  <si>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</si>
  <si>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</si>
  <si>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</si>
  <si>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</si>
  <si>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</si>
  <si>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</si>
  <si>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</si>
  <si>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</si>
  <si>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</si>
  <si>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</si>
  <si>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</si>
  <si>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</si>
  <si>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</si>
  <si>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</si>
  <si>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</si>
  <si>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</si>
  <si>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</si>
  <si>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</si>
  <si>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</si>
  <si>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</si>
  <si>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</si>
  <si>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</si>
  <si>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</si>
  <si>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</si>
  <si>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</si>
  <si>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</si>
  <si>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</si>
  <si>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</si>
  <si>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</si>
  <si>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</si>
  <si>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</si>
  <si>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</si>
  <si>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</si>
  <si>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</si>
  <si>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</si>
  <si>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</si>
  <si>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</si>
  <si>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</si>
  <si>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</si>
  <si>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</si>
  <si>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</si>
  <si>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</si>
  <si>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</si>
  <si>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</si>
  <si>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</si>
  <si>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</si>
  <si>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</si>
  <si>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</si>
  <si>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</si>
  <si>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</si>
  <si>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</si>
  <si>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</si>
  <si>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</si>
  <si>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</si>
  <si>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</si>
  <si>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</si>
  <si>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</si>
  <si>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</si>
  <si>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</si>
  <si>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</si>
  <si>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</si>
  <si>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</si>
  <si>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</si>
  <si>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</si>
  <si>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</si>
  <si>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</si>
  <si>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</si>
  <si>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</si>
  <si>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</si>
  <si>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</si>
  <si>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</si>
  <si>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</si>
  <si>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</si>
  <si>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</si>
  <si>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</si>
  <si>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</si>
  <si>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</si>
  <si>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</si>
  <si>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</si>
  <si>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</si>
  <si>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</si>
  <si>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</si>
  <si>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</si>
  <si>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</si>
  <si>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</si>
  <si>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</si>
  <si>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</si>
  <si>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</si>
  <si>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</si>
  <si>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</si>
  <si>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</si>
  <si>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</si>
  <si>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</si>
  <si>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</si>
  <si>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</si>
  <si>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</si>
  <si>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</si>
  <si>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</si>
  <si>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</si>
  <si>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</si>
  <si>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</si>
  <si>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</si>
  <si>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</si>
  <si>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</si>
  <si>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</si>
  <si>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</si>
  <si>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</si>
  <si>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</si>
  <si>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</si>
  <si>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</si>
  <si>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</si>
  <si>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</si>
  <si>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</si>
  <si>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</si>
  <si>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</si>
  <si>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</si>
  <si>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</si>
  <si>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</si>
  <si>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</si>
  <si>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</si>
  <si>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</si>
  <si>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</si>
  <si>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</si>
  <si>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</si>
  <si>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</si>
  <si>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</si>
  <si>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</si>
  <si>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</si>
  <si>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</si>
  <si>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</si>
  <si>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</si>
  <si>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</si>
  <si>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</si>
  <si>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</si>
  <si>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</si>
  <si>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</si>
  <si>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</si>
  <si>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</si>
  <si>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</si>
  <si>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</si>
  <si>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</si>
  <si>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</si>
  <si>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</si>
  <si>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</si>
  <si>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</si>
  <si>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</si>
  <si>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</si>
  <si>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</si>
  <si>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</si>
  <si>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</si>
  <si>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</si>
  <si>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</si>
  <si>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</si>
  <si>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</si>
  <si>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</si>
  <si>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</si>
  <si>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</si>
  <si>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</si>
  <si>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</si>
  <si>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</si>
  <si>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</si>
  <si>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</si>
  <si>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</si>
  <si>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</si>
  <si>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</si>
  <si>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</si>
  <si>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</si>
  <si>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</si>
  <si>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</si>
  <si>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</si>
  <si>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</si>
  <si>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</si>
  <si>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</si>
  <si>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</si>
  <si>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</si>
  <si>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</si>
  <si>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</si>
  <si>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</si>
  <si>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</si>
  <si>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</si>
  <si>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</si>
  <si>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</si>
  <si>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</si>
  <si>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</si>
  <si>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</si>
  <si>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</si>
  <si>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</si>
  <si>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</si>
  <si>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</si>
  <si>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</si>
  <si>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</si>
  <si>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</si>
  <si>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</si>
  <si>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</si>
  <si>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</si>
  <si>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</si>
  <si>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</si>
  <si>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</si>
  <si>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</si>
  <si>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</si>
  <si>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</si>
  <si>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</si>
  <si>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</si>
  <si>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</si>
  <si>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</si>
  <si>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</si>
  <si>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</si>
  <si>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</si>
  <si>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</si>
  <si>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</si>
  <si>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</si>
  <si>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</si>
  <si>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</si>
  <si>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</si>
  <si>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</si>
  <si>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</si>
  <si>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</si>
  <si>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</si>
  <si>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</si>
  <si>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</si>
  <si>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</si>
  <si>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</si>
  <si>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</si>
  <si>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</si>
  <si>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</si>
  <si>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</si>
  <si>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</si>
  <si>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</si>
  <si>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</si>
  <si>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</si>
  <si>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</si>
  <si>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</si>
  <si>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</si>
  <si>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</si>
  <si>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</si>
  <si>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</si>
  <si>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</si>
  <si>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</si>
  <si>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</si>
  <si>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</si>
  <si>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</si>
  <si>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</si>
  <si>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</si>
  <si>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</si>
  <si>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</si>
  <si>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</si>
  <si>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</si>
  <si>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</si>
  <si>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</si>
  <si>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</si>
  <si>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</si>
  <si>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</si>
  <si>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</si>
  <si>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</si>
  <si>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</si>
  <si>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</si>
  <si>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</si>
  <si>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</si>
  <si>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</si>
  <si>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</si>
  <si>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</si>
  <si>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</si>
  <si>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</si>
  <si>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</si>
  <si>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</si>
  <si>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</si>
  <si>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</si>
  <si>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</si>
  <si>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</si>
  <si>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</si>
  <si>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</si>
  <si>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</si>
  <si>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</si>
  <si>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</si>
  <si>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</si>
  <si>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</si>
  <si>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</si>
  <si>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</si>
  <si>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</si>
  <si>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</si>
  <si>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</si>
  <si>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</si>
  <si>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</si>
  <si>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</si>
  <si>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</si>
  <si>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</si>
  <si>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</si>
  <si>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</si>
  <si>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</si>
  <si>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</si>
  <si>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</si>
  <si>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</si>
  <si>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</si>
  <si>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</si>
  <si>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</si>
  <si>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</si>
  <si>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</si>
  <si>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</si>
  <si>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</si>
  <si>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</si>
  <si>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</si>
  <si>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</si>
  <si>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</si>
  <si>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</si>
  <si>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</si>
  <si>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</si>
  <si>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</si>
  <si>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</si>
  <si>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</si>
  <si>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</si>
  <si>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</si>
  <si>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</si>
  <si>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</si>
  <si>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</si>
  <si>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</si>
  <si>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</si>
  <si>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</si>
  <si>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</si>
  <si>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</si>
  <si>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</si>
  <si>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</si>
  <si>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</si>
  <si>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</si>
  <si>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</si>
  <si>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</si>
  <si>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</si>
  <si>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</si>
  <si>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</si>
  <si>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</si>
  <si>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</si>
  <si>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</si>
  <si>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</si>
  <si>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</si>
  <si>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</si>
  <si>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</si>
  <si>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</si>
  <si>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</si>
  <si>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</si>
  <si>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</si>
  <si>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</si>
  <si>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</si>
  <si>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</si>
  <si>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</si>
  <si>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</si>
  <si>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</si>
  <si>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</si>
  <si>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</si>
  <si>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</si>
  <si>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</si>
  <si>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</si>
  <si>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</si>
  <si>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</si>
  <si>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</si>
  <si>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</si>
  <si>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</si>
  <si>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</si>
  <si>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</si>
  <si>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</si>
  <si>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</si>
  <si>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</si>
  <si>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</si>
  <si>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</si>
  <si>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</si>
  <si>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</si>
  <si>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</si>
  <si>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</si>
  <si>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</si>
  <si>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</si>
  <si>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</si>
  <si>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</si>
  <si>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</si>
  <si>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</si>
  <si>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</si>
  <si>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</si>
  <si>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</si>
  <si>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</si>
  <si>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</si>
  <si>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</si>
  <si>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</si>
  <si>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</si>
  <si>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</si>
  <si>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</si>
  <si>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</si>
  <si>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</si>
  <si>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</si>
  <si>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</si>
  <si>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</si>
  <si>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</si>
  <si>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</si>
  <si>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</si>
  <si>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</si>
  <si>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</si>
  <si>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</si>
  <si>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</si>
  <si>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</si>
  <si>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</si>
  <si>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</si>
  <si>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</si>
  <si>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</si>
  <si>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</si>
  <si>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</si>
  <si>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</si>
  <si>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</si>
  <si>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</si>
  <si>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</si>
  <si>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</si>
  <si>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</si>
  <si>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</si>
  <si>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</si>
  <si>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</si>
  <si>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</si>
  <si>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</si>
  <si>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</si>
  <si>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</si>
  <si>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</si>
  <si>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</si>
  <si>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</si>
  <si>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</si>
  <si>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</si>
  <si>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</si>
  <si>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</si>
  <si>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</si>
  <si>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</si>
  <si>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</si>
  <si>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</si>
  <si>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</si>
  <si>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</si>
  <si>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</si>
  <si>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</si>
  <si>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</si>
  <si>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</si>
  <si>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</si>
  <si>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</si>
  <si>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</si>
  <si>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</si>
  <si>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</si>
  <si>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</si>
  <si>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</si>
  <si>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</si>
  <si>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</si>
  <si>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</si>
  <si>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</si>
  <si>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</si>
  <si>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</si>
  <si>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</si>
  <si>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</si>
  <si>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</si>
  <si>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</si>
  <si>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</si>
  <si>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</si>
  <si>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</si>
  <si>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</si>
  <si>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</si>
  <si>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</si>
  <si>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</si>
  <si>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</si>
  <si>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</si>
  <si>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</si>
  <si>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</si>
  <si>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</si>
  <si>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</si>
  <si>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</si>
  <si>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</si>
  <si>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</si>
  <si>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</si>
  <si>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</si>
  <si>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</si>
  <si>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</si>
  <si>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</si>
  <si>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</si>
  <si>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</si>
  <si>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</si>
  <si>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</si>
  <si>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</si>
  <si>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</si>
  <si>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</si>
  <si>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</si>
  <si>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</si>
  <si>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</si>
  <si>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</si>
  <si>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</si>
  <si>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</si>
  <si>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</si>
  <si>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</si>
  <si>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</si>
  <si>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</si>
  <si>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</si>
  <si>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</si>
  <si>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</si>
  <si>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</si>
  <si>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</si>
  <si>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</si>
  <si>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</si>
  <si>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</si>
  <si>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</si>
  <si>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</si>
  <si>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</si>
  <si>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</si>
  <si>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</si>
  <si>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</si>
  <si>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</si>
  <si>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</si>
  <si>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</si>
  <si>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</si>
  <si>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</si>
  <si>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</si>
  <si>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</si>
  <si>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</si>
  <si>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</si>
  <si>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</si>
  <si>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</si>
  <si>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</si>
  <si>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</si>
  <si>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</si>
  <si>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</si>
  <si>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</si>
  <si>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</si>
  <si>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</si>
  <si>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</si>
  <si>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</si>
  <si>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</si>
  <si>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</si>
  <si>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</si>
  <si>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</si>
  <si>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</si>
  <si>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</si>
  <si>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</si>
  <si>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</si>
  <si>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</si>
  <si>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</si>
  <si>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</si>
  <si>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</si>
  <si>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</si>
  <si>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</si>
  <si>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</si>
  <si>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</si>
  <si>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</si>
  <si>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</si>
  <si>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</si>
  <si>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</si>
  <si>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</si>
  <si>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</si>
  <si>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</si>
  <si>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</si>
  <si>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</si>
  <si>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</si>
  <si>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</si>
  <si>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</si>
  <si>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</si>
  <si>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</si>
  <si>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</si>
  <si>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</si>
  <si>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</si>
  <si>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</si>
  <si>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</si>
  <si>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</si>
  <si>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</si>
  <si>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</si>
  <si>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</si>
  <si>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</si>
  <si>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</si>
  <si>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</si>
  <si>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</si>
  <si>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</si>
  <si>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</si>
  <si>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</si>
  <si>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</si>
  <si>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</si>
  <si>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</si>
  <si>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</si>
  <si>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</si>
  <si>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</si>
  <si>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</si>
  <si>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</si>
  <si>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</si>
  <si>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</si>
  <si>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</si>
  <si>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</si>
  <si>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</si>
  <si>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</si>
  <si>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</si>
  <si>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</si>
  <si>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</si>
  <si>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</si>
  <si>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</si>
  <si>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</si>
  <si>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</si>
  <si>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</si>
  <si>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</si>
  <si>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</si>
  <si>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</si>
  <si>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</si>
  <si>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</si>
  <si>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</si>
  <si>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</si>
  <si>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</si>
  <si>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</si>
  <si>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</si>
  <si>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</si>
  <si>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</si>
  <si>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</si>
  <si>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</si>
  <si>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</si>
  <si>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</si>
  <si>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</si>
  <si>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</si>
  <si>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</si>
  <si>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</si>
  <si>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</si>
  <si>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</si>
  <si>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</si>
  <si>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</si>
  <si>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</si>
  <si>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</si>
  <si>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</si>
  <si>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</si>
  <si>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</si>
  <si>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</si>
  <si>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</si>
  <si>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</si>
  <si>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</si>
  <si>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</si>
  <si>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</si>
  <si>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</si>
  <si>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</si>
  <si>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</si>
  <si>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</si>
  <si>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</si>
  <si>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</si>
  <si>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</si>
  <si>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</si>
  <si>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</si>
  <si>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</si>
  <si>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</si>
  <si>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</si>
  <si>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</si>
  <si>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</si>
  <si>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</si>
  <si>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</si>
  <si>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</si>
  <si>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</si>
  <si>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</si>
  <si>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</si>
  <si>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</si>
  <si>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</si>
  <si>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</si>
  <si>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</si>
  <si>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</si>
  <si>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</si>
  <si>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</si>
  <si>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</si>
  <si>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</si>
  <si>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</si>
  <si>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</si>
  <si>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</si>
  <si>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</si>
  <si>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</si>
  <si>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</si>
  <si>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</si>
  <si>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</si>
  <si>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</si>
  <si>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</si>
  <si>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</si>
  <si>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</si>
  <si>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</si>
  <si>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</si>
  <si>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</si>
  <si>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</si>
  <si>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</si>
  <si>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</si>
  <si>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</si>
  <si>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</si>
  <si>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</si>
  <si>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</si>
  <si>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</si>
  <si>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</si>
  <si>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</si>
  <si>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</si>
  <si>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</si>
  <si>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</si>
  <si>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</si>
  <si>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</si>
  <si>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</si>
  <si>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</si>
  <si>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</si>
  <si>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</si>
  <si>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</si>
  <si>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</si>
  <si>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</si>
  <si>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</si>
  <si>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</si>
  <si>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</si>
  <si>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</si>
  <si>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</si>
  <si>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</si>
  <si>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</si>
  <si>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</si>
  <si>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</si>
  <si>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</si>
  <si>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</si>
  <si>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</si>
  <si>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</si>
  <si>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</si>
  <si>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</si>
  <si>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</si>
  <si>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</si>
  <si>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</si>
  <si>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</si>
  <si>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</si>
  <si>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</si>
  <si>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</si>
  <si>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</si>
  <si>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</si>
  <si>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</si>
  <si>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</si>
  <si>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</si>
  <si>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</si>
  <si>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</si>
  <si>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</si>
  <si>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</si>
  <si>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</si>
  <si>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</si>
  <si>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</si>
  <si>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</si>
  <si>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</si>
  <si>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</si>
  <si>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</si>
  <si>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</si>
  <si>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</si>
  <si>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</si>
  <si>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</si>
  <si>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</si>
  <si>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</si>
  <si>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</si>
  <si>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</si>
  <si>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</si>
  <si>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</si>
  <si>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</si>
  <si>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</si>
  <si>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</si>
  <si>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</si>
  <si>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</si>
  <si>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</si>
  <si>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</si>
  <si>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</si>
  <si>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</si>
  <si>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</si>
  <si>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</si>
  <si>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</si>
  <si>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</si>
  <si>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</si>
  <si>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</si>
  <si>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</si>
  <si>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</si>
  <si>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</si>
  <si>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</si>
  <si>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</si>
  <si>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</si>
  <si>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</si>
  <si>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</si>
  <si>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</si>
  <si>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</si>
  <si>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</si>
  <si>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</si>
  <si>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</si>
  <si>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</si>
  <si>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</si>
  <si>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</si>
  <si>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</si>
  <si>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</si>
  <si>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</si>
  <si>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</si>
  <si>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</si>
  <si>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</si>
  <si>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</si>
  <si>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</si>
  <si>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</si>
  <si>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</si>
  <si>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</si>
  <si>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</si>
  <si>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</si>
  <si>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</si>
  <si>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</si>
  <si>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</si>
  <si>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</si>
  <si>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</si>
  <si>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</si>
  <si>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</si>
  <si>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</si>
  <si>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</si>
  <si>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</si>
  <si>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</si>
  <si>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</si>
  <si>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</si>
  <si>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</si>
  <si>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</si>
  <si>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</si>
  <si>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</si>
  <si>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</si>
  <si>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</si>
  <si>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</si>
  <si>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</si>
  <si>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</si>
  <si>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</si>
  <si>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</si>
  <si>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</si>
  <si>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</si>
  <si>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</si>
  <si>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</si>
  <si>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</si>
  <si>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</si>
  <si>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</si>
  <si>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</si>
  <si>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</si>
  <si>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</si>
  <si>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</si>
  <si>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</si>
  <si>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</si>
  <si>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</si>
  <si>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</si>
  <si>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</si>
  <si>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</si>
  <si>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</si>
  <si>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</si>
  <si>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</si>
  <si>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</si>
  <si>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</si>
  <si>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</si>
  <si>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</si>
  <si>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</si>
  <si>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</si>
  <si>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</si>
  <si>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</si>
  <si>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</si>
  <si>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</si>
  <si>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</si>
  <si>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</si>
  <si>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</si>
  <si>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</si>
  <si>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</si>
  <si>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</si>
  <si>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</si>
  <si>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</si>
  <si>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</si>
  <si>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</si>
  <si>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</si>
  <si>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</si>
  <si>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</si>
  <si>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</si>
  <si>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</si>
  <si>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</si>
  <si>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</si>
  <si>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</si>
  <si>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</si>
  <si>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</si>
  <si>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</si>
  <si>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</si>
  <si>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</si>
  <si>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</si>
  <si>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</si>
  <si>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</si>
  <si>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</si>
  <si>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</si>
  <si>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</si>
  <si>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</si>
  <si>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</si>
  <si>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</si>
  <si>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</si>
  <si>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</si>
  <si>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</si>
  <si>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</si>
  <si>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</si>
  <si>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</si>
  <si>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</si>
  <si>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</si>
  <si>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</si>
  <si>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</si>
  <si>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</si>
  <si>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</si>
  <si>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</si>
  <si>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</si>
  <si>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</si>
  <si>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</si>
  <si>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</si>
  <si>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</si>
  <si>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</si>
  <si>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</si>
  <si>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</si>
  <si>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</si>
  <si>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</si>
  <si>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</si>
  <si>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</si>
  <si>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</si>
  <si>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</si>
  <si>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</si>
  <si>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</si>
  <si>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</si>
  <si>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</si>
  <si>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</si>
  <si>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</si>
  <si>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</si>
  <si>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</si>
  <si>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</si>
  <si>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</si>
  <si>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</si>
  <si>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</si>
  <si>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</si>
  <si>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</si>
  <si>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</si>
  <si>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</si>
  <si>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</si>
  <si>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</si>
  <si>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</si>
  <si>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</si>
  <si>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</si>
  <si>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</si>
  <si>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</si>
  <si>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</si>
  <si>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</si>
  <si>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</si>
  <si>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</si>
  <si>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</si>
  <si>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</si>
  <si>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</si>
  <si>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</si>
  <si>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</si>
  <si>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</si>
  <si>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</si>
  <si>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</si>
  <si>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</si>
  <si>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</si>
  <si>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</si>
  <si>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</si>
  <si>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</si>
  <si>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</si>
  <si>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</si>
  <si>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</si>
  <si>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</si>
  <si>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</si>
  <si>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</si>
  <si>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</si>
  <si>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</si>
  <si>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</si>
  <si>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</si>
  <si>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</si>
  <si>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</si>
  <si>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</si>
  <si>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</si>
  <si>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</si>
  <si>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</si>
  <si>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</si>
  <si>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</si>
  <si>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</si>
  <si>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</si>
  <si>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</si>
  <si>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</si>
  <si>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</si>
  <si>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</si>
  <si>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</si>
  <si>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</si>
  <si>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</si>
  <si>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</si>
  <si>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</si>
  <si>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</si>
  <si>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</si>
  <si>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</si>
  <si>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</si>
  <si>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</si>
  <si>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</si>
  <si>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</si>
  <si>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</si>
  <si>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</si>
  <si>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</si>
  <si>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</si>
  <si>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</si>
  <si>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</si>
  <si>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</si>
  <si>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</si>
  <si>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</si>
  <si>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</si>
  <si>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</si>
  <si>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</si>
  <si>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</si>
  <si>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</si>
  <si>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</si>
  <si>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</si>
  <si>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</si>
  <si>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</si>
  <si>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</si>
  <si>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</si>
  <si>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</si>
  <si>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</si>
  <si>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</si>
  <si>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</si>
  <si>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</si>
  <si>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</si>
  <si>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</si>
  <si>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</si>
  <si>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</si>
  <si>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</si>
  <si>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</si>
  <si>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</si>
  <si>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</si>
  <si>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</si>
  <si>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</si>
  <si>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</si>
  <si>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</si>
  <si>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</si>
  <si>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</si>
  <si>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</si>
  <si>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</si>
  <si>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</si>
  <si>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</si>
  <si>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</si>
  <si>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</si>
  <si>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</si>
  <si>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</si>
  <si>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</si>
  <si>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</si>
  <si>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</si>
  <si>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</si>
  <si>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</si>
  <si>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</si>
  <si>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</si>
  <si>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</si>
  <si>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</si>
  <si>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</si>
  <si>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</si>
  <si>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</si>
  <si>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</si>
  <si>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</si>
  <si>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</si>
  <si>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</si>
  <si>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</si>
  <si>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</si>
  <si>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</si>
  <si>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</si>
  <si>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</si>
  <si>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</si>
  <si>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</si>
  <si>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</si>
  <si>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</si>
  <si>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</si>
  <si>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</si>
  <si>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</si>
  <si>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</si>
  <si>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</si>
  <si>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</si>
  <si>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</si>
  <si>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</si>
  <si>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</si>
  <si>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</si>
  <si>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</si>
  <si>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</si>
  <si>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</si>
  <si>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</si>
  <si>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</si>
  <si>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</si>
  <si>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</si>
  <si>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</si>
  <si>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</si>
  <si>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</si>
  <si>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</si>
  <si>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</si>
  <si>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</si>
  <si>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</si>
  <si>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</si>
  <si>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</si>
  <si>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</si>
  <si>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</si>
  <si>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</si>
  <si>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</si>
  <si>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</si>
  <si>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</si>
  <si>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</si>
  <si>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</si>
  <si>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</si>
  <si>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</si>
  <si>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</si>
  <si>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</si>
  <si>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</si>
  <si>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</si>
  <si>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</si>
  <si>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</si>
  <si>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</si>
  <si>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</si>
  <si>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</si>
  <si>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</si>
  <si>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</si>
  <si>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</si>
  <si>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</si>
  <si>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</si>
  <si>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</si>
  <si>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</si>
  <si>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</si>
  <si>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</si>
  <si>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</si>
  <si>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</si>
  <si>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</si>
  <si>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</si>
  <si>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</si>
  <si>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</si>
  <si>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</si>
  <si>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</si>
  <si>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</si>
  <si>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</si>
  <si>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</si>
  <si>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</si>
  <si>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</si>
  <si>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</si>
  <si>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</si>
  <si>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</si>
  <si>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</si>
  <si>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</si>
  <si>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</si>
  <si>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</si>
  <si>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</si>
  <si>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</si>
  <si>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</si>
  <si>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</si>
  <si>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</si>
  <si>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</si>
  <si>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</si>
  <si>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</si>
  <si>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</si>
  <si>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</si>
  <si>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</si>
  <si>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</si>
  <si>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</si>
  <si>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</si>
  <si>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</si>
  <si>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</si>
  <si>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</si>
  <si>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</si>
  <si>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</si>
  <si>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</si>
  <si>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</si>
  <si>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</si>
  <si>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</si>
  <si>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</si>
  <si>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</si>
  <si>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</si>
  <si>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</si>
  <si>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</si>
  <si>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</si>
  <si>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</si>
  <si>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</si>
  <si>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</si>
  <si>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</si>
  <si>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</si>
  <si>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</si>
  <si>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</si>
  <si>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</si>
  <si>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</si>
  <si>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</si>
  <si>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</si>
  <si>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</si>
  <si>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</si>
  <si>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</si>
  <si>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</si>
  <si>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</si>
  <si>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</si>
  <si>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</si>
  <si>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</si>
  <si>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</si>
  <si>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</si>
  <si>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</si>
  <si>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</si>
  <si>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</si>
  <si>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</si>
  <si>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</si>
  <si>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</si>
  <si>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</si>
  <si>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</si>
  <si>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</si>
  <si>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</si>
  <si>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</si>
  <si>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</si>
  <si>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</si>
  <si>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</si>
  <si>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</si>
  <si>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</si>
  <si>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</si>
  <si>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</si>
  <si>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</si>
  <si>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</si>
  <si>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</si>
  <si>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</si>
  <si>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</si>
  <si>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</si>
  <si>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</si>
  <si>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</si>
  <si>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</si>
  <si>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</si>
  <si>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</si>
  <si>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</si>
  <si>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</si>
  <si>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</si>
  <si>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</si>
  <si>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</si>
  <si>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</si>
  <si>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</si>
  <si>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</si>
  <si>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</si>
  <si>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</si>
  <si>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</si>
  <si>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</si>
  <si>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</si>
  <si>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</si>
  <si>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</si>
  <si>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</si>
  <si>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</si>
  <si>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</si>
  <si>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</si>
  <si>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</si>
  <si>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</si>
  <si>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</si>
  <si>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</si>
  <si>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</si>
  <si>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</si>
  <si>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</si>
  <si>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</si>
  <si>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</si>
  <si>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</si>
  <si>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</si>
  <si>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</si>
  <si>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</si>
  <si>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</si>
  <si>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</si>
  <si>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</si>
  <si>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</si>
  <si>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</si>
  <si>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</si>
  <si>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</si>
  <si>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</si>
  <si>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</si>
  <si>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</si>
  <si>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</si>
  <si>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</si>
  <si>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</si>
  <si>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</si>
  <si>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</si>
  <si>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</si>
  <si>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</si>
  <si>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</si>
  <si>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</si>
  <si>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</si>
  <si>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</si>
  <si>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</si>
  <si>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</si>
  <si>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</si>
  <si>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</si>
  <si>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</si>
  <si>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</si>
  <si>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</si>
  <si>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</si>
  <si>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</si>
  <si>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</si>
  <si>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</si>
  <si>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</si>
  <si>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</si>
  <si>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</si>
  <si>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</si>
  <si>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</si>
  <si>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</si>
  <si>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</si>
  <si>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</si>
  <si>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</si>
  <si>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</si>
  <si>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</si>
  <si>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</si>
  <si>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</si>
  <si>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</si>
  <si>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</si>
  <si>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</si>
  <si>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</si>
  <si>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</si>
  <si>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</si>
  <si>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</si>
  <si>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</si>
  <si>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</si>
  <si>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</si>
  <si>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</si>
  <si>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</si>
  <si>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</si>
  <si>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</si>
  <si>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</si>
  <si>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</si>
  <si>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</si>
  <si>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</si>
  <si>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</si>
  <si>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</si>
  <si>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</si>
  <si>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</si>
  <si>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</si>
  <si>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</si>
  <si>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</si>
  <si>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</si>
  <si>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</si>
  <si>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</si>
  <si>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</si>
  <si>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</si>
  <si>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</si>
  <si>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</si>
  <si>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</si>
  <si>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</si>
  <si>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</si>
  <si>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</si>
  <si>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</si>
  <si>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</si>
  <si>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</si>
  <si>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</si>
  <si>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</si>
  <si>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</si>
  <si>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</si>
  <si>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</si>
  <si>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</si>
  <si>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</si>
  <si>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</si>
  <si>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</si>
  <si>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</si>
  <si>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</si>
  <si>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</si>
  <si>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</si>
  <si>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</si>
  <si>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</si>
  <si>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</si>
  <si>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</si>
  <si>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</si>
  <si>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</si>
  <si>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</si>
  <si>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</si>
  <si>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</si>
  <si>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</si>
  <si>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</si>
  <si>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</si>
  <si>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</si>
  <si>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</si>
  <si>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</si>
  <si>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</si>
  <si>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</si>
  <si>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</si>
  <si>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</si>
  <si>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</si>
  <si>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</si>
  <si>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</si>
  <si>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</si>
  <si>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</si>
  <si>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</si>
  <si>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</si>
  <si>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</si>
  <si>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</si>
  <si>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</si>
  <si>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</si>
  <si>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</si>
  <si>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</si>
  <si>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</si>
  <si>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</si>
  <si>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</si>
  <si>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</si>
  <si>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</si>
  <si>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</si>
  <si>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</si>
  <si>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</si>
  <si>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</si>
  <si>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</si>
  <si>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</si>
  <si>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</si>
  <si>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</si>
  <si>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</si>
  <si>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</si>
  <si>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</si>
  <si>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</si>
  <si>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</si>
  <si>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</si>
  <si>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</si>
  <si>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</si>
  <si>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</si>
  <si>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</si>
  <si>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</si>
  <si>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</si>
  <si>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</si>
  <si>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</si>
  <si>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</si>
  <si>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</si>
  <si>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</si>
  <si>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</si>
  <si>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</si>
  <si>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</si>
  <si>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</si>
  <si>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</si>
  <si>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</si>
  <si>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</si>
  <si>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</si>
  <si>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</si>
  <si>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</si>
  <si>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</si>
  <si>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</si>
  <si>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</si>
  <si>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</si>
  <si>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</si>
  <si>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</si>
  <si>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</si>
  <si>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</si>
  <si>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</si>
  <si>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</si>
  <si>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</si>
  <si>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</si>
  <si>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</si>
  <si>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</si>
  <si>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</si>
  <si>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</si>
  <si>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</si>
  <si>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</si>
  <si>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</si>
  <si>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</si>
  <si>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</si>
  <si>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</si>
  <si>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</si>
  <si>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</si>
  <si>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</si>
  <si>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</si>
  <si>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</si>
  <si>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</si>
  <si>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</si>
  <si>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</si>
  <si>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</si>
  <si>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</si>
  <si>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</si>
  <si>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</si>
  <si>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</si>
  <si>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</si>
  <si>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</si>
  <si>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</si>
  <si>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</si>
  <si>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</si>
  <si>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</si>
  <si>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</si>
  <si>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</si>
  <si>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</si>
  <si>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</si>
  <si>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</si>
  <si>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</si>
  <si>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</si>
  <si>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</si>
  <si>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</si>
  <si>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</si>
  <si>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</si>
  <si>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</si>
  <si>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</si>
  <si>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</si>
  <si>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</si>
  <si>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</si>
  <si>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</si>
  <si>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</si>
  <si>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</si>
  <si>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</si>
  <si>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</si>
  <si>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</si>
  <si>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</si>
  <si>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</si>
  <si>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</si>
  <si>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</si>
  <si>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</si>
  <si>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</si>
  <si>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</si>
  <si>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</si>
  <si>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</si>
  <si>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</si>
  <si>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</si>
  <si>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</si>
  <si>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</si>
  <si>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</si>
  <si>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</si>
  <si>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</si>
  <si>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</si>
  <si>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</si>
  <si>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</si>
  <si>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</si>
  <si>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</si>
  <si>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</si>
  <si>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</si>
  <si>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</si>
  <si>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</si>
  <si>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</si>
  <si>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</si>
  <si>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</si>
  <si>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</si>
  <si>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</si>
  <si>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</si>
  <si>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</si>
  <si>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</si>
  <si>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</si>
  <si>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</si>
  <si>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</si>
  <si>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</si>
  <si>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</si>
  <si>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</si>
  <si>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</si>
  <si>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</si>
  <si>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</si>
  <si>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</si>
  <si>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</si>
  <si>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</si>
  <si>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</si>
  <si>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</si>
  <si>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</si>
  <si>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</si>
  <si>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</si>
  <si>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</si>
  <si>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</si>
  <si>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</si>
  <si>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</si>
  <si>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</si>
  <si>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</si>
  <si>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</si>
  <si>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</si>
  <si>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</si>
  <si>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</si>
  <si>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</si>
  <si>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</si>
  <si>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</si>
  <si>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</si>
  <si>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</si>
  <si>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</si>
  <si>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</si>
  <si>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</si>
  <si>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</si>
  <si>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</si>
  <si>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</si>
  <si>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</si>
  <si>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</si>
  <si>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</si>
  <si>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</si>
  <si>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</si>
  <si>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</si>
  <si>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</si>
  <si>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</si>
  <si>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</si>
  <si>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</si>
  <si>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</si>
  <si>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</si>
  <si>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</si>
  <si>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</si>
  <si>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</si>
  <si>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</si>
  <si>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</si>
  <si>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</si>
  <si>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</si>
  <si>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</si>
  <si>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</si>
  <si>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</si>
  <si>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</si>
  <si>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</si>
  <si>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</si>
  <si>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</si>
  <si>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</si>
  <si>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</si>
  <si>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</si>
  <si>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</si>
  <si>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</si>
  <si>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</si>
  <si>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</si>
  <si>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</si>
  <si>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</si>
  <si>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</si>
  <si>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</si>
  <si>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</si>
  <si>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</si>
  <si>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</si>
  <si>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</si>
  <si>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</si>
  <si>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</si>
  <si>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</si>
  <si>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</si>
  <si>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</si>
  <si>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</si>
  <si>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</si>
  <si>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</si>
  <si>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</si>
  <si>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</si>
  <si>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</si>
  <si>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</si>
  <si>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</si>
  <si>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</si>
  <si>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</si>
  <si>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</si>
  <si>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</si>
  <si>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</si>
  <si>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</si>
  <si>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</si>
  <si>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</si>
  <si>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</si>
  <si>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</si>
  <si>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</si>
  <si>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</si>
  <si>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</si>
  <si>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</si>
  <si>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</si>
  <si>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</si>
  <si>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</si>
  <si>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</si>
  <si>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</si>
  <si>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</si>
  <si>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</si>
  <si>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</si>
  <si>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</si>
  <si>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</si>
  <si>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</si>
  <si>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</si>
  <si>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</si>
  <si>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</si>
  <si>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</si>
  <si>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</si>
  <si>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</si>
  <si>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</si>
  <si>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</si>
  <si>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</si>
  <si>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</si>
  <si>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</si>
  <si>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</si>
  <si>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</si>
  <si>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</si>
  <si>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</si>
  <si>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</si>
  <si>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</si>
  <si>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</si>
  <si>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</si>
  <si>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</si>
  <si>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</si>
  <si>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</si>
  <si>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</si>
  <si>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</si>
  <si>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</si>
  <si>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</si>
  <si>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</si>
  <si>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</si>
  <si>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</si>
  <si>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</si>
  <si>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</si>
  <si>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</si>
  <si>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</si>
  <si>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</si>
  <si>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</si>
  <si>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</si>
  <si>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</si>
  <si>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</si>
  <si>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</si>
  <si>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</si>
  <si>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</si>
  <si>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</si>
  <si>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</si>
  <si>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</si>
  <si>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</si>
  <si>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</si>
  <si>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</si>
  <si>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</si>
  <si>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</si>
  <si>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</si>
  <si>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</si>
  <si>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</si>
  <si>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</si>
  <si>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</si>
  <si>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</si>
  <si>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</si>
  <si>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</si>
  <si>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</si>
  <si>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</si>
  <si>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</si>
  <si>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</si>
  <si>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</si>
  <si>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</si>
  <si>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</si>
  <si>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</si>
  <si>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</si>
  <si>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</si>
  <si>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</si>
  <si>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</si>
  <si>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</si>
  <si>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</si>
  <si>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</si>
  <si>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</si>
  <si>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</si>
  <si>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</si>
  <si>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</si>
  <si>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</si>
  <si>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</si>
  <si>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</si>
  <si>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</si>
  <si>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</si>
  <si>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</si>
  <si>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</si>
  <si>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</si>
  <si>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</si>
  <si>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</si>
  <si>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</si>
  <si>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</si>
  <si>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</si>
  <si>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</si>
  <si>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</si>
  <si>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</si>
  <si>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</si>
  <si>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</si>
  <si>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</si>
  <si>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</si>
  <si>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</si>
  <si>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</si>
  <si>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</si>
  <si>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</si>
  <si>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</si>
  <si>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</si>
  <si>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</si>
  <si>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</si>
  <si>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</si>
  <si>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</si>
  <si>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</si>
  <si>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</si>
  <si>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</si>
  <si>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</si>
  <si>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</si>
  <si>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</si>
  <si>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</si>
  <si>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</si>
  <si>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</si>
  <si>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</si>
  <si>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</si>
  <si>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</si>
  <si>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</si>
  <si>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</si>
  <si>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</si>
  <si>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</si>
  <si>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</si>
  <si>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</si>
  <si>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</si>
  <si>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</si>
  <si>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</si>
  <si>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</si>
  <si>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</si>
  <si>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</si>
  <si>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</si>
  <si>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</si>
  <si>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</si>
  <si>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</si>
  <si>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</si>
  <si>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</si>
  <si>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</si>
  <si>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</si>
  <si>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</si>
  <si>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</si>
  <si>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</si>
  <si>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</si>
  <si>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</si>
  <si>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</si>
  <si>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</si>
  <si>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</si>
  <si>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</si>
  <si>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</si>
  <si>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</si>
  <si>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</si>
  <si>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</si>
  <si>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</si>
  <si>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</si>
  <si>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</si>
  <si>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</si>
  <si>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</si>
  <si>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</si>
  <si>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</si>
  <si>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</si>
  <si>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</si>
  <si>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</si>
  <si>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</si>
  <si>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</si>
  <si>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</si>
  <si>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</si>
  <si>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</si>
  <si>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</si>
  <si>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</si>
  <si>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</si>
  <si>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</si>
  <si>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</si>
  <si>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</si>
  <si>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</si>
  <si>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</si>
  <si>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</si>
  <si>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</si>
  <si>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</si>
  <si>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</si>
  <si>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</si>
  <si>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</si>
  <si>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</si>
  <si>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</si>
  <si>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</si>
  <si>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</si>
  <si>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</si>
  <si>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</si>
  <si>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</si>
  <si>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</si>
  <si>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</si>
  <si>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</si>
  <si>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</si>
  <si>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</si>
  <si>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</si>
  <si>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</si>
  <si>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</si>
  <si>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</si>
  <si>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</si>
  <si>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</si>
  <si>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</si>
  <si>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</si>
  <si>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</si>
  <si>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</si>
  <si>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</si>
  <si>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</si>
  <si>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</si>
  <si>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</si>
  <si>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</si>
  <si>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</si>
  <si>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</si>
  <si>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</si>
  <si>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</si>
  <si>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</si>
  <si>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</si>
  <si>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</si>
  <si>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</si>
  <si>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</si>
  <si>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</si>
  <si>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</si>
  <si>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</si>
  <si>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</si>
  <si>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</si>
  <si>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</si>
  <si>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</si>
  <si>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</si>
  <si>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</si>
  <si>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</si>
  <si>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</si>
  <si>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</si>
  <si>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</si>
  <si>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</si>
  <si>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</si>
  <si>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</si>
  <si>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</si>
  <si>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</si>
  <si>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</si>
  <si>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</si>
  <si>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</si>
  <si>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</si>
  <si>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</si>
  <si>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</si>
  <si>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</si>
  <si>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</si>
  <si>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</si>
  <si>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</si>
  <si>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</si>
  <si>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</si>
  <si>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</si>
  <si>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</si>
  <si>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</si>
  <si>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</si>
  <si>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</si>
  <si>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</si>
  <si>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</si>
  <si>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</si>
  <si>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</si>
  <si>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</si>
  <si>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</si>
  <si>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</si>
  <si>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</si>
  <si>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</si>
  <si>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</si>
  <si>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</si>
  <si>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</si>
  <si>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</si>
  <si>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</si>
  <si>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</si>
  <si>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</si>
  <si>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</si>
  <si>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</si>
  <si>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</si>
  <si>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</si>
  <si>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</si>
  <si>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</si>
  <si>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</si>
  <si>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</si>
  <si>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</si>
  <si>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</si>
  <si>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</si>
  <si>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</si>
  <si>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</si>
  <si>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</si>
  <si>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</si>
  <si>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</si>
  <si>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</si>
  <si>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</si>
  <si>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</si>
  <si>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</si>
  <si>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</si>
  <si>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</si>
  <si>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</si>
  <si>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</si>
  <si>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</si>
  <si>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</si>
  <si>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</si>
  <si>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</si>
  <si>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</si>
  <si>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</si>
  <si>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</si>
  <si>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</si>
  <si>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</si>
  <si>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</si>
  <si>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</si>
  <si>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</si>
  <si>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</si>
  <si>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</si>
  <si>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</si>
  <si>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</si>
  <si>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</si>
  <si>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</si>
  <si>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</si>
  <si>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</si>
  <si>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</si>
  <si>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</si>
  <si>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</si>
  <si>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</si>
  <si>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</si>
  <si>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</si>
  <si>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</si>
  <si>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</si>
  <si>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</si>
  <si>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</si>
  <si>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</si>
  <si>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</si>
  <si>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</si>
  <si>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</si>
  <si>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</si>
  <si>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</si>
  <si>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</si>
  <si>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</si>
  <si>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</si>
  <si>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</si>
  <si>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</si>
  <si>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</si>
  <si>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</si>
  <si>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</si>
  <si>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</si>
  <si>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</si>
  <si>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</si>
  <si>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</si>
  <si>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</si>
  <si>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</si>
  <si>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</si>
  <si>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</si>
  <si>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</si>
  <si>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</si>
  <si>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</si>
  <si>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</si>
  <si>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</si>
  <si>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</si>
  <si>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</si>
  <si>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</si>
  <si>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</si>
  <si>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</si>
  <si>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</si>
  <si>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</si>
  <si>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</si>
  <si>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</si>
  <si>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</si>
  <si>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</si>
  <si>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</si>
  <si>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</si>
  <si>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</si>
  <si>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</si>
  <si>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</si>
  <si>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</si>
  <si>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</si>
  <si>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</si>
  <si>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</si>
  <si>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</si>
  <si>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</si>
  <si>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</si>
  <si>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</si>
  <si>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</si>
  <si>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</si>
  <si>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</si>
  <si>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</si>
  <si>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</si>
  <si>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</si>
  <si>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</si>
  <si>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</si>
  <si>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</si>
  <si>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</si>
  <si>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</si>
  <si>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</si>
  <si>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</si>
  <si>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</si>
  <si>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</si>
  <si>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</si>
  <si>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</si>
  <si>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</si>
  <si>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</si>
  <si>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</si>
  <si>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</si>
  <si>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</si>
  <si>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</si>
  <si>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</si>
  <si>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</si>
  <si>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</si>
  <si>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</si>
  <si>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</si>
  <si>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</si>
  <si>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</si>
  <si>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</si>
  <si>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</si>
  <si>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</si>
  <si>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</si>
  <si>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</si>
  <si>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</si>
  <si>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</si>
  <si>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</si>
  <si>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</si>
  <si>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</si>
  <si>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</si>
  <si>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</si>
  <si>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</si>
  <si>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</si>
  <si>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</si>
  <si>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</si>
  <si>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</si>
  <si>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</si>
  <si>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</si>
  <si>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</si>
  <si>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</si>
  <si>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</si>
  <si>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</si>
  <si>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</si>
  <si>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</si>
  <si>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</si>
  <si>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</si>
  <si>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</si>
  <si>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</si>
  <si>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</si>
  <si>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</si>
  <si>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</si>
  <si>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</si>
  <si>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</si>
  <si>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</si>
  <si>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</si>
  <si>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</si>
  <si>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</si>
  <si>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</si>
  <si>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</si>
  <si>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</si>
  <si>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</si>
  <si>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</si>
  <si>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</si>
  <si>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</si>
  <si>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</si>
  <si>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</si>
  <si>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</si>
  <si>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</si>
  <si>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</si>
  <si>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</si>
  <si>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</si>
  <si>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</si>
  <si>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</si>
  <si>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</si>
  <si>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</si>
  <si>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</si>
  <si>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</si>
  <si>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</si>
  <si>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</si>
  <si>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</si>
  <si>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</si>
  <si>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</si>
  <si>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</si>
  <si>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</si>
  <si>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</si>
  <si>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</si>
  <si>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</si>
  <si>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</si>
  <si>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</si>
  <si>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</si>
  <si>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</si>
  <si>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</si>
  <si>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</si>
  <si>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</si>
  <si>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</si>
  <si>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</si>
  <si>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</si>
  <si>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</si>
  <si>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</si>
  <si>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</si>
  <si>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</si>
  <si>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</si>
  <si>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</si>
  <si>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</si>
  <si>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</si>
  <si>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</si>
  <si>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</si>
  <si>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</si>
  <si>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</si>
  <si>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</si>
  <si>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</si>
  <si>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</si>
  <si>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</si>
  <si>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</si>
  <si>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</si>
  <si>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</si>
  <si>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</si>
  <si>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</si>
  <si>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</si>
  <si>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</si>
  <si>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</si>
  <si>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</si>
  <si>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</si>
  <si>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</si>
  <si>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</si>
  <si>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</si>
  <si>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</si>
  <si>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</si>
  <si>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</si>
  <si>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</si>
  <si>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</si>
  <si>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</si>
  <si>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</si>
  <si>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</si>
  <si>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</si>
  <si>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</si>
  <si>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</si>
  <si>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</si>
  <si>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</si>
  <si>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</si>
  <si>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</si>
  <si>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</si>
  <si>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</si>
  <si>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</si>
  <si>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</si>
  <si>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</si>
  <si>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</si>
  <si>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</si>
  <si>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</si>
  <si>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</si>
  <si>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</si>
  <si>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</si>
  <si>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</si>
  <si>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</si>
  <si>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</si>
  <si>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</si>
  <si>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</si>
  <si>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</si>
  <si>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</si>
  <si>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</si>
  <si>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</si>
  <si>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</si>
  <si>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</si>
  <si>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</si>
  <si>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</si>
  <si>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</si>
  <si>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</si>
  <si>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</si>
  <si>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</si>
  <si>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</si>
  <si>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</si>
  <si>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</si>
  <si>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</si>
  <si>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</si>
  <si>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</si>
  <si>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</si>
  <si>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</si>
  <si>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</si>
  <si>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</si>
  <si>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</si>
  <si>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</si>
  <si>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</si>
  <si>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</si>
  <si>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</si>
  <si>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</si>
  <si>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</si>
  <si>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</si>
  <si>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</si>
  <si>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</si>
  <si>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</si>
  <si>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</si>
  <si>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</si>
  <si>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</si>
  <si>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</si>
  <si>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</si>
  <si>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</si>
  <si>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</si>
  <si>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</si>
  <si>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</si>
  <si>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</si>
  <si>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</si>
  <si>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</si>
  <si>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</si>
  <si>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</si>
  <si>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</si>
  <si>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</si>
  <si>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</si>
  <si>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</si>
  <si>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</si>
  <si>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</si>
  <si>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</si>
  <si>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</si>
  <si>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</si>
  <si>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</si>
  <si>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</si>
  <si>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</si>
  <si>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</si>
  <si>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</si>
  <si>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</si>
  <si>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</si>
  <si>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</si>
  <si>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</si>
  <si>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</si>
  <si>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</si>
  <si>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</si>
  <si>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</si>
  <si>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</si>
  <si>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</si>
  <si>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</si>
  <si>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</si>
  <si>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</si>
  <si>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</si>
  <si>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</si>
  <si>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</si>
  <si>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</si>
  <si>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</si>
  <si>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</si>
  <si>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</si>
  <si>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</si>
  <si>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</si>
  <si>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</si>
  <si>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</si>
  <si>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</si>
  <si>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</si>
  <si>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</si>
  <si>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</si>
  <si>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</si>
  <si>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</si>
  <si>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</si>
  <si>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</si>
  <si>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</si>
  <si>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</si>
  <si>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</si>
  <si>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</si>
  <si>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</si>
  <si>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</si>
  <si>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</si>
  <si>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</si>
  <si>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</si>
  <si>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</si>
  <si>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</si>
  <si>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</si>
  <si>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</si>
  <si>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</si>
  <si>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</si>
  <si>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</si>
  <si>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</si>
  <si>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</si>
  <si>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</si>
  <si>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</si>
  <si>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</si>
  <si>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</si>
  <si>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</si>
  <si>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</si>
  <si>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</si>
  <si>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</si>
  <si>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</si>
  <si>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</si>
  <si>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</si>
  <si>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</si>
  <si>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</si>
  <si>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</si>
  <si>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</si>
  <si>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</si>
  <si>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</si>
  <si>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</si>
  <si>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</si>
  <si>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</si>
  <si>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</si>
  <si>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</si>
  <si>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</si>
  <si>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</si>
  <si>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</si>
  <si>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</si>
  <si>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</si>
  <si>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</si>
  <si>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</si>
  <si>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</si>
  <si>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</si>
  <si>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</si>
  <si>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</si>
  <si>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</si>
  <si>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</si>
  <si>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</si>
  <si>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</si>
  <si>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</si>
  <si>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</si>
  <si>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</si>
  <si>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</si>
  <si>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</si>
  <si>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</si>
  <si>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</si>
  <si>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</si>
  <si>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</si>
  <si>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</si>
  <si>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</si>
  <si>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</si>
  <si>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</si>
  <si>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</si>
  <si>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</si>
  <si>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</si>
  <si>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</si>
  <si>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</si>
  <si>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</si>
  <si>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</si>
  <si>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</si>
  <si>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</si>
  <si>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</si>
  <si>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</si>
  <si>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</si>
  <si>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</si>
  <si>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</si>
  <si>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</si>
  <si>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</si>
  <si>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</si>
  <si>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</si>
  <si>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</si>
  <si>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</si>
  <si>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</si>
  <si>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</si>
  <si>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</si>
  <si>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</si>
  <si>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</si>
  <si>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</si>
  <si>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</si>
  <si>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</si>
  <si>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</si>
  <si>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</si>
  <si>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</si>
  <si>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</si>
  <si>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</si>
  <si>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</si>
  <si>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</si>
  <si>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</si>
  <si>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</si>
  <si>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</si>
  <si>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</si>
  <si>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</si>
  <si>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</si>
  <si>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</si>
  <si>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</si>
  <si>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</si>
  <si>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</si>
  <si>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</si>
  <si>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</si>
  <si>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</si>
  <si>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</si>
  <si>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</si>
  <si>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</si>
  <si>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</si>
  <si>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</si>
  <si>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</si>
  <si>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</si>
  <si>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</si>
  <si>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</si>
  <si>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</si>
  <si>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</si>
  <si>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</si>
  <si>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</si>
  <si>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</si>
  <si>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</si>
  <si>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</si>
  <si>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</si>
  <si>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</si>
  <si>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</si>
  <si>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</si>
  <si>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</si>
  <si>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</si>
  <si>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</si>
  <si>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</si>
  <si>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</si>
  <si>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</si>
  <si>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</si>
  <si>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</si>
  <si>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</si>
  <si>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</si>
  <si>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</si>
  <si>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</si>
  <si>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</si>
  <si>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</si>
  <si>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</si>
  <si>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</si>
  <si>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</si>
  <si>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</si>
  <si>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</si>
  <si>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</si>
  <si>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</si>
  <si>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</si>
  <si>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</si>
  <si>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</si>
  <si>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</si>
  <si>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</si>
  <si>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</si>
  <si>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</si>
  <si>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</si>
  <si>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</si>
  <si>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</si>
  <si>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</si>
  <si>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</si>
  <si>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</si>
  <si>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</si>
  <si>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</si>
  <si>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</si>
  <si>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</si>
  <si>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</si>
  <si>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</si>
  <si>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</si>
  <si>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</si>
  <si>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</si>
  <si>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</si>
  <si>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</si>
  <si>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</si>
  <si>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</si>
  <si>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</si>
  <si>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</si>
  <si>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</si>
  <si>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</si>
  <si>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</si>
  <si>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</si>
  <si>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</si>
  <si>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</si>
  <si>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</si>
  <si>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</si>
  <si>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</si>
  <si>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</si>
  <si>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</si>
  <si>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</si>
  <si>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</si>
  <si>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</si>
  <si>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</si>
  <si>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</si>
  <si>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</si>
  <si>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</si>
  <si>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</si>
  <si>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</si>
  <si>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</si>
  <si>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</si>
  <si>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</si>
  <si>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</si>
  <si>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</si>
  <si>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</si>
  <si>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</si>
  <si>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</si>
  <si>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</si>
  <si>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</si>
  <si>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</si>
  <si>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</si>
  <si>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</si>
  <si>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</si>
  <si>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</si>
  <si>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</si>
  <si>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</si>
  <si>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</si>
  <si>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</si>
  <si>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</si>
  <si>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</si>
  <si>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</si>
  <si>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</si>
  <si>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</si>
  <si>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</si>
  <si>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</si>
  <si>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</si>
  <si>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</si>
  <si>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</si>
  <si>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</si>
  <si>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</si>
  <si>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</si>
  <si>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</si>
  <si>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</si>
  <si>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</si>
  <si>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</si>
  <si>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</si>
  <si>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</si>
  <si>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</si>
  <si>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</si>
  <si>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</si>
  <si>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</si>
  <si>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</si>
  <si>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</si>
  <si>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</si>
  <si>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</si>
  <si>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</si>
  <si>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</si>
  <si>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</si>
  <si>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</si>
  <si>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</si>
  <si>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</si>
  <si>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</si>
  <si>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</si>
  <si>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</si>
  <si>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</si>
  <si>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</si>
  <si>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</si>
  <si>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</si>
  <si>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</si>
  <si>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</si>
  <si>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</si>
  <si>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</si>
  <si>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</si>
  <si>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</si>
  <si>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</si>
  <si>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</si>
  <si>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</si>
  <si>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</si>
  <si>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</si>
  <si>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</si>
  <si>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</si>
  <si>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</si>
  <si>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</si>
  <si>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</si>
  <si>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</si>
  <si>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</si>
  <si>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</si>
  <si>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</si>
  <si>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</si>
  <si>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</si>
  <si>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</si>
  <si>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</si>
  <si>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</si>
  <si>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</si>
  <si>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</si>
  <si>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</si>
  <si>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</si>
  <si>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</si>
  <si>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</si>
  <si>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</si>
  <si>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</si>
  <si>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</si>
  <si>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</si>
  <si>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</si>
  <si>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</si>
  <si>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</si>
  <si>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</si>
  <si>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</si>
  <si>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</si>
  <si>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</si>
  <si>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</si>
  <si>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</si>
  <si>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</si>
  <si>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</si>
  <si>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</si>
  <si>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</si>
  <si>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</si>
  <si>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</si>
  <si>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</si>
  <si>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</si>
  <si>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</si>
  <si>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</si>
  <si>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</si>
  <si>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</si>
  <si>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</si>
  <si>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</si>
  <si>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</si>
  <si>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</si>
  <si>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</si>
  <si>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</si>
  <si>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</si>
  <si>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</si>
  <si>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</si>
  <si>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</si>
  <si>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</si>
  <si>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</si>
  <si>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</si>
  <si>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</si>
  <si>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</si>
  <si>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</si>
  <si>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</si>
  <si>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</si>
  <si>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</si>
  <si>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</si>
  <si>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</si>
  <si>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</si>
  <si>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</si>
  <si>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</si>
  <si>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</si>
  <si>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</si>
  <si>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</si>
  <si>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</si>
  <si>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</si>
  <si>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</si>
  <si>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</si>
  <si>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</si>
  <si>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</si>
  <si>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</si>
  <si>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</si>
  <si>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</si>
  <si>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</si>
  <si>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</si>
  <si>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</si>
  <si>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</si>
  <si>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</si>
  <si>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</si>
  <si>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</si>
  <si>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</si>
  <si>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</si>
  <si>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</si>
  <si>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</si>
  <si>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</si>
  <si>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</si>
  <si>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</si>
  <si>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</si>
  <si>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</si>
  <si>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</si>
  <si>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</si>
  <si>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</si>
  <si>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</si>
  <si>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</si>
  <si>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</si>
  <si>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</si>
  <si>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</si>
  <si>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</si>
  <si>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</si>
  <si>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</si>
  <si>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</si>
  <si>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</si>
  <si>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</si>
  <si>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</si>
  <si>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</si>
  <si>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</si>
  <si>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</si>
  <si>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</si>
  <si>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</si>
  <si>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</si>
  <si>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</si>
  <si>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</si>
  <si>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</si>
  <si>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</si>
  <si>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</si>
  <si>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</si>
  <si>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</si>
  <si>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</si>
  <si>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</si>
  <si>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</si>
  <si>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</si>
  <si>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</si>
  <si>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</si>
  <si>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</si>
  <si>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</si>
  <si>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</si>
  <si>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</si>
  <si>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</si>
  <si>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</si>
  <si>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</si>
  <si>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</si>
  <si>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</si>
  <si>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</si>
  <si>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</si>
  <si>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</si>
  <si>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</si>
  <si>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</si>
  <si>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</si>
  <si>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</si>
  <si>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</si>
  <si>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</si>
  <si>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</si>
  <si>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</si>
  <si>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</si>
  <si>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</si>
  <si>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</si>
  <si>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</si>
  <si>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</si>
  <si>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</si>
  <si>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</si>
  <si>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</si>
  <si>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</si>
  <si>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</si>
  <si>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</si>
  <si>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</si>
  <si>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</si>
  <si>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</si>
  <si>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</si>
  <si>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</si>
  <si>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</si>
  <si>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</si>
  <si>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</si>
  <si>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</si>
  <si>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</si>
  <si>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</si>
  <si>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</si>
  <si>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</si>
  <si>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</si>
  <si>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</si>
  <si>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</si>
  <si>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</si>
  <si>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</si>
  <si>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</si>
  <si>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</si>
  <si>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</si>
  <si>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</si>
  <si>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</si>
  <si>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</si>
  <si>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</si>
  <si>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</si>
  <si>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</si>
  <si>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</si>
  <si>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</si>
  <si>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</si>
  <si>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</si>
  <si>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</si>
  <si>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</si>
  <si>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</si>
  <si>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</si>
  <si>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</si>
  <si>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</si>
  <si>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</si>
  <si>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</si>
  <si>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</si>
  <si>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</si>
  <si>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</si>
  <si>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</si>
  <si>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</si>
  <si>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</si>
  <si>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</si>
  <si>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</si>
  <si>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</si>
  <si>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</si>
  <si>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</si>
  <si>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</si>
  <si>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</si>
  <si>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</si>
  <si>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</si>
  <si>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</si>
  <si>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</si>
  <si>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</si>
  <si>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</si>
  <si>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</si>
  <si>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</si>
  <si>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</si>
  <si>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</si>
  <si>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</si>
  <si>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</si>
  <si>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</si>
  <si>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</si>
  <si>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</si>
  <si>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</si>
  <si>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</si>
  <si>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</si>
  <si>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</si>
  <si>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</si>
  <si>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</si>
  <si>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</si>
  <si>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</si>
  <si>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</si>
  <si>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</si>
  <si>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</si>
  <si>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</si>
  <si>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</si>
  <si>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</si>
  <si>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</si>
  <si>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</si>
  <si>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</si>
  <si>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</si>
  <si>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</si>
  <si>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</si>
  <si>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</si>
  <si>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</si>
  <si>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</si>
  <si>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</si>
  <si>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</si>
  <si>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</si>
  <si>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</si>
  <si>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</si>
  <si>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</si>
  <si>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</si>
  <si>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</si>
  <si>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</si>
  <si>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</si>
  <si>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</si>
  <si>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</si>
  <si>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</si>
  <si>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</si>
  <si>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</si>
  <si>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</si>
  <si>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</si>
  <si>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</si>
  <si>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</si>
  <si>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</si>
  <si>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</si>
  <si>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</si>
  <si>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</si>
  <si>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</si>
  <si>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</si>
  <si>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</si>
  <si>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</si>
  <si>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</si>
  <si>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</si>
  <si>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</si>
  <si>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</si>
  <si>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</si>
  <si>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抵押</t>
  </si>
  <si>
    <t>房地产抵押价值</t>
  </si>
  <si>
    <t>北京市</t>
  </si>
  <si>
    <t>企业</t>
  </si>
  <si>
    <t>出让</t>
  </si>
  <si>
    <t>B2-001</t>
    <phoneticPr fontId="141"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</si>
  <si>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</si>
  <si>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</si>
  <si>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</si>
  <si>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</si>
  <si>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</si>
  <si>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</si>
  <si>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</si>
  <si>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</si>
  <si>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</si>
  <si>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</si>
  <si>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</si>
  <si>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</si>
  <si>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</si>
  <si>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</si>
  <si>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</si>
  <si>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</si>
  <si>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</si>
  <si>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</si>
  <si>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</si>
  <si>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</si>
  <si>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</si>
  <si>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</si>
  <si>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</si>
  <si>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</si>
  <si>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</si>
  <si>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</si>
  <si>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</si>
  <si>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</si>
  <si>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</si>
  <si>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</si>
  <si>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</si>
  <si>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</si>
  <si>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</si>
  <si>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</si>
  <si>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</si>
  <si>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</si>
  <si>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</si>
  <si>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</si>
  <si>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</si>
  <si>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</si>
  <si>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</si>
  <si>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</si>
  <si>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</si>
  <si>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</si>
  <si>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</si>
  <si>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</si>
  <si>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</si>
  <si>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</si>
  <si>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</si>
  <si>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</si>
  <si>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</si>
  <si>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</si>
  <si>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</si>
  <si>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</si>
  <si>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</si>
  <si>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</si>
  <si>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</si>
  <si>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</si>
  <si>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</si>
  <si>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</si>
  <si>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</si>
  <si>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</si>
  <si>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</si>
  <si>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</si>
  <si>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</si>
  <si>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</si>
  <si>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</si>
  <si>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</si>
  <si>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</si>
  <si>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</si>
  <si>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</si>
  <si>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</si>
  <si>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</si>
  <si>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</si>
  <si>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</si>
  <si>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</si>
  <si>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</si>
  <si>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</si>
  <si>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</si>
  <si>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</si>
  <si>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</si>
  <si>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</si>
  <si>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</si>
  <si>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</si>
  <si>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</si>
  <si>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</si>
  <si>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</si>
  <si>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</si>
  <si>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</si>
  <si>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</si>
  <si>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</si>
  <si>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</si>
  <si>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</si>
  <si>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</si>
  <si>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</si>
  <si>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</si>
  <si>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</si>
  <si>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</si>
  <si>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</si>
  <si>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</si>
  <si>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</si>
  <si>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</si>
  <si>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</si>
  <si>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</si>
  <si>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</si>
  <si>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</si>
  <si>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</si>
  <si>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</si>
  <si>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</si>
  <si>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</si>
  <si>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</si>
  <si>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</si>
  <si>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</si>
  <si>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</si>
  <si>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</si>
  <si>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</si>
  <si>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</si>
  <si>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</si>
  <si>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</si>
  <si>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</si>
  <si>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</si>
  <si>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</si>
  <si>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</si>
  <si>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</si>
  <si>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</si>
  <si>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</si>
  <si>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</si>
  <si>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</si>
  <si>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</si>
  <si>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r>
      <t>3</t>
    </r>
    <r>
      <rPr>
        <sz val="11"/>
        <color theme="1"/>
        <rFont val="宋体"/>
        <family val="3"/>
        <charset val="134"/>
        <scheme val="minor"/>
      </rPr>
      <t>-301</t>
    </r>
    <phoneticPr fontId="141" type="noConversion"/>
  </si>
  <si>
    <r>
      <t>3</t>
    </r>
    <r>
      <rPr>
        <sz val="11"/>
        <color theme="1"/>
        <rFont val="宋体"/>
        <family val="3"/>
        <charset val="134"/>
        <scheme val="minor"/>
      </rPr>
      <t>-302</t>
    </r>
    <r>
      <rPr>
        <sz val="11"/>
        <color theme="1"/>
        <rFont val="宋体"/>
        <family val="2"/>
        <charset val="134"/>
        <scheme val="minor"/>
      </rPr>
      <t/>
    </r>
  </si>
  <si>
    <r>
      <t>3</t>
    </r>
    <r>
      <rPr>
        <sz val="11"/>
        <color theme="1"/>
        <rFont val="宋体"/>
        <family val="3"/>
        <charset val="134"/>
        <scheme val="minor"/>
      </rPr>
      <t>-303</t>
    </r>
    <r>
      <rPr>
        <sz val="11"/>
        <color theme="1"/>
        <rFont val="宋体"/>
        <family val="2"/>
        <charset val="134"/>
        <scheme val="minor"/>
      </rPr>
      <t/>
    </r>
  </si>
  <si>
    <r>
      <t>3</t>
    </r>
    <r>
      <rPr>
        <sz val="11"/>
        <color theme="1"/>
        <rFont val="宋体"/>
        <family val="3"/>
        <charset val="134"/>
        <scheme val="minor"/>
      </rPr>
      <t>-305</t>
    </r>
    <r>
      <rPr>
        <sz val="11"/>
        <color theme="1"/>
        <rFont val="宋体"/>
        <family val="2"/>
        <charset val="134"/>
        <scheme val="minor"/>
      </rPr>
      <t/>
    </r>
  </si>
  <si>
    <r>
      <t>3</t>
    </r>
    <r>
      <rPr>
        <sz val="11"/>
        <color theme="1"/>
        <rFont val="宋体"/>
        <family val="3"/>
        <charset val="134"/>
        <scheme val="minor"/>
      </rPr>
      <t>-306</t>
    </r>
    <r>
      <rPr>
        <sz val="11"/>
        <color theme="1"/>
        <rFont val="宋体"/>
        <family val="2"/>
        <charset val="134"/>
        <scheme val="minor"/>
      </rPr>
      <t/>
    </r>
  </si>
  <si>
    <r>
      <t>3</t>
    </r>
    <r>
      <rPr>
        <sz val="11"/>
        <color theme="1"/>
        <rFont val="宋体"/>
        <family val="3"/>
        <charset val="134"/>
        <scheme val="minor"/>
      </rPr>
      <t>-307</t>
    </r>
    <r>
      <rPr>
        <sz val="11"/>
        <color theme="1"/>
        <rFont val="宋体"/>
        <family val="2"/>
        <charset val="134"/>
        <scheme val="minor"/>
      </rPr>
      <t/>
    </r>
  </si>
  <si>
    <r>
      <t>3</t>
    </r>
    <r>
      <rPr>
        <sz val="11"/>
        <color theme="1"/>
        <rFont val="宋体"/>
        <family val="3"/>
        <charset val="134"/>
        <scheme val="minor"/>
      </rPr>
      <t>-308</t>
    </r>
    <r>
      <rPr>
        <sz val="11"/>
        <color theme="1"/>
        <rFont val="宋体"/>
        <family val="2"/>
        <charset val="134"/>
        <scheme val="minor"/>
      </rPr>
      <t/>
    </r>
  </si>
  <si>
    <r>
      <t>3</t>
    </r>
    <r>
      <rPr>
        <sz val="11"/>
        <color theme="1"/>
        <rFont val="宋体"/>
        <family val="3"/>
        <charset val="134"/>
        <scheme val="minor"/>
      </rPr>
      <t>-309</t>
    </r>
    <r>
      <rPr>
        <sz val="11"/>
        <color theme="1"/>
        <rFont val="宋体"/>
        <family val="2"/>
        <charset val="134"/>
        <scheme val="minor"/>
      </rPr>
      <t/>
    </r>
  </si>
  <si>
    <t>B2-138</t>
    <phoneticPr fontId="141" type="noConversion"/>
  </si>
  <si>
    <t>B2-196</t>
    <phoneticPr fontId="141" type="noConversion"/>
  </si>
  <si>
    <t>地上</t>
  </si>
  <si>
    <t>地上</t>
    <phoneticPr fontId="141" type="noConversion"/>
  </si>
  <si>
    <t>地下</t>
  </si>
  <si>
    <t>地下</t>
    <phoneticPr fontId="141" type="noConversion"/>
  </si>
  <si>
    <t>合计</t>
    <phoneticPr fontId="141" type="noConversion"/>
  </si>
  <si>
    <t>分摊土地</t>
    <phoneticPr fontId="141" type="noConversion"/>
  </si>
  <si>
    <t>是</t>
  </si>
  <si>
    <t>车库—办公</t>
  </si>
  <si>
    <t>办公</t>
    <phoneticPr fontId="8" type="noConversion"/>
  </si>
  <si>
    <t>地下车库</t>
    <phoneticPr fontId="8" type="noConversion"/>
  </si>
  <si>
    <t>车库</t>
  </si>
  <si>
    <t>直线成新度</t>
    <phoneticPr fontId="4" type="noConversion"/>
  </si>
  <si>
    <t>观察成新度</t>
    <phoneticPr fontId="4" type="noConversion"/>
  </si>
  <si>
    <t>成新度</t>
  </si>
  <si>
    <t>收益法</t>
  </si>
  <si>
    <t>押一</t>
  </si>
  <si>
    <t>按租金收入计税</t>
  </si>
  <si>
    <t>钢混</t>
  </si>
  <si>
    <t>非生产用房</t>
  </si>
  <si>
    <t>商务金融用地（办公类）</t>
  </si>
  <si>
    <t>通路</t>
  </si>
  <si>
    <t>通电</t>
  </si>
  <si>
    <t>通讯</t>
  </si>
  <si>
    <t>通上水</t>
  </si>
  <si>
    <t>通下水</t>
  </si>
  <si>
    <t>燃气</t>
  </si>
  <si>
    <t>平整</t>
  </si>
  <si>
    <t>与级别开发程度不一致</t>
  </si>
  <si>
    <t>地价指数</t>
  </si>
  <si>
    <t>较好</t>
    <phoneticPr fontId="79" type="noConversion"/>
  </si>
  <si>
    <t>较好</t>
    <phoneticPr fontId="79" type="noConversion"/>
  </si>
  <si>
    <t>较差</t>
    <phoneticPr fontId="79" type="noConversion"/>
  </si>
  <si>
    <t>好</t>
    <phoneticPr fontId="79" type="noConversion"/>
  </si>
  <si>
    <t>容积率修正</t>
  </si>
  <si>
    <t>未包含在土地购买价格中</t>
  </si>
  <si>
    <t>全部缴纳</t>
  </si>
  <si>
    <t>已包含在土地取得成本中</t>
  </si>
  <si>
    <t>收益法-车库</t>
  </si>
  <si>
    <t>收益法-车库</t>
    <phoneticPr fontId="17" type="noConversion"/>
  </si>
  <si>
    <t>自定义</t>
  </si>
  <si>
    <t>2-3601</t>
    <phoneticPr fontId="141" type="noConversion"/>
  </si>
  <si>
    <t>2-3602</t>
    <phoneticPr fontId="141" type="noConversion"/>
  </si>
  <si>
    <t>3-3601</t>
    <phoneticPr fontId="141" type="noConversion"/>
  </si>
  <si>
    <t>3-3602</t>
    <phoneticPr fontId="141" type="noConversion"/>
  </si>
  <si>
    <t>3-2202</t>
    <phoneticPr fontId="141" type="noConversion"/>
  </si>
  <si>
    <t>3-3308</t>
    <phoneticPr fontId="141" type="noConversion"/>
  </si>
  <si>
    <t>3-3309</t>
    <phoneticPr fontId="141" type="noConversion"/>
  </si>
  <si>
    <t>2-1101</t>
    <phoneticPr fontId="141" type="noConversion"/>
  </si>
  <si>
    <t>2-1102</t>
    <phoneticPr fontId="141" type="noConversion"/>
  </si>
  <si>
    <t>2-1103</t>
    <phoneticPr fontId="141" type="noConversion"/>
  </si>
  <si>
    <t>2-1105</t>
    <phoneticPr fontId="141" type="noConversion"/>
  </si>
  <si>
    <t>B3-3001</t>
    <phoneticPr fontId="141" type="noConversion"/>
  </si>
  <si>
    <t>B3-3002</t>
  </si>
  <si>
    <t>B3-3003</t>
  </si>
  <si>
    <t>B3-3006</t>
  </si>
  <si>
    <t>B3-3007</t>
  </si>
  <si>
    <t>B3-3008</t>
  </si>
  <si>
    <t>B3-3009</t>
  </si>
  <si>
    <t>B3-3010</t>
  </si>
  <si>
    <t>B3-3011</t>
  </si>
  <si>
    <t>B3-3012</t>
  </si>
  <si>
    <t>B3-3015</t>
  </si>
  <si>
    <t>B3-3016</t>
  </si>
  <si>
    <t>B3-3017</t>
  </si>
  <si>
    <t>B3-3018</t>
  </si>
  <si>
    <t>B3-3019</t>
  </si>
  <si>
    <t>B3-3020</t>
  </si>
  <si>
    <t>B3-3021</t>
  </si>
  <si>
    <t>B3-3022</t>
  </si>
  <si>
    <t>B3-3030</t>
  </si>
  <si>
    <t>B3-3031</t>
  </si>
  <si>
    <t>B3-3032</t>
  </si>
  <si>
    <t>B3-3033</t>
  </si>
  <si>
    <t>B3-3035</t>
  </si>
  <si>
    <t>B3-3036</t>
  </si>
  <si>
    <t>B3-3037</t>
  </si>
  <si>
    <t>B3-3038</t>
  </si>
  <si>
    <t>B3-3039</t>
  </si>
  <si>
    <t>B3-3040</t>
  </si>
  <si>
    <t>B3-3041</t>
  </si>
  <si>
    <t>B3-3042</t>
  </si>
  <si>
    <t>B3-3043</t>
  </si>
  <si>
    <t>B3-3045</t>
  </si>
  <si>
    <t>B3-3096</t>
  </si>
  <si>
    <t>B3-3097</t>
  </si>
  <si>
    <t>B3-3098</t>
  </si>
  <si>
    <t>B3-3099</t>
  </si>
  <si>
    <t>B3-3100</t>
  </si>
  <si>
    <t>B3-3101</t>
  </si>
  <si>
    <t>B3-3102</t>
  </si>
  <si>
    <t>B3-3103</t>
  </si>
  <si>
    <t>B3-3105</t>
  </si>
  <si>
    <t>B3-3106</t>
  </si>
  <si>
    <t>B3-3107</t>
  </si>
  <si>
    <t>B3--301</t>
    <phoneticPr fontId="141" type="noConversion"/>
  </si>
  <si>
    <t>B1--101</t>
    <phoneticPr fontId="141" type="noConversion"/>
  </si>
  <si>
    <t>房号</t>
    <phoneticPr fontId="141" type="noConversion"/>
  </si>
  <si>
    <t>高区</t>
    <phoneticPr fontId="26" type="noConversion"/>
  </si>
  <si>
    <t>中区</t>
    <phoneticPr fontId="26" type="noConversion"/>
  </si>
  <si>
    <t>低区</t>
    <phoneticPr fontId="26" type="noConversion"/>
  </si>
  <si>
    <t>中区</t>
    <phoneticPr fontId="26" type="noConversion"/>
  </si>
  <si>
    <t>低区</t>
    <phoneticPr fontId="26" type="noConversion"/>
  </si>
  <si>
    <t>中区</t>
    <phoneticPr fontId="26" type="noConversion"/>
  </si>
  <si>
    <t>高区</t>
    <phoneticPr fontId="26" type="noConversion"/>
  </si>
  <si>
    <t>成本法 (元)</t>
  </si>
  <si>
    <t>收益法 (元)</t>
  </si>
  <si>
    <t>典型户型修正</t>
  </si>
  <si>
    <t>办公</t>
    <phoneticPr fontId="141" type="noConversion"/>
  </si>
  <si>
    <t>总价</t>
  </si>
  <si>
    <t>收益比率</t>
  </si>
  <si>
    <t>估价对象1（本表）地上办公</t>
    <phoneticPr fontId="141" type="noConversion"/>
  </si>
  <si>
    <t>估价对象2地下办公</t>
    <phoneticPr fontId="141" type="noConversion"/>
  </si>
  <si>
    <t>估价对象3地下车库</t>
    <phoneticPr fontId="141" type="noConversion"/>
  </si>
  <si>
    <t>估价对象4其他用房</t>
    <phoneticPr fontId="141"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</si>
  <si>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</si>
  <si>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</si>
  <si>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</si>
  <si>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</si>
  <si>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</si>
  <si>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</si>
  <si>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</si>
  <si>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</si>
  <si>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</si>
  <si>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</si>
  <si>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</si>
  <si>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</si>
  <si>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1" type="noConversion"/>
  </si>
  <si>
    <t>建筑面积（㎡）</t>
    <phoneticPr fontId="141" type="noConversion"/>
  </si>
  <si>
    <t>分摊土地面积（㎡）</t>
    <phoneticPr fontId="141" type="noConversion"/>
  </si>
  <si>
    <t>合计</t>
    <phoneticPr fontId="141" type="noConversion"/>
  </si>
  <si>
    <t>序号</t>
    <phoneticPr fontId="141" type="noConversion"/>
  </si>
  <si>
    <t>国有土地使用证</t>
  </si>
  <si>
    <t>房屋所有权证</t>
  </si>
  <si>
    <t>楼号</t>
  </si>
  <si>
    <t>京朝国用（2009出）第0131号</t>
    <phoneticPr fontId="141" type="noConversion"/>
  </si>
  <si>
    <t>X京房权证朝字第1062429号</t>
    <phoneticPr fontId="141" type="noConversion"/>
  </si>
  <si>
    <r>
      <t>2</t>
    </r>
    <r>
      <rPr>
        <sz val="11"/>
        <color theme="1"/>
        <rFont val="宋体"/>
        <family val="3"/>
        <charset val="134"/>
        <scheme val="minor"/>
      </rPr>
      <t>6号</t>
    </r>
    <phoneticPr fontId="141" type="noConversion"/>
  </si>
  <si>
    <t>所在楼层</t>
    <phoneticPr fontId="141" type="noConversion"/>
  </si>
  <si>
    <t>B3</t>
  </si>
  <si>
    <t>B3</t>
    <phoneticPr fontId="141" type="noConversion"/>
  </si>
  <si>
    <t>B2</t>
  </si>
  <si>
    <t>B2</t>
    <phoneticPr fontId="141" type="noConversion"/>
  </si>
  <si>
    <t>B2</t>
    <phoneticPr fontId="141" type="noConversion"/>
  </si>
  <si>
    <t>B1</t>
    <phoneticPr fontId="141" type="noConversion"/>
  </si>
  <si>
    <t>抵押物名称</t>
  </si>
  <si>
    <t>(规划)建筑面积</t>
  </si>
  <si>
    <t>(分摊)土地面积</t>
  </si>
  <si>
    <t>出让国有建设用地使用权价值</t>
  </si>
  <si>
    <t>在建建筑物价值</t>
  </si>
  <si>
    <t>房地产价值</t>
  </si>
  <si>
    <t>总 价</t>
  </si>
  <si>
    <t>楼面单价</t>
  </si>
  <si>
    <t>北京市房地产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</si>
</sst>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top style="medium">
        <color rgb="FF404040"/>
      </top>
      <bottom/>
      <diagonal/>
    </border>
    <border>
      <left/>
      <right style="thin">
        <color indexed="64"/>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9" fillId="5" borderId="1" xfId="0"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protection locked="0"/>
    </xf>
    <xf numFmtId="0" fontId="190" fillId="2"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60" xfId="0" applyFont="1" applyBorder="1" applyAlignment="1">
      <alignment horizontal="center" vertical="center" wrapText="1"/>
    </xf>
    <xf numFmtId="0" fontId="0" fillId="0" borderId="0" xfId="0" applyAlignment="1">
      <alignment horizontal="center" vertical="center" wrapText="1"/>
    </xf>
    <xf numFmtId="0" fontId="99" fillId="0" borderId="161" xfId="0" applyFont="1" applyBorder="1" applyAlignment="1">
      <alignment horizontal="center" vertical="center"/>
    </xf>
    <xf numFmtId="0" fontId="0" fillId="0" borderId="35"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2320;&#19979;&#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cell r="C14">
            <v>410.12999999999954</v>
          </cell>
          <cell r="D14">
            <v>8599</v>
          </cell>
        </row>
        <row r="15">
          <cell r="B15">
            <v>2677.11</v>
          </cell>
          <cell r="C15">
            <v>129.74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25">
          <cell r="S25">
            <v>44</v>
          </cell>
        </row>
        <row r="26">
          <cell r="S26">
            <v>46</v>
          </cell>
        </row>
        <row r="27">
          <cell r="S27">
            <v>46</v>
          </cell>
        </row>
        <row r="28">
          <cell r="S28">
            <v>44</v>
          </cell>
        </row>
        <row r="29">
          <cell r="S29">
            <v>46</v>
          </cell>
        </row>
        <row r="30">
          <cell r="S30">
            <v>48</v>
          </cell>
        </row>
        <row r="32">
          <cell r="S32">
            <v>48</v>
          </cell>
        </row>
        <row r="33">
          <cell r="S33">
            <v>47</v>
          </cell>
        </row>
        <row r="34">
          <cell r="S34">
            <v>46</v>
          </cell>
        </row>
        <row r="35">
          <cell r="S35">
            <v>50</v>
          </cell>
        </row>
        <row r="36">
          <cell r="S36">
            <v>48</v>
          </cell>
        </row>
        <row r="37">
          <cell r="S37">
            <v>46</v>
          </cell>
        </row>
        <row r="38">
          <cell r="S38">
            <v>44</v>
          </cell>
        </row>
        <row r="39">
          <cell r="S39">
            <v>46</v>
          </cell>
        </row>
        <row r="40">
          <cell r="S40">
            <v>45</v>
          </cell>
        </row>
        <row r="41">
          <cell r="S41">
            <v>45</v>
          </cell>
        </row>
        <row r="42">
          <cell r="S42">
            <v>46</v>
          </cell>
        </row>
        <row r="43">
          <cell r="S43">
            <v>47</v>
          </cell>
        </row>
        <row r="44">
          <cell r="S44">
            <v>46</v>
          </cell>
        </row>
        <row r="45">
          <cell r="S45">
            <v>46</v>
          </cell>
        </row>
        <row r="46">
          <cell r="S46">
            <v>45</v>
          </cell>
        </row>
        <row r="47">
          <cell r="S47">
            <v>45</v>
          </cell>
        </row>
        <row r="48">
          <cell r="S48">
            <v>46</v>
          </cell>
        </row>
        <row r="49">
          <cell r="S49">
            <v>48</v>
          </cell>
        </row>
        <row r="50">
          <cell r="S50">
            <v>37</v>
          </cell>
        </row>
        <row r="51">
          <cell r="S51">
            <v>58</v>
          </cell>
        </row>
        <row r="52">
          <cell r="S52">
            <v>56</v>
          </cell>
        </row>
        <row r="53">
          <cell r="S53">
            <v>58</v>
          </cell>
        </row>
        <row r="54">
          <cell r="S54">
            <v>42</v>
          </cell>
        </row>
        <row r="55">
          <cell r="S55">
            <v>58</v>
          </cell>
        </row>
        <row r="56">
          <cell r="S56">
            <v>56</v>
          </cell>
        </row>
        <row r="57">
          <cell r="S57">
            <v>47</v>
          </cell>
        </row>
        <row r="58">
          <cell r="S58">
            <v>44</v>
          </cell>
        </row>
        <row r="59">
          <cell r="S59">
            <v>43</v>
          </cell>
        </row>
        <row r="60">
          <cell r="S60">
            <v>44</v>
          </cell>
        </row>
        <row r="61">
          <cell r="S61">
            <v>39</v>
          </cell>
        </row>
        <row r="62">
          <cell r="S62">
            <v>46</v>
          </cell>
        </row>
        <row r="63">
          <cell r="S63">
            <v>41</v>
          </cell>
        </row>
        <row r="64">
          <cell r="S64">
            <v>44</v>
          </cell>
        </row>
        <row r="65">
          <cell r="S65">
            <v>46</v>
          </cell>
        </row>
        <row r="66">
          <cell r="S66">
            <v>44</v>
          </cell>
        </row>
        <row r="67">
          <cell r="S67">
            <v>45</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4077.78</v>
          </cell>
          <cell r="C14">
            <v>197.47</v>
          </cell>
          <cell r="D14">
            <v>6863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估价对象为北京市房地产，为所有。根据《国有土地使用证》[]，估价对象（分摊）出让国有建设用地使用权面积为11.65平方米，建筑面积为240.41平方米。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估价对象为北京市房地产,属开发建设的，该项目尚在开发建设中。根据《国有土地使用证》[]，估价对象（分摊）出让国有建设用地使用权面积为11.65平方米，规划建筑面积为240.41平方米。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2021年1月26日</v>
      </c>
    </row>
    <row r="13" spans="1:2" s="1364" customFormat="1">
      <c r="A13" s="1362" t="s">
        <v>1194</v>
      </c>
      <c r="B13" s="1363"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本次评估采用的主估价方法为基准地价系数修正法和基准地价系数修正法。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63513</v>
      </c>
    </row>
    <row r="21" spans="1:2" s="1364" customFormat="1">
      <c r="A21" s="1362" t="s">
        <v>1202</v>
      </c>
      <c r="B21" s="1363">
        <f ca="1">'预评函-2'!D7</f>
        <v>2641862</v>
      </c>
    </row>
    <row r="22" spans="1:2" s="1364" customFormat="1">
      <c r="A22" s="1362" t="s">
        <v>1203</v>
      </c>
      <c r="B22" s="1363" t="str">
        <f ca="1">'预评函-2'!D6</f>
        <v>陆亿叁仟伍佰壹拾叁万元整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63513</v>
      </c>
    </row>
    <row r="31" spans="1:2" s="1364" customFormat="1">
      <c r="A31" s="1362" t="s">
        <v>1241</v>
      </c>
      <c r="B31" s="1363">
        <f ca="1">'预评函-2'!D15</f>
        <v>2641862</v>
      </c>
    </row>
    <row r="32" spans="1:2" s="1364" customFormat="1">
      <c r="A32" s="1362" t="s">
        <v>1208</v>
      </c>
      <c r="B32" s="1363" t="str">
        <f ca="1">'预评函-2'!D14</f>
        <v>陆亿叁仟伍佰壹拾叁万元整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240.41</v>
      </c>
    </row>
    <row r="44" spans="1:2" s="1364" customFormat="1">
      <c r="A44" s="1362" t="s">
        <v>1240</v>
      </c>
      <c r="B44" s="1363" t="str">
        <f>'预评函-3'!C2</f>
        <v>(分摊)土地面积</v>
      </c>
    </row>
    <row r="45" spans="1:2" s="1364" customFormat="1">
      <c r="A45" s="1362" t="s">
        <v>1212</v>
      </c>
      <c r="B45" s="1363">
        <f>'预评函-3'!C4</f>
        <v>11.65</v>
      </c>
    </row>
    <row r="46" spans="1:2" s="1364" customFormat="1">
      <c r="A46" s="1362" t="s">
        <v>1238</v>
      </c>
      <c r="B46" s="1363" t="str">
        <f>'预评函-3'!D2</f>
        <v>出让国有建设用地使用权价值</v>
      </c>
    </row>
    <row r="47" spans="1:2" s="1364" customFormat="1">
      <c r="A47" s="1362" t="s">
        <v>1213</v>
      </c>
      <c r="B47" s="1363">
        <f ca="1">'预评函-3'!D4</f>
        <v>51509</v>
      </c>
    </row>
    <row r="48" spans="1:2" s="1364" customFormat="1">
      <c r="A48" s="1362" t="s">
        <v>1214</v>
      </c>
      <c r="B48" s="1363">
        <f ca="1">'预评函-3'!E4</f>
        <v>2142548</v>
      </c>
    </row>
    <row r="49" spans="1:2" s="1364" customFormat="1">
      <c r="A49" s="1362" t="s">
        <v>1215</v>
      </c>
      <c r="B49" s="1363" t="str">
        <f ca="1">'预评函-3'!D5</f>
        <v>伍亿壹仟伍佰零玖万元整</v>
      </c>
    </row>
    <row r="50" spans="1:2" s="1364" customFormat="1">
      <c r="A50" s="1362" t="s">
        <v>1239</v>
      </c>
      <c r="B50" s="1363" t="str">
        <f>'预评函-3'!F2</f>
        <v>在建建筑物价值</v>
      </c>
    </row>
    <row r="51" spans="1:2" s="1364" customFormat="1">
      <c r="A51" s="1362" t="s">
        <v>1216</v>
      </c>
      <c r="B51" s="1363">
        <f ca="1">'预评函-3'!F4</f>
        <v>12004</v>
      </c>
    </row>
    <row r="52" spans="1:2" s="1364" customFormat="1">
      <c r="A52" s="1362" t="s">
        <v>1217</v>
      </c>
      <c r="B52" s="1363">
        <f ca="1">'预评函-3'!G4</f>
        <v>499314</v>
      </c>
    </row>
    <row r="53" spans="1:2" s="1364" customFormat="1">
      <c r="A53" s="1362" t="s">
        <v>1245</v>
      </c>
      <c r="B53" s="1363" t="str">
        <f ca="1">'预评函-3'!F5</f>
        <v>壹亿贰仟零肆万元整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1651</v>
      </c>
      <c r="C1" s="1727" t="s">
        <v>759</v>
      </c>
      <c r="D1" s="1728" t="s">
        <v>1652</v>
      </c>
      <c r="E1" s="1728" t="s">
        <v>1653</v>
      </c>
      <c r="F1" s="1728" t="s">
        <v>1654</v>
      </c>
      <c r="G1" s="1728" t="s">
        <v>1655</v>
      </c>
      <c r="H1" s="1728" t="s">
        <v>1656</v>
      </c>
      <c r="I1" s="1728" t="s">
        <v>1657</v>
      </c>
      <c r="J1" s="1728" t="s">
        <v>1658</v>
      </c>
      <c r="K1" s="1728" t="s">
        <v>1659</v>
      </c>
      <c r="L1" s="1728" t="s">
        <v>1660</v>
      </c>
      <c r="M1" s="1728" t="s">
        <v>1661</v>
      </c>
      <c r="N1" s="1728" t="s">
        <v>1662</v>
      </c>
      <c r="O1" s="1728" t="s">
        <v>1663</v>
      </c>
      <c r="P1" s="1729" t="s">
        <v>753</v>
      </c>
      <c r="Q1" s="1729" t="s">
        <v>1112</v>
      </c>
      <c r="R1" s="1728" t="s">
        <v>1106</v>
      </c>
      <c r="S1" s="1728" t="s">
        <v>1664</v>
      </c>
      <c r="T1" s="1730" t="s">
        <v>1665</v>
      </c>
      <c r="U1" s="1728" t="s">
        <v>1666</v>
      </c>
      <c r="V1" s="1728" t="s">
        <v>1667</v>
      </c>
      <c r="W1" s="1728" t="s">
        <v>755</v>
      </c>
    </row>
    <row r="2" spans="1:23">
      <c r="A2" s="1732" t="s">
        <v>22</v>
      </c>
      <c r="B2" s="1732" t="s">
        <v>1668</v>
      </c>
      <c r="C2" s="1733" t="s">
        <v>760</v>
      </c>
      <c r="D2" s="1734" t="s">
        <v>1669</v>
      </c>
      <c r="E2" s="1734" t="s">
        <v>1670</v>
      </c>
      <c r="F2" s="1734" t="s">
        <v>1671</v>
      </c>
      <c r="G2" s="1734">
        <v>40</v>
      </c>
      <c r="H2" s="1734" t="s">
        <v>1671</v>
      </c>
      <c r="I2" s="1734" t="s">
        <v>1672</v>
      </c>
      <c r="J2" s="1734" t="s">
        <v>1673</v>
      </c>
      <c r="K2" s="1734" t="s">
        <v>1674</v>
      </c>
      <c r="L2" s="1734" t="s">
        <v>1674</v>
      </c>
      <c r="M2" s="1734" t="s">
        <v>1674</v>
      </c>
      <c r="N2" s="1734" t="s">
        <v>1674</v>
      </c>
      <c r="O2" s="1734" t="s">
        <v>1674</v>
      </c>
      <c r="P2" s="1734" t="s">
        <v>1674</v>
      </c>
      <c r="Q2" s="1734" t="s">
        <v>1674</v>
      </c>
      <c r="R2" s="1734" t="s">
        <v>1108</v>
      </c>
      <c r="S2" s="1734" t="s">
        <v>1674</v>
      </c>
      <c r="T2" s="1734" t="s">
        <v>1675</v>
      </c>
      <c r="U2" s="1734" t="s">
        <v>1674</v>
      </c>
      <c r="V2" s="1734" t="s">
        <v>1676</v>
      </c>
      <c r="W2" s="1734" t="s">
        <v>1674</v>
      </c>
    </row>
    <row r="3" spans="1:23">
      <c r="A3" s="1732" t="s">
        <v>1677</v>
      </c>
      <c r="B3" s="1735" t="s">
        <v>1113</v>
      </c>
      <c r="C3" s="1736" t="s">
        <v>761</v>
      </c>
      <c r="D3" s="1734" t="s">
        <v>1678</v>
      </c>
      <c r="E3" s="1734" t="s">
        <v>16</v>
      </c>
      <c r="F3" s="1734" t="s">
        <v>1679</v>
      </c>
      <c r="G3" s="1734">
        <v>50</v>
      </c>
      <c r="H3" s="1734" t="s">
        <v>1679</v>
      </c>
      <c r="I3" s="1734" t="s">
        <v>1680</v>
      </c>
      <c r="J3" s="1734" t="s">
        <v>1681</v>
      </c>
      <c r="K3" s="1734" t="s">
        <v>1682</v>
      </c>
      <c r="L3" s="1734" t="s">
        <v>1682</v>
      </c>
      <c r="M3" s="1734" t="s">
        <v>1682</v>
      </c>
      <c r="N3" s="1734" t="s">
        <v>1682</v>
      </c>
      <c r="O3" s="1734" t="s">
        <v>1682</v>
      </c>
      <c r="P3" s="1734" t="s">
        <v>1682</v>
      </c>
      <c r="Q3" s="1734" t="s">
        <v>1682</v>
      </c>
      <c r="R3" s="1734" t="s">
        <v>1107</v>
      </c>
      <c r="S3" s="1734" t="s">
        <v>1682</v>
      </c>
      <c r="T3" s="1734" t="s">
        <v>1683</v>
      </c>
      <c r="U3" s="1734" t="s">
        <v>1682</v>
      </c>
      <c r="V3" s="1734" t="s">
        <v>1684</v>
      </c>
      <c r="W3" s="1734" t="s">
        <v>1682</v>
      </c>
    </row>
    <row r="4" spans="1:23">
      <c r="A4" s="1732" t="s">
        <v>1685</v>
      </c>
      <c r="B4" s="1732" t="s">
        <v>1686</v>
      </c>
      <c r="C4" s="1733" t="s">
        <v>762</v>
      </c>
      <c r="D4" s="1734" t="s">
        <v>836</v>
      </c>
      <c r="E4" s="1734" t="s">
        <v>1687</v>
      </c>
      <c r="F4" s="1734" t="s">
        <v>1688</v>
      </c>
      <c r="G4" s="1734">
        <v>70</v>
      </c>
      <c r="H4" s="1734" t="s">
        <v>1688</v>
      </c>
      <c r="I4" s="1734" t="s">
        <v>1689</v>
      </c>
      <c r="K4" s="1734" t="s">
        <v>1690</v>
      </c>
      <c r="L4" s="1734" t="s">
        <v>1690</v>
      </c>
      <c r="M4" s="1734" t="s">
        <v>1690</v>
      </c>
      <c r="N4" s="1734" t="s">
        <v>1690</v>
      </c>
      <c r="O4" s="1734" t="s">
        <v>1690</v>
      </c>
      <c r="P4" s="1734" t="s">
        <v>1690</v>
      </c>
      <c r="Q4" s="1734" t="s">
        <v>1690</v>
      </c>
      <c r="R4" s="1734" t="s">
        <v>1109</v>
      </c>
      <c r="S4" s="1734" t="s">
        <v>1690</v>
      </c>
      <c r="T4" s="1734" t="s">
        <v>1691</v>
      </c>
      <c r="U4" s="1734" t="s">
        <v>1690</v>
      </c>
      <c r="W4" s="1734" t="s">
        <v>1690</v>
      </c>
    </row>
    <row r="5" spans="1:23">
      <c r="A5" s="1732" t="s">
        <v>1692</v>
      </c>
      <c r="B5" s="1732" t="s">
        <v>1693</v>
      </c>
      <c r="C5" s="1733" t="s">
        <v>763</v>
      </c>
      <c r="F5" s="1734" t="s">
        <v>1694</v>
      </c>
      <c r="H5" s="1734" t="s">
        <v>1695</v>
      </c>
      <c r="I5" s="1734" t="s">
        <v>1696</v>
      </c>
      <c r="K5" s="1734" t="s">
        <v>1697</v>
      </c>
      <c r="L5" s="1734" t="s">
        <v>1697</v>
      </c>
      <c r="M5" s="1734" t="s">
        <v>1697</v>
      </c>
      <c r="N5" s="1734" t="s">
        <v>1697</v>
      </c>
      <c r="O5" s="1734" t="s">
        <v>1697</v>
      </c>
      <c r="P5" s="1734" t="s">
        <v>1697</v>
      </c>
      <c r="Q5" s="1734" t="s">
        <v>1697</v>
      </c>
      <c r="R5" s="1734" t="s">
        <v>1110</v>
      </c>
      <c r="S5" s="1734" t="s">
        <v>1697</v>
      </c>
      <c r="T5" s="1734" t="s">
        <v>1698</v>
      </c>
      <c r="U5" s="1734" t="s">
        <v>1697</v>
      </c>
      <c r="W5" s="1734" t="s">
        <v>1697</v>
      </c>
    </row>
    <row r="6" spans="1:23">
      <c r="A6" s="1732" t="s">
        <v>1699</v>
      </c>
      <c r="B6" s="1735" t="s">
        <v>1114</v>
      </c>
      <c r="C6" s="1738" t="s">
        <v>30</v>
      </c>
      <c r="F6" s="1734" t="s">
        <v>1695</v>
      </c>
      <c r="H6" s="1734" t="s">
        <v>1700</v>
      </c>
      <c r="I6" s="1734" t="s">
        <v>1701</v>
      </c>
      <c r="K6" s="1734" t="s">
        <v>1702</v>
      </c>
      <c r="L6" s="1734" t="s">
        <v>1702</v>
      </c>
      <c r="M6" s="1734" t="s">
        <v>1702</v>
      </c>
      <c r="N6" s="1734" t="s">
        <v>1702</v>
      </c>
      <c r="O6" s="1734" t="s">
        <v>1702</v>
      </c>
      <c r="P6" s="1734" t="s">
        <v>1702</v>
      </c>
      <c r="Q6" s="1734" t="s">
        <v>1702</v>
      </c>
      <c r="R6" s="1734" t="s">
        <v>1111</v>
      </c>
      <c r="S6" s="1734" t="s">
        <v>1702</v>
      </c>
      <c r="T6" s="1734"/>
      <c r="U6" s="1734" t="s">
        <v>1702</v>
      </c>
      <c r="W6" s="1734" t="s">
        <v>1702</v>
      </c>
    </row>
    <row r="7" spans="1:23">
      <c r="A7" s="1732" t="s">
        <v>1703</v>
      </c>
      <c r="B7" s="1735" t="s">
        <v>1115</v>
      </c>
      <c r="C7" s="1733" t="s">
        <v>31</v>
      </c>
      <c r="F7" s="1734" t="s">
        <v>1704</v>
      </c>
      <c r="H7" s="1734" t="s">
        <v>1705</v>
      </c>
      <c r="I7" s="1734" t="s">
        <v>1706</v>
      </c>
    </row>
    <row r="8" spans="1:23">
      <c r="A8" s="1732" t="s">
        <v>1707</v>
      </c>
      <c r="B8" s="1732" t="s">
        <v>1708</v>
      </c>
      <c r="C8" s="1733" t="s">
        <v>764</v>
      </c>
      <c r="F8" s="1734" t="s">
        <v>1709</v>
      </c>
      <c r="H8" s="1734"/>
      <c r="I8" s="1734" t="s">
        <v>1710</v>
      </c>
    </row>
    <row r="9" spans="1:23">
      <c r="A9" s="1732" t="s">
        <v>1711</v>
      </c>
      <c r="B9" s="1732" t="s">
        <v>1712</v>
      </c>
      <c r="C9" s="1733" t="s">
        <v>765</v>
      </c>
      <c r="F9" s="1734" t="s">
        <v>1713</v>
      </c>
      <c r="H9" s="1734"/>
    </row>
    <row r="10" spans="1:23">
      <c r="A10" s="1732" t="s">
        <v>1714</v>
      </c>
      <c r="B10" s="1732" t="s">
        <v>1715</v>
      </c>
      <c r="C10" s="1733" t="s">
        <v>766</v>
      </c>
      <c r="F10" s="1734" t="s">
        <v>16</v>
      </c>
    </row>
    <row r="11" spans="1:23">
      <c r="A11" s="1732" t="s">
        <v>1716</v>
      </c>
      <c r="B11" s="1732" t="s">
        <v>1717</v>
      </c>
      <c r="C11" s="1733" t="s">
        <v>767</v>
      </c>
    </row>
    <row r="12" spans="1:23">
      <c r="A12" s="1732" t="s">
        <v>1718</v>
      </c>
      <c r="B12" s="1732" t="s">
        <v>1719</v>
      </c>
      <c r="C12" s="1733" t="s">
        <v>768</v>
      </c>
    </row>
    <row r="13" spans="1:23">
      <c r="A13" s="1732" t="s">
        <v>1720</v>
      </c>
      <c r="B13" s="1732" t="s">
        <v>1721</v>
      </c>
      <c r="C13" s="1733" t="s">
        <v>769</v>
      </c>
    </row>
    <row r="14" spans="1:23">
      <c r="A14" s="1732" t="s">
        <v>1722</v>
      </c>
      <c r="B14" s="1732" t="s">
        <v>1723</v>
      </c>
      <c r="C14" s="1734" t="s">
        <v>16</v>
      </c>
    </row>
    <row r="15" spans="1:23">
      <c r="A15" s="1732" t="s">
        <v>1724</v>
      </c>
      <c r="B15" s="1732" t="s">
        <v>1725</v>
      </c>
      <c r="C15" s="1733"/>
    </row>
    <row r="16" spans="1:23">
      <c r="A16" s="1732" t="s">
        <v>1726</v>
      </c>
      <c r="B16" s="1732" t="s">
        <v>756</v>
      </c>
      <c r="C16" s="1733"/>
    </row>
    <row r="17" spans="1:3">
      <c r="A17" s="1732" t="s">
        <v>1727</v>
      </c>
      <c r="B17" s="1732" t="s">
        <v>3035</v>
      </c>
      <c r="C17" s="1733"/>
    </row>
    <row r="18" spans="1:3">
      <c r="A18" s="1732" t="s">
        <v>1728</v>
      </c>
      <c r="B18" s="1732" t="s">
        <v>3241</v>
      </c>
      <c r="C18" s="1733"/>
    </row>
    <row r="19" spans="1:3">
      <c r="A19" s="1732" t="s">
        <v>1729</v>
      </c>
      <c r="B19" s="1732" t="s">
        <v>757</v>
      </c>
      <c r="C19" s="1733"/>
    </row>
    <row r="20" spans="1:3">
      <c r="A20" s="1732" t="s">
        <v>1730</v>
      </c>
      <c r="B20" s="1732" t="s">
        <v>757</v>
      </c>
      <c r="C20" s="1733"/>
    </row>
    <row r="21" spans="1:3">
      <c r="A21" s="1732" t="s">
        <v>1731</v>
      </c>
      <c r="B21" s="1732" t="s">
        <v>757</v>
      </c>
      <c r="C21" s="1733"/>
    </row>
    <row r="22" spans="1:3">
      <c r="A22" s="1732" t="s">
        <v>1732</v>
      </c>
      <c r="B22" s="1732" t="s">
        <v>757</v>
      </c>
      <c r="C22" s="1733"/>
    </row>
    <row r="23" spans="1:3">
      <c r="A23" s="1732" t="s">
        <v>1733</v>
      </c>
      <c r="B23" s="1732" t="s">
        <v>757</v>
      </c>
      <c r="C23" s="1733"/>
    </row>
    <row r="24" spans="1:3">
      <c r="A24" s="1732" t="s">
        <v>1734</v>
      </c>
      <c r="B24" s="1732" t="s">
        <v>757</v>
      </c>
      <c r="C24" s="1733"/>
    </row>
    <row r="25" spans="1:3">
      <c r="A25" s="1732" t="s">
        <v>1735</v>
      </c>
      <c r="B25" s="1732" t="s">
        <v>757</v>
      </c>
      <c r="C25" s="1733"/>
    </row>
    <row r="26" spans="1:3">
      <c r="A26" s="1732" t="s">
        <v>1736</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1740" t="s">
        <v>832</v>
      </c>
      <c r="C54" s="1737" t="s">
        <v>1248</v>
      </c>
    </row>
    <row r="55" spans="1:4">
      <c r="A55" s="3126"/>
      <c r="B55" s="1740" t="s">
        <v>833</v>
      </c>
      <c r="C55" s="1737" t="s">
        <v>1249</v>
      </c>
    </row>
    <row r="56" spans="1:4">
      <c r="A56" s="3126"/>
      <c r="B56" s="1740" t="s">
        <v>834</v>
      </c>
      <c r="C56" s="1737" t="s">
        <v>1253</v>
      </c>
    </row>
    <row r="57" spans="1:4">
      <c r="A57" s="312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2910</v>
      </c>
      <c r="B1" s="3127" t="str">
        <f>IF(B10="北京市","北京市",C10)&amp;F10&amp;IF(结果表!G1="在建","出让国有建设用地使用权及在建建筑物",IF(结果表!G1="土地","出让国有建设用地使用权",))&amp;B9&amp;"预评估"</f>
        <v>北京市房地产抵押价值预评估</v>
      </c>
      <c r="C1" s="3128"/>
      <c r="D1" s="3128"/>
      <c r="E1" s="3128"/>
      <c r="F1" s="3128"/>
      <c r="G1" s="3128"/>
      <c r="H1" s="3128"/>
      <c r="I1" s="3129"/>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2911</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2912</v>
      </c>
      <c r="B3" s="2598"/>
      <c r="C3" s="2599" t="s">
        <v>2913</v>
      </c>
      <c r="D3" s="2598">
        <v>44222</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3058</v>
      </c>
      <c r="C8" s="2615"/>
      <c r="D8" s="3130" t="s">
        <v>2919</v>
      </c>
      <c r="E8" s="2616" t="s">
        <v>3059</v>
      </c>
      <c r="F8" s="2617"/>
      <c r="G8" s="2891"/>
      <c r="H8" s="2891"/>
      <c r="I8" s="2891"/>
      <c r="J8" s="2666"/>
      <c r="K8" s="2841"/>
      <c r="L8" s="2840"/>
      <c r="M8" s="2840"/>
      <c r="N8" s="2666"/>
      <c r="O8" s="2677"/>
      <c r="P8" s="2666"/>
      <c r="Q8" s="2666"/>
      <c r="R8" s="2666"/>
    </row>
    <row r="9" spans="1:28" ht="13.5" thickBot="1">
      <c r="A9" s="2618" t="s">
        <v>2920</v>
      </c>
      <c r="B9" s="2619" t="s">
        <v>3059</v>
      </c>
      <c r="C9" s="2620"/>
      <c r="D9" s="3131"/>
      <c r="E9" s="2619"/>
      <c r="F9" s="2621"/>
      <c r="G9" s="2893"/>
      <c r="H9" s="2893"/>
      <c r="I9" s="2893"/>
      <c r="J9" s="2666"/>
      <c r="K9" s="2843"/>
      <c r="L9" s="2840"/>
      <c r="M9" s="2840"/>
      <c r="N9" s="2666"/>
      <c r="O9" s="2677"/>
      <c r="P9" s="2666"/>
      <c r="Q9" s="2666"/>
      <c r="R9" s="2666"/>
    </row>
    <row r="10" spans="1:28" ht="13.5" thickTop="1">
      <c r="A10" s="2622" t="s">
        <v>2921</v>
      </c>
      <c r="B10" s="2623" t="s">
        <v>3060</v>
      </c>
      <c r="C10" s="2624"/>
      <c r="D10" s="2607"/>
      <c r="E10" s="2625" t="s">
        <v>2922</v>
      </c>
      <c r="F10" s="2894"/>
      <c r="G10" s="2895"/>
      <c r="H10" s="2896"/>
      <c r="I10" s="2897"/>
      <c r="J10" s="2666"/>
      <c r="K10" s="2843"/>
      <c r="L10" s="2840"/>
      <c r="M10" s="2840"/>
      <c r="N10" s="2666"/>
      <c r="O10" s="2677"/>
      <c r="P10" s="2666"/>
      <c r="Q10" s="2666"/>
      <c r="R10" s="2666"/>
    </row>
    <row r="11" spans="1:28">
      <c r="A11" s="2626" t="s">
        <v>2923</v>
      </c>
      <c r="B11" s="2627" t="s">
        <v>3061</v>
      </c>
      <c r="C11" s="2628"/>
      <c r="D11" s="2629"/>
      <c r="E11" s="2595"/>
      <c r="F11" s="2595"/>
      <c r="G11" s="2595"/>
      <c r="H11" s="2595"/>
      <c r="I11" s="2595"/>
      <c r="J11" s="2666"/>
      <c r="K11" s="2843"/>
      <c r="L11" s="2840"/>
      <c r="M11" s="2840"/>
      <c r="N11" s="2666"/>
      <c r="O11" s="2677"/>
      <c r="P11" s="2666"/>
      <c r="Q11" s="2666"/>
      <c r="R11" s="2666"/>
    </row>
    <row r="12" spans="1:28">
      <c r="A12" s="2630" t="s">
        <v>2924</v>
      </c>
      <c r="B12" s="2627" t="s">
        <v>3062</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0"/>
      <c r="B13" s="2632"/>
      <c r="C13" s="2633" t="s">
        <v>2932</v>
      </c>
      <c r="D13" s="965"/>
      <c r="E13" s="965"/>
      <c r="F13" s="965">
        <v>54798</v>
      </c>
      <c r="G13" s="965">
        <v>54798</v>
      </c>
      <c r="H13" s="965"/>
      <c r="I13" s="965"/>
      <c r="J13" s="2666"/>
      <c r="K13" s="2843"/>
      <c r="L13" s="2840"/>
      <c r="M13" s="2840"/>
      <c r="N13" s="2666"/>
      <c r="O13" s="2677"/>
      <c r="P13" s="2666"/>
      <c r="Q13" s="2666"/>
      <c r="R13" s="2666"/>
    </row>
    <row r="14" spans="1:28">
      <c r="A14" s="1240"/>
      <c r="B14" s="2632"/>
      <c r="C14" s="2633" t="s">
        <v>2933</v>
      </c>
      <c r="D14" s="2634"/>
      <c r="E14" s="2634"/>
      <c r="F14" s="2634">
        <v>50</v>
      </c>
      <c r="G14" s="2634">
        <v>50</v>
      </c>
      <c r="H14" s="2634"/>
      <c r="I14" s="2634"/>
      <c r="J14" s="2666"/>
      <c r="K14" s="2844"/>
      <c r="L14" s="2840"/>
      <c r="M14" s="2840"/>
      <c r="N14" s="2666"/>
      <c r="O14" s="2677"/>
      <c r="P14" s="2666"/>
      <c r="Q14" s="2666"/>
      <c r="R14" s="2666"/>
    </row>
    <row r="15" spans="1:28">
      <c r="A15" s="326"/>
      <c r="B15" s="2635"/>
      <c r="C15" s="2636" t="s">
        <v>2934</v>
      </c>
      <c r="D15" s="2637" t="str">
        <f>IF(B12="出让",IF(D13="","",ROUNDDOWN(MIN((D13-$D$3)/365,D14),2)),D14)</f>
        <v/>
      </c>
      <c r="E15" s="2637" t="str">
        <f>IF(B12="出让",IF(E13="","",ROUNDDOWN(MIN((E13-$D$3)/365,E14),2)),E14)</f>
        <v/>
      </c>
      <c r="F15" s="2637">
        <f>IF(B12="出让",IF(F13="","",ROUNDDOWN(MIN((F13-$D$3)/365,F14),2)),F14)</f>
        <v>28.97</v>
      </c>
      <c r="G15" s="2637">
        <f>IF(B12="出让",IF(G13="","",ROUNDDOWN(MIN((G13-$D$3)/365,G14),2)),G14)</f>
        <v>28.97</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2935</v>
      </c>
      <c r="B16" s="3137"/>
      <c r="C16" s="3138"/>
      <c r="D16" s="3139"/>
      <c r="E16" s="2640" t="s">
        <v>2936</v>
      </c>
      <c r="F16" s="3140"/>
      <c r="G16" s="3141"/>
      <c r="H16" s="3141"/>
      <c r="I16" s="3142"/>
      <c r="J16" s="2666"/>
      <c r="K16" s="2845"/>
      <c r="L16" s="2678"/>
      <c r="M16" s="2678"/>
      <c r="N16" s="2736"/>
      <c r="O16" s="2678"/>
      <c r="P16" s="2736"/>
      <c r="Q16" s="2666"/>
      <c r="R16" s="2666"/>
    </row>
    <row r="17" spans="1:28">
      <c r="A17" s="319" t="s">
        <v>2937</v>
      </c>
      <c r="B17" s="308" t="s">
        <v>2938</v>
      </c>
      <c r="C17" s="11">
        <f>'数据-汇总表'!E3</f>
        <v>240.41</v>
      </c>
      <c r="D17" s="2546" t="s">
        <v>2939</v>
      </c>
      <c r="E17" s="3143" t="s">
        <v>2940</v>
      </c>
      <c r="F17" s="3144"/>
      <c r="G17" s="3144"/>
      <c r="H17" s="3144"/>
      <c r="I17" s="3145"/>
      <c r="J17" s="2666"/>
      <c r="K17" s="2846"/>
      <c r="L17" s="2678"/>
      <c r="M17" s="2678"/>
      <c r="N17" s="2736"/>
      <c r="O17" s="2678"/>
      <c r="P17" s="2736"/>
      <c r="Q17" s="2666"/>
      <c r="R17" s="2666"/>
      <c r="S17" s="2666"/>
      <c r="T17" s="2666"/>
      <c r="U17" s="2666"/>
      <c r="V17" s="2666"/>
    </row>
    <row r="18" spans="1:28" ht="24.75" thickBot="1">
      <c r="A18" s="2641" t="s">
        <v>2941</v>
      </c>
      <c r="B18" s="1249" t="s">
        <v>2942</v>
      </c>
      <c r="C18" s="2642">
        <f>'数据-汇总表'!D3</f>
        <v>11.65</v>
      </c>
      <c r="D18" s="1251" t="s">
        <v>2943</v>
      </c>
      <c r="E18" s="3146" t="s">
        <v>2944</v>
      </c>
      <c r="F18" s="3147"/>
      <c r="G18" s="3147"/>
      <c r="H18" s="3147"/>
      <c r="I18" s="3148"/>
      <c r="J18" s="2666"/>
      <c r="K18" s="2846"/>
      <c r="L18" s="2678"/>
      <c r="M18" s="2678"/>
      <c r="N18" s="2736"/>
      <c r="O18" s="2678"/>
      <c r="P18" s="2736"/>
      <c r="Q18" s="2666"/>
      <c r="R18" s="2666"/>
      <c r="S18" s="2666"/>
      <c r="T18" s="2666"/>
      <c r="U18" s="2666"/>
      <c r="V18" s="2666"/>
    </row>
    <row r="19" spans="1:28" ht="37.5" thickTop="1" thickBot="1">
      <c r="A19" s="333" t="s">
        <v>1737</v>
      </c>
      <c r="B19" s="313" t="s">
        <v>2945</v>
      </c>
      <c r="C19" s="1749"/>
      <c r="D19" s="1750" t="s">
        <v>2946</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2947</v>
      </c>
      <c r="B20" s="3133" t="s">
        <v>2948</v>
      </c>
      <c r="C20" s="3134"/>
      <c r="D20" s="3135" t="s">
        <v>2949</v>
      </c>
      <c r="E20" s="3136"/>
      <c r="F20" s="2875" t="s">
        <v>1738</v>
      </c>
      <c r="G20" s="2892"/>
      <c r="H20" s="2892"/>
      <c r="I20" s="2892"/>
      <c r="J20" s="2666"/>
      <c r="K20" s="3132"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2951</v>
      </c>
      <c r="C21" s="2862" t="s">
        <v>1739</v>
      </c>
      <c r="D21" s="1754" t="s">
        <v>2952</v>
      </c>
      <c r="E21" s="2863" t="s">
        <v>1739</v>
      </c>
      <c r="F21" s="2876"/>
      <c r="G21" s="2892"/>
      <c r="H21" s="2892"/>
      <c r="I21" s="2892"/>
      <c r="J21" s="2666"/>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2953</v>
      </c>
      <c r="C22" s="2862" t="s">
        <v>1740</v>
      </c>
      <c r="D22" s="2891"/>
      <c r="E22" s="2891"/>
      <c r="F22" s="2891"/>
      <c r="G22" s="2892"/>
      <c r="H22" s="2892"/>
      <c r="I22" s="2892"/>
      <c r="J22" s="2666"/>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1741</v>
      </c>
      <c r="C24" s="2869"/>
      <c r="D24" s="2865" t="s">
        <v>1741</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1742</v>
      </c>
      <c r="C25" s="2869"/>
      <c r="D25" s="2865" t="s">
        <v>1742</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1743</v>
      </c>
      <c r="C26" s="2873"/>
      <c r="D26" s="2871" t="s">
        <v>1743</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0" t="s">
        <v>2956</v>
      </c>
      <c r="B27" s="326" t="s">
        <v>2957</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0"/>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0"/>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1"/>
      <c r="B30" s="308" t="s">
        <v>2960</v>
      </c>
      <c r="C30" s="3152"/>
      <c r="D30" s="3153"/>
      <c r="E30" s="2892"/>
      <c r="F30" s="2892"/>
      <c r="G30" s="2892"/>
      <c r="H30" s="2892"/>
      <c r="I30" s="2892"/>
      <c r="J30" s="2666"/>
      <c r="K30" s="2843"/>
      <c r="L30" s="2840"/>
      <c r="M30" s="2840"/>
      <c r="N30" s="2666"/>
      <c r="O30" s="2677"/>
      <c r="P30" s="2666"/>
      <c r="Q30" s="2666"/>
      <c r="R30" s="2666"/>
      <c r="S30" s="2666"/>
      <c r="T30" s="2666"/>
      <c r="U30" s="2666"/>
      <c r="V30" s="2666"/>
    </row>
    <row r="31" spans="1:28">
      <c r="A31" s="3154" t="s">
        <v>2961</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5"/>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5"/>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c r="C34" s="2215"/>
      <c r="D34" s="2215"/>
      <c r="E34" s="2215"/>
      <c r="F34" s="2215"/>
      <c r="G34" s="2215"/>
      <c r="H34" s="2215"/>
      <c r="I34" s="2892"/>
      <c r="J34" s="2666"/>
      <c r="K34" s="2654">
        <f>COUNTIF(B34:H34,"——")</f>
        <v>0</v>
      </c>
      <c r="L34" s="329" t="s">
        <v>2963</v>
      </c>
      <c r="M34" s="329" t="s">
        <v>2964</v>
      </c>
      <c r="N34" s="329" t="s">
        <v>2965</v>
      </c>
      <c r="O34" s="329" t="s">
        <v>2966</v>
      </c>
      <c r="P34" s="329" t="s">
        <v>2967</v>
      </c>
      <c r="Q34" s="329" t="s">
        <v>2968</v>
      </c>
      <c r="R34" s="329" t="s">
        <v>2969</v>
      </c>
      <c r="S34" s="3149" t="s">
        <v>2970</v>
      </c>
      <c r="T34" s="2655" t="str">
        <f>NUMBERSTRING(7-K34,1)&amp;"通"</f>
        <v>七通</v>
      </c>
      <c r="U34" s="2666"/>
      <c r="V34" s="2666"/>
    </row>
    <row r="35" spans="1:30">
      <c r="A35" s="2656"/>
      <c r="B35" s="3156" t="s">
        <v>2971</v>
      </c>
      <c r="C35" s="3156"/>
      <c r="D35" s="3156"/>
      <c r="E35" s="3156"/>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9"/>
      <c r="T35" s="335" t="str">
        <f>IF(T34="一通",L35,IF(T34="二通",M35,IF(T34="三通",N35,IF(T34="四通",O35,IF(T34="五通",P35,IF(T34="六通",Q35,R35))))))</f>
        <v>、、、、、、</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t="s">
        <v>269</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t="s">
        <v>353</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2975</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1744</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1745</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1746</v>
      </c>
      <c r="B2" s="11" t="s">
        <v>1747</v>
      </c>
      <c r="C2" s="11" t="s">
        <v>1748</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1749</v>
      </c>
      <c r="AZ2" s="1179" t="s">
        <v>1750</v>
      </c>
      <c r="BA2" s="11" t="s">
        <v>1751</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Sheet1!H18</f>
        <v>11.65</v>
      </c>
      <c r="B3" s="14">
        <f>IF(C3="否",G5-AT5,G5)</f>
        <v>240.41</v>
      </c>
      <c r="C3" s="1766" t="s">
        <v>1752</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1753</v>
      </c>
      <c r="B5" s="1532"/>
      <c r="C5" s="1532"/>
      <c r="D5" s="1534"/>
      <c r="E5" s="16" t="s">
        <v>1</v>
      </c>
      <c r="F5" s="16">
        <f>SUM(F13:F587)</f>
        <v>0</v>
      </c>
      <c r="G5" s="16">
        <f>SUM(G13:G587)</f>
        <v>240.41</v>
      </c>
      <c r="H5" s="16">
        <f t="shared" ref="H5:AT5" si="0">SUM(H13:H656)</f>
        <v>240.41</v>
      </c>
      <c r="I5" s="16">
        <f t="shared" si="0"/>
        <v>240.41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1753</v>
      </c>
      <c r="AW5" s="1532"/>
      <c r="AX5" s="1532"/>
      <c r="AY5" s="17" t="s">
        <v>3</v>
      </c>
      <c r="AZ5" s="18">
        <f t="shared" ref="AZ5:BT5" si="1">SUM(AZ13:AZ656)</f>
        <v>240.41</v>
      </c>
      <c r="BA5" s="18">
        <f t="shared" si="1"/>
        <v>240.41</v>
      </c>
      <c r="BB5" s="18">
        <f t="shared" si="1"/>
        <v>240.41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1754</v>
      </c>
      <c r="B6" s="1772"/>
      <c r="C6" s="1772"/>
      <c r="D6" s="1773"/>
      <c r="E6" s="16">
        <f>H6+AC6+AT6</f>
        <v>11.65</v>
      </c>
      <c r="F6" s="16" t="s">
        <v>1</v>
      </c>
      <c r="G6" s="16" t="s">
        <v>2</v>
      </c>
      <c r="H6" s="20">
        <f>SUMIF(I$12:AB$12,"总值",I6:AB6)</f>
        <v>11.65</v>
      </c>
      <c r="I6" s="16">
        <f t="shared" ref="I6:AB6" si="2">ROUND($A$3*I5/$B$3,2)</f>
        <v>11.65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1754</v>
      </c>
      <c r="AW6" s="1772"/>
      <c r="AX6" s="1772"/>
      <c r="AY6" s="21">
        <f>IF(AY3&gt;0,AY3,ROUND($A$3*AZ5/$B$3,2))</f>
        <v>11.65</v>
      </c>
      <c r="AZ6" s="16" t="s">
        <v>3</v>
      </c>
      <c r="BA6" s="16">
        <f>ROUND($AY$6*BA5/$AZ$5,2)</f>
        <v>11.65</v>
      </c>
      <c r="BB6" s="16">
        <f>ROUND($AY$6*BB5/$AZ$5,2)</f>
        <v>11.65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1755</v>
      </c>
      <c r="B7" s="1755" t="s">
        <v>1756</v>
      </c>
      <c r="C7" s="1755" t="s">
        <v>1757</v>
      </c>
      <c r="D7" s="1755" t="s">
        <v>1758</v>
      </c>
      <c r="E7" s="1755" t="s">
        <v>1759</v>
      </c>
      <c r="F7" s="1755" t="s">
        <v>1760</v>
      </c>
      <c r="G7" s="1776" t="s">
        <v>1761</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1762</v>
      </c>
      <c r="AV7" s="23" t="s">
        <v>1763</v>
      </c>
      <c r="AW7" s="1764" t="s">
        <v>1764</v>
      </c>
      <c r="AX7" s="23" t="s">
        <v>1757</v>
      </c>
      <c r="AY7" s="1532" t="s">
        <v>1765</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1766</v>
      </c>
      <c r="H8" s="1782" t="s">
        <v>1767</v>
      </c>
      <c r="I8" s="1783"/>
      <c r="J8" s="1545"/>
      <c r="K8" s="1545"/>
      <c r="L8" s="1545"/>
      <c r="M8" s="1545"/>
      <c r="N8" s="1545"/>
      <c r="O8" s="1545"/>
      <c r="P8" s="1545"/>
      <c r="Q8" s="1545"/>
      <c r="R8" s="1545"/>
      <c r="S8" s="1545"/>
      <c r="T8" s="1545"/>
      <c r="U8" s="1545"/>
      <c r="V8" s="1784"/>
      <c r="W8" s="1545"/>
      <c r="X8" s="1545"/>
      <c r="Y8" s="1545"/>
      <c r="Z8" s="1545"/>
      <c r="AA8" s="1784"/>
      <c r="AB8" s="1785"/>
      <c r="AC8" s="918" t="s">
        <v>1768</v>
      </c>
      <c r="AD8" s="1786"/>
      <c r="AE8" s="1778"/>
      <c r="AF8" s="1545"/>
      <c r="AG8" s="1545"/>
      <c r="AH8" s="1545"/>
      <c r="AI8" s="1545"/>
      <c r="AJ8" s="1545"/>
      <c r="AK8" s="1545"/>
      <c r="AL8" s="1545"/>
      <c r="AM8" s="1545"/>
      <c r="AN8" s="1545"/>
      <c r="AO8" s="1545"/>
      <c r="AP8" s="1545"/>
      <c r="AQ8" s="1545"/>
      <c r="AR8" s="1545"/>
      <c r="AS8" s="1545"/>
      <c r="AT8" s="1201" t="s">
        <v>1769</v>
      </c>
      <c r="AU8" s="1780" t="s">
        <v>1770</v>
      </c>
      <c r="AV8" s="1201"/>
      <c r="AW8" s="1763"/>
      <c r="AX8" s="1201"/>
      <c r="AY8" s="1764" t="s">
        <v>1771</v>
      </c>
      <c r="AZ8" s="1544" t="s">
        <v>1772</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1773</v>
      </c>
      <c r="I9" s="1789" t="s">
        <v>3203</v>
      </c>
      <c r="J9" s="918"/>
      <c r="K9" s="1789" t="s">
        <v>3205</v>
      </c>
      <c r="L9" s="918"/>
      <c r="M9" s="1789"/>
      <c r="N9" s="918"/>
      <c r="O9" s="1789"/>
      <c r="P9" s="918"/>
      <c r="Q9" s="1789"/>
      <c r="R9" s="918"/>
      <c r="S9" s="1789"/>
      <c r="T9" s="918"/>
      <c r="U9" s="1789"/>
      <c r="V9" s="918"/>
      <c r="W9" s="1789"/>
      <c r="X9" s="1790"/>
      <c r="Y9" s="1789"/>
      <c r="Z9" s="918"/>
      <c r="AA9" s="1789"/>
      <c r="AB9" s="918"/>
      <c r="AC9" s="1781" t="s">
        <v>1773</v>
      </c>
      <c r="AD9" s="15" t="s">
        <v>1774</v>
      </c>
      <c r="AE9" s="1207"/>
      <c r="AF9" s="15" t="s">
        <v>1775</v>
      </c>
      <c r="AG9" s="1207"/>
      <c r="AH9" s="15" t="s">
        <v>1774</v>
      </c>
      <c r="AI9" s="1207"/>
      <c r="AJ9" s="15" t="s">
        <v>1775</v>
      </c>
      <c r="AK9" s="1207"/>
      <c r="AL9" s="15" t="s">
        <v>1774</v>
      </c>
      <c r="AM9" s="1207"/>
      <c r="AN9" s="15" t="s">
        <v>1775</v>
      </c>
      <c r="AO9" s="1207"/>
      <c r="AP9" s="15" t="s">
        <v>1774</v>
      </c>
      <c r="AQ9" s="1207"/>
      <c r="AR9" s="15" t="s">
        <v>1775</v>
      </c>
      <c r="AS9" s="1791"/>
      <c r="AT9" s="1780"/>
      <c r="AU9" s="1780" t="s">
        <v>1776</v>
      </c>
      <c r="AV9" s="1201"/>
      <c r="AW9" s="1763"/>
      <c r="AX9" s="1201"/>
      <c r="AY9" s="28"/>
      <c r="AZ9" s="28" t="s">
        <v>1766</v>
      </c>
      <c r="BA9" s="1792" t="s">
        <v>1777</v>
      </c>
      <c r="BB9" s="1793"/>
      <c r="BC9" s="1247"/>
      <c r="BD9" s="1247"/>
      <c r="BE9" s="1247"/>
      <c r="BF9" s="1247"/>
      <c r="BG9" s="1247"/>
      <c r="BH9" s="1247"/>
      <c r="BI9" s="1247"/>
      <c r="BJ9" s="1247"/>
      <c r="BK9" s="1794"/>
      <c r="BL9" s="15" t="s">
        <v>1778</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8"/>
      <c r="K10" s="1795" t="s">
        <v>3210</v>
      </c>
      <c r="L10" s="918"/>
      <c r="M10" s="1795"/>
      <c r="N10" s="918"/>
      <c r="O10" s="1795"/>
      <c r="P10" s="918"/>
      <c r="Q10" s="1795"/>
      <c r="R10" s="918"/>
      <c r="S10" s="1795"/>
      <c r="T10" s="918"/>
      <c r="U10" s="1795"/>
      <c r="V10" s="918"/>
      <c r="W10" s="1795"/>
      <c r="X10" s="918"/>
      <c r="Y10" s="1795"/>
      <c r="Z10" s="918"/>
      <c r="AA10" s="1795"/>
      <c r="AB10" s="918"/>
      <c r="AC10" s="1201"/>
      <c r="AD10" s="15" t="s">
        <v>1779</v>
      </c>
      <c r="AE10" s="1796"/>
      <c r="AF10" s="15" t="s">
        <v>1779</v>
      </c>
      <c r="AG10" s="1796"/>
      <c r="AH10" s="15" t="s">
        <v>1780</v>
      </c>
      <c r="AI10" s="1796"/>
      <c r="AJ10" s="15" t="s">
        <v>1780</v>
      </c>
      <c r="AK10" s="1796"/>
      <c r="AL10" s="15" t="s">
        <v>1781</v>
      </c>
      <c r="AM10" s="1207"/>
      <c r="AN10" s="15" t="s">
        <v>1781</v>
      </c>
      <c r="AO10" s="1207"/>
      <c r="AP10" s="15" t="s">
        <v>1782</v>
      </c>
      <c r="AQ10" s="1207"/>
      <c r="AR10" s="15" t="s">
        <v>1782</v>
      </c>
      <c r="AS10" s="1207"/>
      <c r="AT10" s="1780"/>
      <c r="AU10" s="1780"/>
      <c r="AV10" s="1201"/>
      <c r="AW10" s="1763"/>
      <c r="AX10" s="1201"/>
      <c r="AY10" s="28"/>
      <c r="AZ10" s="28"/>
      <c r="BA10" s="1797" t="s">
        <v>1773</v>
      </c>
      <c r="BB10" s="1798" t="str">
        <f>I9</f>
        <v>地上</v>
      </c>
      <c r="BC10" s="29" t="str">
        <f>K9</f>
        <v>地下</v>
      </c>
      <c r="BD10" s="29">
        <f>M9</f>
        <v>0</v>
      </c>
      <c r="BE10" s="29">
        <f>O9</f>
        <v>0</v>
      </c>
      <c r="BF10" s="29">
        <f>Q9</f>
        <v>0</v>
      </c>
      <c r="BG10" s="29">
        <f>S9</f>
        <v>0</v>
      </c>
      <c r="BH10" s="29">
        <f>U9</f>
        <v>0</v>
      </c>
      <c r="BI10" s="29">
        <f>W9</f>
        <v>0</v>
      </c>
      <c r="BJ10" s="29">
        <f>Y9</f>
        <v>0</v>
      </c>
      <c r="BK10" s="29">
        <f>AA9</f>
        <v>0</v>
      </c>
      <c r="BL10" s="25" t="s">
        <v>1773</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1783</v>
      </c>
      <c r="AE11" s="1546"/>
      <c r="AF11" s="1802" t="s">
        <v>1783</v>
      </c>
      <c r="AG11" s="1546"/>
      <c r="AH11" s="1802" t="s">
        <v>1784</v>
      </c>
      <c r="AI11" s="1803"/>
      <c r="AJ11" s="1802" t="s">
        <v>1784</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车库—办公</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1" t="s">
        <v>1786</v>
      </c>
      <c r="W12" s="11" t="s">
        <v>1785</v>
      </c>
      <c r="X12" s="11" t="s">
        <v>1786</v>
      </c>
      <c r="Y12" s="11" t="s">
        <v>1785</v>
      </c>
      <c r="Z12" s="11" t="s">
        <v>1786</v>
      </c>
      <c r="AA12" s="11" t="s">
        <v>1785</v>
      </c>
      <c r="AB12" s="11" t="s">
        <v>1786</v>
      </c>
      <c r="AC12" s="1807"/>
      <c r="AD12" s="1534"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5" t="s">
        <v>1786</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c r="D13" s="1811" t="s">
        <v>3209</v>
      </c>
      <c r="E13" s="16">
        <f>IF($C$3="是",ROUND($A$3*G13/$B$3,2),ROUND($A$3*(G13-AT13)/$B$3,2))</f>
        <v>11.65</v>
      </c>
      <c r="F13" s="32"/>
      <c r="G13" s="33">
        <f>H13+AC13+AT13</f>
        <v>240.41</v>
      </c>
      <c r="H13" s="20">
        <f>SUMIF(I$12:AB$12,"总值",I13:AB13)</f>
        <v>240.41</v>
      </c>
      <c r="I13" s="1812">
        <f>Sheet1!G18</f>
        <v>240.41</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11.65</v>
      </c>
      <c r="AZ13" s="16">
        <f>BA13+BL13</f>
        <v>240.41</v>
      </c>
      <c r="BA13" s="16">
        <f>SUM(BB13:BK13)</f>
        <v>240.41</v>
      </c>
      <c r="BB13" s="16">
        <f>IF($D13="是",I13-J13,0)</f>
        <v>240.41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tabSelected="1" topLeftCell="E19" workbookViewId="0">
      <selection activeCell="G32" activeCellId="1" sqref="G24:G30 G32:G199"/>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6.25" thickBot="1">
      <c r="A1" s="3069" t="s">
        <v>3333</v>
      </c>
      <c r="B1" s="3082" t="s">
        <v>3334</v>
      </c>
      <c r="C1" s="3083" t="s">
        <v>3335</v>
      </c>
      <c r="D1" s="3083" t="s">
        <v>3336</v>
      </c>
      <c r="E1" s="3078" t="s">
        <v>3299</v>
      </c>
      <c r="F1" s="3078" t="s">
        <v>3340</v>
      </c>
      <c r="G1" s="3078" t="s">
        <v>3330</v>
      </c>
      <c r="H1" s="3078" t="s">
        <v>3331</v>
      </c>
      <c r="I1" s="3078" t="s">
        <v>3329</v>
      </c>
    </row>
    <row r="2" spans="1:13">
      <c r="A2">
        <v>1</v>
      </c>
      <c r="B2" s="3159" t="s">
        <v>3337</v>
      </c>
      <c r="C2" s="3159" t="s">
        <v>3338</v>
      </c>
      <c r="D2" s="3161" t="s">
        <v>3339</v>
      </c>
      <c r="E2" s="3079">
        <v>105</v>
      </c>
      <c r="F2" s="3079">
        <v>1</v>
      </c>
      <c r="G2" s="3079">
        <v>359.78</v>
      </c>
      <c r="H2" s="3079">
        <f t="shared" ref="H2:H33" si="0">ROUND(G2/$G$201*$L$6,2)</f>
        <v>17.440000000000001</v>
      </c>
      <c r="I2" s="3079">
        <f ca="1">典型户型修正!S25</f>
        <v>1671</v>
      </c>
    </row>
    <row r="3" spans="1:13">
      <c r="A3">
        <v>2</v>
      </c>
      <c r="B3" s="3160"/>
      <c r="C3" s="3160"/>
      <c r="D3" s="3162"/>
      <c r="E3" s="3079">
        <v>106</v>
      </c>
      <c r="F3" s="3079">
        <v>1</v>
      </c>
      <c r="G3" s="3079">
        <v>536.13</v>
      </c>
      <c r="H3" s="3079">
        <f t="shared" si="0"/>
        <v>25.98</v>
      </c>
      <c r="I3" s="3079">
        <f ca="1">典型户型修正!S26</f>
        <v>2441</v>
      </c>
      <c r="K3" s="3069" t="s">
        <v>3204</v>
      </c>
      <c r="L3">
        <f>SUM(G2:G23)</f>
        <v>13228.490000000002</v>
      </c>
    </row>
    <row r="4" spans="1:13">
      <c r="A4">
        <v>3</v>
      </c>
      <c r="B4" s="3160"/>
      <c r="C4" s="3160"/>
      <c r="D4" s="3162"/>
      <c r="E4" s="3079">
        <v>107</v>
      </c>
      <c r="F4" s="3079">
        <v>1</v>
      </c>
      <c r="G4" s="3079">
        <v>648.16</v>
      </c>
      <c r="H4" s="3079">
        <f t="shared" si="0"/>
        <v>31.41</v>
      </c>
      <c r="I4" s="3079">
        <f ca="1">典型户型修正!S27</f>
        <v>2951</v>
      </c>
      <c r="K4" s="3069" t="s">
        <v>3206</v>
      </c>
      <c r="L4">
        <f>SUM(G24:G200)</f>
        <v>15214.279999999995</v>
      </c>
    </row>
    <row r="5" spans="1:13">
      <c r="A5">
        <v>4</v>
      </c>
      <c r="B5" s="3160"/>
      <c r="C5" s="3160"/>
      <c r="D5" s="3162"/>
      <c r="E5" s="3080" t="s">
        <v>3193</v>
      </c>
      <c r="F5" s="3080">
        <v>3</v>
      </c>
      <c r="G5" s="3079">
        <v>683.76</v>
      </c>
      <c r="H5" s="3079">
        <f t="shared" si="0"/>
        <v>33.14</v>
      </c>
      <c r="I5" s="3079">
        <f ca="1">典型户型修正!S28</f>
        <v>3113</v>
      </c>
      <c r="K5" s="3069" t="s">
        <v>3207</v>
      </c>
      <c r="L5">
        <f>SUM(L3:L4)</f>
        <v>28442.769999999997</v>
      </c>
    </row>
    <row r="6" spans="1:13">
      <c r="A6">
        <v>5</v>
      </c>
      <c r="B6" s="3160"/>
      <c r="C6" s="3160"/>
      <c r="D6" s="3162"/>
      <c r="E6" s="3080" t="s">
        <v>3194</v>
      </c>
      <c r="F6" s="3080">
        <v>3</v>
      </c>
      <c r="G6" s="3079">
        <v>189.28</v>
      </c>
      <c r="H6" s="3079">
        <f t="shared" si="0"/>
        <v>9.17</v>
      </c>
      <c r="I6" s="3079">
        <f ca="1">典型户型修正!S29</f>
        <v>862</v>
      </c>
      <c r="K6" s="3069" t="s">
        <v>3208</v>
      </c>
      <c r="L6">
        <f>ROUND(L5/210005.46*10177.32,2)</f>
        <v>1378.4</v>
      </c>
    </row>
    <row r="7" spans="1:13">
      <c r="A7">
        <v>6</v>
      </c>
      <c r="B7" s="3160"/>
      <c r="C7" s="3160"/>
      <c r="D7" s="3162"/>
      <c r="E7" s="3080" t="s">
        <v>3195</v>
      </c>
      <c r="F7" s="3080">
        <v>3</v>
      </c>
      <c r="G7" s="3079">
        <v>189.28</v>
      </c>
      <c r="H7" s="3079">
        <f t="shared" si="0"/>
        <v>9.17</v>
      </c>
      <c r="I7" s="3079">
        <f ca="1">典型户型修正!S30</f>
        <v>862</v>
      </c>
    </row>
    <row r="8" spans="1:13">
      <c r="A8">
        <v>7</v>
      </c>
      <c r="B8" s="3160"/>
      <c r="C8" s="3160"/>
      <c r="D8" s="3162"/>
      <c r="E8" s="3080" t="s">
        <v>3196</v>
      </c>
      <c r="F8" s="3080">
        <v>3</v>
      </c>
      <c r="G8" s="3079">
        <v>540.91999999999996</v>
      </c>
      <c r="H8" s="3079">
        <f t="shared" si="0"/>
        <v>26.21</v>
      </c>
      <c r="I8" s="3079">
        <f ca="1">典型户型修正!S31</f>
        <v>2463</v>
      </c>
    </row>
    <row r="9" spans="1:13">
      <c r="A9">
        <v>8</v>
      </c>
      <c r="B9" s="3160"/>
      <c r="C9" s="3160"/>
      <c r="D9" s="3162"/>
      <c r="E9" s="3080" t="s">
        <v>3197</v>
      </c>
      <c r="F9" s="3080">
        <v>3</v>
      </c>
      <c r="G9" s="3079">
        <v>564.35</v>
      </c>
      <c r="H9" s="3079">
        <f t="shared" si="0"/>
        <v>27.35</v>
      </c>
      <c r="I9" s="3079">
        <f ca="1">典型户型修正!S32</f>
        <v>2569</v>
      </c>
      <c r="L9" s="3069">
        <f>210005.46/10177.32</f>
        <v>20.634652344625106</v>
      </c>
    </row>
    <row r="10" spans="1:13">
      <c r="A10">
        <v>9</v>
      </c>
      <c r="B10" s="3160"/>
      <c r="C10" s="3160"/>
      <c r="D10" s="3162"/>
      <c r="E10" s="3080" t="s">
        <v>3198</v>
      </c>
      <c r="F10" s="3080">
        <v>3</v>
      </c>
      <c r="G10" s="3079">
        <v>189.28</v>
      </c>
      <c r="H10" s="3079">
        <f t="shared" si="0"/>
        <v>9.17</v>
      </c>
      <c r="I10" s="3079">
        <f ca="1">典型户型修正!S33</f>
        <v>862</v>
      </c>
    </row>
    <row r="11" spans="1:13">
      <c r="A11">
        <v>10</v>
      </c>
      <c r="B11" s="3160"/>
      <c r="C11" s="3160"/>
      <c r="D11" s="3162"/>
      <c r="E11" s="3080" t="s">
        <v>3199</v>
      </c>
      <c r="F11" s="3080">
        <v>3</v>
      </c>
      <c r="G11" s="3079">
        <v>440.53</v>
      </c>
      <c r="H11" s="3079">
        <f t="shared" si="0"/>
        <v>21.35</v>
      </c>
      <c r="I11" s="3079">
        <f ca="1">典型户型修正!S34</f>
        <v>2046</v>
      </c>
    </row>
    <row r="12" spans="1:13">
      <c r="A12">
        <v>11</v>
      </c>
      <c r="B12" s="3160"/>
      <c r="C12" s="3160"/>
      <c r="D12" s="3162"/>
      <c r="E12" s="3080" t="s">
        <v>3200</v>
      </c>
      <c r="F12" s="3080">
        <v>3</v>
      </c>
      <c r="G12" s="3079">
        <v>432.37</v>
      </c>
      <c r="H12" s="3079">
        <f t="shared" si="0"/>
        <v>20.95</v>
      </c>
      <c r="I12" s="3079">
        <f ca="1">典型户型修正!S35</f>
        <v>2009</v>
      </c>
    </row>
    <row r="13" spans="1:13">
      <c r="A13">
        <v>12</v>
      </c>
      <c r="B13" s="3160"/>
      <c r="C13" s="3160"/>
      <c r="D13" s="3162"/>
      <c r="E13" s="3080" t="s">
        <v>3247</v>
      </c>
      <c r="F13" s="3080">
        <v>19</v>
      </c>
      <c r="G13" s="3079">
        <v>189.28</v>
      </c>
      <c r="H13" s="3079">
        <f t="shared" si="0"/>
        <v>9.17</v>
      </c>
      <c r="I13" s="3079">
        <f ca="1">典型户型修正!S36</f>
        <v>952</v>
      </c>
    </row>
    <row r="14" spans="1:13">
      <c r="A14">
        <v>13</v>
      </c>
      <c r="B14" s="3160"/>
      <c r="C14" s="3160"/>
      <c r="D14" s="3162"/>
      <c r="E14" s="3080" t="s">
        <v>3248</v>
      </c>
      <c r="F14" s="3080">
        <v>29</v>
      </c>
      <c r="G14" s="3079">
        <v>440.11</v>
      </c>
      <c r="H14" s="3079">
        <f t="shared" si="0"/>
        <v>21.33</v>
      </c>
      <c r="I14" s="3079">
        <f ca="1">典型户型修正!S37</f>
        <v>2260</v>
      </c>
    </row>
    <row r="15" spans="1:13">
      <c r="A15">
        <v>14</v>
      </c>
      <c r="B15" s="3160"/>
      <c r="C15" s="3160"/>
      <c r="D15" s="3162"/>
      <c r="E15" s="3080" t="s">
        <v>3249</v>
      </c>
      <c r="F15" s="3080">
        <v>29</v>
      </c>
      <c r="G15" s="3079">
        <v>372.35</v>
      </c>
      <c r="H15" s="3079">
        <f t="shared" si="0"/>
        <v>18.04</v>
      </c>
      <c r="I15" s="3079">
        <f ca="1">典型户型修正!S38</f>
        <v>1912</v>
      </c>
    </row>
    <row r="16" spans="1:13">
      <c r="A16">
        <v>15</v>
      </c>
      <c r="B16" s="3160"/>
      <c r="C16" s="3160"/>
      <c r="D16" s="3162"/>
      <c r="E16" s="3080" t="s">
        <v>3245</v>
      </c>
      <c r="F16" s="3080">
        <v>31</v>
      </c>
      <c r="G16" s="3079">
        <v>1442.97</v>
      </c>
      <c r="H16" s="3079">
        <f t="shared" si="0"/>
        <v>69.930000000000007</v>
      </c>
      <c r="I16" s="3079">
        <f ca="1">典型户型修正!S39</f>
        <v>7112</v>
      </c>
      <c r="K16" s="3069" t="s">
        <v>3310</v>
      </c>
      <c r="L16">
        <f>SUM(G2:G23)</f>
        <v>13228.490000000002</v>
      </c>
      <c r="M16">
        <f>SUM(H2:H23)</f>
        <v>641.06000000000006</v>
      </c>
    </row>
    <row r="17" spans="1:9">
      <c r="A17">
        <v>16</v>
      </c>
      <c r="B17" s="3160"/>
      <c r="C17" s="3160"/>
      <c r="D17" s="3162"/>
      <c r="E17" s="3080" t="s">
        <v>3246</v>
      </c>
      <c r="F17" s="3080">
        <v>31</v>
      </c>
      <c r="G17" s="3079">
        <v>1424.65</v>
      </c>
      <c r="H17" s="3079">
        <f t="shared" si="0"/>
        <v>69.040000000000006</v>
      </c>
      <c r="I17" s="3079">
        <f ca="1">典型户型修正!S40</f>
        <v>7022</v>
      </c>
    </row>
    <row r="18" spans="1:9">
      <c r="A18">
        <v>17</v>
      </c>
      <c r="B18" s="3160"/>
      <c r="C18" s="3160"/>
      <c r="D18" s="3162"/>
      <c r="E18" s="3080" t="s">
        <v>3250</v>
      </c>
      <c r="F18" s="3080">
        <v>10</v>
      </c>
      <c r="G18" s="3079">
        <v>240.41</v>
      </c>
      <c r="H18" s="3079">
        <f t="shared" si="0"/>
        <v>11.65</v>
      </c>
      <c r="I18" s="3079">
        <f ca="1">典型户型修正!S24</f>
        <v>1176</v>
      </c>
    </row>
    <row r="19" spans="1:9">
      <c r="A19">
        <v>18</v>
      </c>
      <c r="B19" s="3160"/>
      <c r="C19" s="3160"/>
      <c r="D19" s="3162"/>
      <c r="E19" s="3080" t="s">
        <v>3251</v>
      </c>
      <c r="F19" s="3080">
        <v>10</v>
      </c>
      <c r="G19" s="3079">
        <v>198.69</v>
      </c>
      <c r="H19" s="3079">
        <f t="shared" si="0"/>
        <v>9.6300000000000008</v>
      </c>
      <c r="I19" s="3079">
        <f ca="1">典型户型修正!S42</f>
        <v>952</v>
      </c>
    </row>
    <row r="20" spans="1:9">
      <c r="A20">
        <v>19</v>
      </c>
      <c r="B20" s="3160"/>
      <c r="C20" s="3160"/>
      <c r="D20" s="3162"/>
      <c r="E20" s="3080" t="s">
        <v>3252</v>
      </c>
      <c r="F20" s="3080">
        <v>10</v>
      </c>
      <c r="G20" s="3079">
        <v>564.69000000000005</v>
      </c>
      <c r="H20" s="3079">
        <f t="shared" si="0"/>
        <v>27.37</v>
      </c>
      <c r="I20" s="3079">
        <f ca="1">典型户型修正!S43</f>
        <v>2706</v>
      </c>
    </row>
    <row r="21" spans="1:9">
      <c r="A21">
        <v>20</v>
      </c>
      <c r="B21" s="3160"/>
      <c r="C21" s="3160"/>
      <c r="D21" s="3162"/>
      <c r="E21" s="3080" t="s">
        <v>3253</v>
      </c>
      <c r="F21" s="3080">
        <v>10</v>
      </c>
      <c r="G21" s="3079">
        <v>589.16</v>
      </c>
      <c r="H21" s="3079">
        <f t="shared" si="0"/>
        <v>28.55</v>
      </c>
      <c r="I21" s="3079">
        <f ca="1">典型户型修正!S44</f>
        <v>2823</v>
      </c>
    </row>
    <row r="22" spans="1:9">
      <c r="A22">
        <v>21</v>
      </c>
      <c r="B22" s="3160"/>
      <c r="C22" s="3160"/>
      <c r="D22" s="3162"/>
      <c r="E22" s="3080" t="s">
        <v>3243</v>
      </c>
      <c r="F22" s="3080">
        <v>31</v>
      </c>
      <c r="G22" s="3079">
        <v>1504.53</v>
      </c>
      <c r="H22" s="3079">
        <f t="shared" si="0"/>
        <v>72.91</v>
      </c>
      <c r="I22" s="3079">
        <f ca="1">典型户型修正!S45</f>
        <v>7416</v>
      </c>
    </row>
    <row r="23" spans="1:9">
      <c r="A23">
        <v>22</v>
      </c>
      <c r="B23" s="3160"/>
      <c r="C23" s="3160"/>
      <c r="D23" s="3162"/>
      <c r="E23" s="3080" t="s">
        <v>3244</v>
      </c>
      <c r="F23" s="3080">
        <v>31</v>
      </c>
      <c r="G23" s="3079">
        <v>1487.81</v>
      </c>
      <c r="H23" s="3079">
        <f t="shared" si="0"/>
        <v>72.099999999999994</v>
      </c>
      <c r="I23" s="3079">
        <f ca="1">典型户型修正!S46</f>
        <v>7333</v>
      </c>
    </row>
    <row r="24" spans="1:9">
      <c r="A24">
        <v>23</v>
      </c>
      <c r="B24" s="3160"/>
      <c r="C24" s="3160"/>
      <c r="D24" s="3162"/>
      <c r="E24" s="3080" t="s">
        <v>3254</v>
      </c>
      <c r="F24" s="3080" t="s">
        <v>3342</v>
      </c>
      <c r="G24" s="3079">
        <v>45.34</v>
      </c>
      <c r="H24" s="3079">
        <f t="shared" si="0"/>
        <v>2.2000000000000002</v>
      </c>
      <c r="I24" s="3079">
        <f>[1]典型户型修正!S24</f>
        <v>46</v>
      </c>
    </row>
    <row r="25" spans="1:9">
      <c r="A25">
        <v>24</v>
      </c>
      <c r="B25" s="3160"/>
      <c r="C25" s="3160"/>
      <c r="D25" s="3162"/>
      <c r="E25" s="3080" t="s">
        <v>3255</v>
      </c>
      <c r="F25" s="3080" t="s">
        <v>3342</v>
      </c>
      <c r="G25" s="3079">
        <v>43.45</v>
      </c>
      <c r="H25" s="3079">
        <f t="shared" si="0"/>
        <v>2.11</v>
      </c>
      <c r="I25" s="3079">
        <f>[1]典型户型修正!S25</f>
        <v>44</v>
      </c>
    </row>
    <row r="26" spans="1:9">
      <c r="A26">
        <v>25</v>
      </c>
      <c r="B26" s="3160"/>
      <c r="C26" s="3160"/>
      <c r="D26" s="3162"/>
      <c r="E26" s="3080" t="s">
        <v>3256</v>
      </c>
      <c r="F26" s="3080" t="s">
        <v>3341</v>
      </c>
      <c r="G26" s="3079">
        <v>45.34</v>
      </c>
      <c r="H26" s="3079">
        <f t="shared" si="0"/>
        <v>2.2000000000000002</v>
      </c>
      <c r="I26" s="3079">
        <f>[1]典型户型修正!S26</f>
        <v>46</v>
      </c>
    </row>
    <row r="27" spans="1:9">
      <c r="A27">
        <v>26</v>
      </c>
      <c r="B27" s="3160"/>
      <c r="C27" s="3160"/>
      <c r="D27" s="3162"/>
      <c r="E27" s="3080" t="s">
        <v>3257</v>
      </c>
      <c r="F27" s="3080" t="s">
        <v>3341</v>
      </c>
      <c r="G27" s="3079">
        <v>45.34</v>
      </c>
      <c r="H27" s="3079">
        <f t="shared" si="0"/>
        <v>2.2000000000000002</v>
      </c>
      <c r="I27" s="3079">
        <f>[1]典型户型修正!S27</f>
        <v>46</v>
      </c>
    </row>
    <row r="28" spans="1:9">
      <c r="A28">
        <v>27</v>
      </c>
      <c r="B28" s="3160"/>
      <c r="C28" s="3160"/>
      <c r="D28" s="3162"/>
      <c r="E28" s="3080" t="s">
        <v>3258</v>
      </c>
      <c r="F28" s="3080" t="s">
        <v>3341</v>
      </c>
      <c r="G28" s="3079">
        <v>43.45</v>
      </c>
      <c r="H28" s="3079">
        <f t="shared" si="0"/>
        <v>2.11</v>
      </c>
      <c r="I28" s="3079">
        <f>[1]典型户型修正!S28</f>
        <v>44</v>
      </c>
    </row>
    <row r="29" spans="1:9">
      <c r="A29">
        <v>28</v>
      </c>
      <c r="B29" s="3160"/>
      <c r="C29" s="3160"/>
      <c r="D29" s="3162"/>
      <c r="E29" s="3080" t="s">
        <v>3259</v>
      </c>
      <c r="F29" s="3080" t="s">
        <v>3341</v>
      </c>
      <c r="G29" s="3079">
        <v>45.34</v>
      </c>
      <c r="H29" s="3079">
        <f t="shared" si="0"/>
        <v>2.2000000000000002</v>
      </c>
      <c r="I29" s="3079">
        <f>[1]典型户型修正!S29</f>
        <v>46</v>
      </c>
    </row>
    <row r="30" spans="1:9">
      <c r="A30">
        <v>29</v>
      </c>
      <c r="B30" s="3160"/>
      <c r="C30" s="3160"/>
      <c r="D30" s="3162"/>
      <c r="E30" s="3080" t="s">
        <v>3260</v>
      </c>
      <c r="F30" s="3080" t="s">
        <v>3341</v>
      </c>
      <c r="G30" s="3079">
        <v>47.23</v>
      </c>
      <c r="H30" s="3079">
        <f t="shared" si="0"/>
        <v>2.29</v>
      </c>
      <c r="I30" s="3079">
        <f>[1]典型户型修正!S30</f>
        <v>48</v>
      </c>
    </row>
    <row r="31" spans="1:9">
      <c r="A31">
        <v>30</v>
      </c>
      <c r="B31" s="3160"/>
      <c r="C31" s="3160"/>
      <c r="D31" s="3162"/>
      <c r="E31" s="3080" t="s">
        <v>3297</v>
      </c>
      <c r="F31" s="3080" t="s">
        <v>3341</v>
      </c>
      <c r="G31" s="3079">
        <v>2677.11</v>
      </c>
      <c r="H31" s="3079">
        <f t="shared" si="0"/>
        <v>129.74</v>
      </c>
      <c r="I31" s="3079">
        <f>系统读取表!D17</f>
        <v>1033</v>
      </c>
    </row>
    <row r="32" spans="1:9">
      <c r="A32">
        <v>31</v>
      </c>
      <c r="B32" s="3160"/>
      <c r="C32" s="3160"/>
      <c r="D32" s="3162"/>
      <c r="E32" s="3080" t="s">
        <v>3261</v>
      </c>
      <c r="F32" s="3080" t="s">
        <v>3341</v>
      </c>
      <c r="G32" s="3079">
        <v>47.23</v>
      </c>
      <c r="H32" s="3079">
        <f t="shared" si="0"/>
        <v>2.29</v>
      </c>
      <c r="I32" s="3079">
        <f>[1]典型户型修正!S32</f>
        <v>48</v>
      </c>
    </row>
    <row r="33" spans="1:9">
      <c r="A33">
        <v>32</v>
      </c>
      <c r="B33" s="3160"/>
      <c r="C33" s="3160"/>
      <c r="D33" s="3162"/>
      <c r="E33" s="3080" t="s">
        <v>3262</v>
      </c>
      <c r="F33" s="3080" t="s">
        <v>3341</v>
      </c>
      <c r="G33" s="3079">
        <v>46.21</v>
      </c>
      <c r="H33" s="3079">
        <f t="shared" si="0"/>
        <v>2.2400000000000002</v>
      </c>
      <c r="I33" s="3079">
        <f>[1]典型户型修正!S33</f>
        <v>47</v>
      </c>
    </row>
    <row r="34" spans="1:9">
      <c r="A34">
        <v>33</v>
      </c>
      <c r="B34" s="3160"/>
      <c r="C34" s="3160"/>
      <c r="D34" s="3162"/>
      <c r="E34" s="3080" t="s">
        <v>3263</v>
      </c>
      <c r="F34" s="3080" t="s">
        <v>3341</v>
      </c>
      <c r="G34" s="3079">
        <v>45.38</v>
      </c>
      <c r="H34" s="3079">
        <f t="shared" ref="H34:H65" si="1">ROUND(G34/$G$201*$L$6,2)</f>
        <v>2.2000000000000002</v>
      </c>
      <c r="I34" s="3079">
        <f>[1]典型户型修正!S34</f>
        <v>46</v>
      </c>
    </row>
    <row r="35" spans="1:9">
      <c r="A35">
        <v>34</v>
      </c>
      <c r="B35" s="3160"/>
      <c r="C35" s="3160"/>
      <c r="D35" s="3162"/>
      <c r="E35" s="3080" t="s">
        <v>3264</v>
      </c>
      <c r="F35" s="3080" t="s">
        <v>3341</v>
      </c>
      <c r="G35" s="3079">
        <v>49.87</v>
      </c>
      <c r="H35" s="3079">
        <f t="shared" si="1"/>
        <v>2.42</v>
      </c>
      <c r="I35" s="3079">
        <f>[1]典型户型修正!S35</f>
        <v>50</v>
      </c>
    </row>
    <row r="36" spans="1:9">
      <c r="A36">
        <v>35</v>
      </c>
      <c r="B36" s="3160"/>
      <c r="C36" s="3160"/>
      <c r="D36" s="3162"/>
      <c r="E36" s="3080" t="s">
        <v>3265</v>
      </c>
      <c r="F36" s="3080" t="s">
        <v>3341</v>
      </c>
      <c r="G36" s="3079">
        <v>47.23</v>
      </c>
      <c r="H36" s="3079">
        <f t="shared" si="1"/>
        <v>2.29</v>
      </c>
      <c r="I36" s="3079">
        <f>[1]典型户型修正!S36</f>
        <v>48</v>
      </c>
    </row>
    <row r="37" spans="1:9">
      <c r="A37">
        <v>36</v>
      </c>
      <c r="B37" s="3160"/>
      <c r="C37" s="3160"/>
      <c r="D37" s="3162"/>
      <c r="E37" s="3080" t="s">
        <v>3266</v>
      </c>
      <c r="F37" s="3080" t="s">
        <v>3341</v>
      </c>
      <c r="G37" s="3079">
        <v>45.34</v>
      </c>
      <c r="H37" s="3079">
        <f t="shared" si="1"/>
        <v>2.2000000000000002</v>
      </c>
      <c r="I37" s="3079">
        <f>[1]典型户型修正!S37</f>
        <v>46</v>
      </c>
    </row>
    <row r="38" spans="1:9">
      <c r="A38">
        <v>37</v>
      </c>
      <c r="B38" s="3160"/>
      <c r="C38" s="3160"/>
      <c r="D38" s="3162"/>
      <c r="E38" s="3080" t="s">
        <v>3267</v>
      </c>
      <c r="F38" s="3080" t="s">
        <v>3341</v>
      </c>
      <c r="G38" s="3079">
        <v>43.45</v>
      </c>
      <c r="H38" s="3079">
        <f t="shared" si="1"/>
        <v>2.11</v>
      </c>
      <c r="I38" s="3079">
        <f>[1]典型户型修正!S38</f>
        <v>44</v>
      </c>
    </row>
    <row r="39" spans="1:9">
      <c r="A39">
        <v>38</v>
      </c>
      <c r="B39" s="3160"/>
      <c r="C39" s="3160"/>
      <c r="D39" s="3162"/>
      <c r="E39" s="3080" t="s">
        <v>3268</v>
      </c>
      <c r="F39" s="3080" t="s">
        <v>3341</v>
      </c>
      <c r="G39" s="3079">
        <v>45.34</v>
      </c>
      <c r="H39" s="3079">
        <f t="shared" si="1"/>
        <v>2.2000000000000002</v>
      </c>
      <c r="I39" s="3079">
        <f>[1]典型户型修正!S39</f>
        <v>46</v>
      </c>
    </row>
    <row r="40" spans="1:9">
      <c r="A40">
        <v>39</v>
      </c>
      <c r="B40" s="3160"/>
      <c r="C40" s="3160"/>
      <c r="D40" s="3162"/>
      <c r="E40" s="3080" t="s">
        <v>3269</v>
      </c>
      <c r="F40" s="3080" t="s">
        <v>3341</v>
      </c>
      <c r="G40" s="3079">
        <v>44.21</v>
      </c>
      <c r="H40" s="3079">
        <f t="shared" si="1"/>
        <v>2.14</v>
      </c>
      <c r="I40" s="3079">
        <f>[1]典型户型修正!S40</f>
        <v>45</v>
      </c>
    </row>
    <row r="41" spans="1:9">
      <c r="A41">
        <v>40</v>
      </c>
      <c r="B41" s="3160"/>
      <c r="C41" s="3160"/>
      <c r="D41" s="3162"/>
      <c r="E41" s="3080" t="s">
        <v>3270</v>
      </c>
      <c r="F41" s="3080" t="s">
        <v>3341</v>
      </c>
      <c r="G41" s="3079">
        <v>44.21</v>
      </c>
      <c r="H41" s="3079">
        <f t="shared" si="1"/>
        <v>2.14</v>
      </c>
      <c r="I41" s="3079">
        <f>[1]典型户型修正!S41</f>
        <v>45</v>
      </c>
    </row>
    <row r="42" spans="1:9">
      <c r="A42">
        <v>41</v>
      </c>
      <c r="B42" s="3160"/>
      <c r="C42" s="3160"/>
      <c r="D42" s="3162"/>
      <c r="E42" s="3080" t="s">
        <v>3271</v>
      </c>
      <c r="F42" s="3080" t="s">
        <v>3341</v>
      </c>
      <c r="G42" s="3079">
        <v>45.72</v>
      </c>
      <c r="H42" s="3079">
        <f t="shared" si="1"/>
        <v>2.2200000000000002</v>
      </c>
      <c r="I42" s="3079">
        <f>[1]典型户型修正!S42</f>
        <v>46</v>
      </c>
    </row>
    <row r="43" spans="1:9">
      <c r="A43">
        <v>42</v>
      </c>
      <c r="B43" s="3160"/>
      <c r="C43" s="3160"/>
      <c r="D43" s="3162"/>
      <c r="E43" s="3080" t="s">
        <v>3272</v>
      </c>
      <c r="F43" s="3080" t="s">
        <v>3341</v>
      </c>
      <c r="G43" s="3079">
        <v>46.21</v>
      </c>
      <c r="H43" s="3079">
        <f t="shared" si="1"/>
        <v>2.2400000000000002</v>
      </c>
      <c r="I43" s="3079">
        <f>[1]典型户型修正!S43</f>
        <v>47</v>
      </c>
    </row>
    <row r="44" spans="1:9">
      <c r="A44">
        <v>43</v>
      </c>
      <c r="B44" s="3160"/>
      <c r="C44" s="3160"/>
      <c r="D44" s="3162"/>
      <c r="E44" s="3080" t="s">
        <v>3273</v>
      </c>
      <c r="F44" s="3080" t="s">
        <v>3341</v>
      </c>
      <c r="G44" s="3079">
        <v>45.34</v>
      </c>
      <c r="H44" s="3079">
        <f t="shared" si="1"/>
        <v>2.2000000000000002</v>
      </c>
      <c r="I44" s="3079">
        <f>[1]典型户型修正!S44</f>
        <v>46</v>
      </c>
    </row>
    <row r="45" spans="1:9">
      <c r="A45">
        <v>44</v>
      </c>
      <c r="B45" s="3160"/>
      <c r="C45" s="3160"/>
      <c r="D45" s="3162"/>
      <c r="E45" s="3080" t="s">
        <v>3274</v>
      </c>
      <c r="F45" s="3080" t="s">
        <v>3341</v>
      </c>
      <c r="G45" s="3079">
        <v>45.34</v>
      </c>
      <c r="H45" s="3079">
        <f t="shared" si="1"/>
        <v>2.2000000000000002</v>
      </c>
      <c r="I45" s="3079">
        <f>[1]典型户型修正!S45</f>
        <v>46</v>
      </c>
    </row>
    <row r="46" spans="1:9">
      <c r="A46">
        <v>45</v>
      </c>
      <c r="B46" s="3160"/>
      <c r="C46" s="3160"/>
      <c r="D46" s="3162"/>
      <c r="E46" s="3080" t="s">
        <v>3275</v>
      </c>
      <c r="F46" s="3080" t="s">
        <v>3341</v>
      </c>
      <c r="G46" s="3079">
        <v>44.21</v>
      </c>
      <c r="H46" s="3079">
        <f t="shared" si="1"/>
        <v>2.14</v>
      </c>
      <c r="I46" s="3079">
        <f>[1]典型户型修正!S46</f>
        <v>45</v>
      </c>
    </row>
    <row r="47" spans="1:9">
      <c r="A47">
        <v>46</v>
      </c>
      <c r="B47" s="3160"/>
      <c r="C47" s="3160"/>
      <c r="D47" s="3162"/>
      <c r="E47" s="3080" t="s">
        <v>3276</v>
      </c>
      <c r="F47" s="3080" t="s">
        <v>3341</v>
      </c>
      <c r="G47" s="3079">
        <v>44.21</v>
      </c>
      <c r="H47" s="3079">
        <f t="shared" si="1"/>
        <v>2.14</v>
      </c>
      <c r="I47" s="3079">
        <f>[1]典型户型修正!S47</f>
        <v>45</v>
      </c>
    </row>
    <row r="48" spans="1:9">
      <c r="A48">
        <v>47</v>
      </c>
      <c r="B48" s="3160"/>
      <c r="C48" s="3160"/>
      <c r="D48" s="3162"/>
      <c r="E48" s="3080" t="s">
        <v>3277</v>
      </c>
      <c r="F48" s="3080" t="s">
        <v>3341</v>
      </c>
      <c r="G48" s="3079">
        <v>45.72</v>
      </c>
      <c r="H48" s="3079">
        <f t="shared" si="1"/>
        <v>2.2200000000000002</v>
      </c>
      <c r="I48" s="3079">
        <f>[1]典型户型修正!S48</f>
        <v>46</v>
      </c>
    </row>
    <row r="49" spans="1:9">
      <c r="A49">
        <v>48</v>
      </c>
      <c r="B49" s="3160"/>
      <c r="C49" s="3160"/>
      <c r="D49" s="3162"/>
      <c r="E49" s="3080" t="s">
        <v>3278</v>
      </c>
      <c r="F49" s="3080" t="s">
        <v>3341</v>
      </c>
      <c r="G49" s="3079">
        <v>47.91</v>
      </c>
      <c r="H49" s="3079">
        <f t="shared" si="1"/>
        <v>2.3199999999999998</v>
      </c>
      <c r="I49" s="3079">
        <f>[1]典型户型修正!S49</f>
        <v>48</v>
      </c>
    </row>
    <row r="50" spans="1:9">
      <c r="A50">
        <v>49</v>
      </c>
      <c r="B50" s="3160"/>
      <c r="C50" s="3160"/>
      <c r="D50" s="3162"/>
      <c r="E50" s="3080" t="s">
        <v>3279</v>
      </c>
      <c r="F50" s="3080" t="s">
        <v>3341</v>
      </c>
      <c r="G50" s="3079">
        <v>36.880000000000003</v>
      </c>
      <c r="H50" s="3079">
        <f t="shared" si="1"/>
        <v>1.79</v>
      </c>
      <c r="I50" s="3079">
        <f>[1]典型户型修正!S50</f>
        <v>37</v>
      </c>
    </row>
    <row r="51" spans="1:9">
      <c r="A51">
        <v>50</v>
      </c>
      <c r="B51" s="3160"/>
      <c r="C51" s="3160"/>
      <c r="D51" s="3162"/>
      <c r="E51" s="3080" t="s">
        <v>3280</v>
      </c>
      <c r="F51" s="3080" t="s">
        <v>3341</v>
      </c>
      <c r="G51" s="3079">
        <v>56.41</v>
      </c>
      <c r="H51" s="3079">
        <f t="shared" si="1"/>
        <v>2.73</v>
      </c>
      <c r="I51" s="3079">
        <f>[1]典型户型修正!S51</f>
        <v>58</v>
      </c>
    </row>
    <row r="52" spans="1:9">
      <c r="A52">
        <v>51</v>
      </c>
      <c r="B52" s="3160"/>
      <c r="C52" s="3160"/>
      <c r="D52" s="3162"/>
      <c r="E52" s="3080" t="s">
        <v>3281</v>
      </c>
      <c r="F52" s="3080" t="s">
        <v>3341</v>
      </c>
      <c r="G52" s="3079">
        <v>54.71</v>
      </c>
      <c r="H52" s="3079">
        <f t="shared" si="1"/>
        <v>2.65</v>
      </c>
      <c r="I52" s="3079">
        <f>[1]典型户型修正!S52</f>
        <v>56</v>
      </c>
    </row>
    <row r="53" spans="1:9">
      <c r="A53">
        <v>52</v>
      </c>
      <c r="B53" s="3160"/>
      <c r="C53" s="3160"/>
      <c r="D53" s="3162"/>
      <c r="E53" s="3080" t="s">
        <v>3282</v>
      </c>
      <c r="F53" s="3080" t="s">
        <v>3341</v>
      </c>
      <c r="G53" s="3079">
        <v>56.41</v>
      </c>
      <c r="H53" s="3079">
        <f t="shared" si="1"/>
        <v>2.73</v>
      </c>
      <c r="I53" s="3079">
        <f>[1]典型户型修正!S53</f>
        <v>58</v>
      </c>
    </row>
    <row r="54" spans="1:9">
      <c r="A54">
        <v>53</v>
      </c>
      <c r="B54" s="3160"/>
      <c r="C54" s="3160"/>
      <c r="D54" s="3162"/>
      <c r="E54" s="3080" t="s">
        <v>3283</v>
      </c>
      <c r="F54" s="3080" t="s">
        <v>3341</v>
      </c>
      <c r="G54" s="3079">
        <v>41.71</v>
      </c>
      <c r="H54" s="3079">
        <f t="shared" si="1"/>
        <v>2.02</v>
      </c>
      <c r="I54" s="3079">
        <f>[1]典型户型修正!S54</f>
        <v>42</v>
      </c>
    </row>
    <row r="55" spans="1:9">
      <c r="A55">
        <v>54</v>
      </c>
      <c r="B55" s="3160"/>
      <c r="C55" s="3160"/>
      <c r="D55" s="3162"/>
      <c r="E55" s="3080" t="s">
        <v>3284</v>
      </c>
      <c r="F55" s="3080" t="s">
        <v>3341</v>
      </c>
      <c r="G55" s="3079">
        <v>56.41</v>
      </c>
      <c r="H55" s="3079">
        <f t="shared" si="1"/>
        <v>2.73</v>
      </c>
      <c r="I55" s="3079">
        <f>[1]典型户型修正!S55</f>
        <v>58</v>
      </c>
    </row>
    <row r="56" spans="1:9">
      <c r="A56">
        <v>55</v>
      </c>
      <c r="B56" s="3160"/>
      <c r="C56" s="3160"/>
      <c r="D56" s="3162"/>
      <c r="E56" s="3080" t="s">
        <v>3285</v>
      </c>
      <c r="F56" s="3080" t="s">
        <v>3341</v>
      </c>
      <c r="G56" s="3079">
        <v>54.71</v>
      </c>
      <c r="H56" s="3079">
        <f t="shared" si="1"/>
        <v>2.65</v>
      </c>
      <c r="I56" s="3079">
        <f>[1]典型户型修正!S56</f>
        <v>56</v>
      </c>
    </row>
    <row r="57" spans="1:9">
      <c r="A57">
        <v>56</v>
      </c>
      <c r="B57" s="3160"/>
      <c r="C57" s="3160"/>
      <c r="D57" s="3162"/>
      <c r="E57" s="3080" t="s">
        <v>3286</v>
      </c>
      <c r="F57" s="3080" t="s">
        <v>3341</v>
      </c>
      <c r="G57" s="3079">
        <v>46.06</v>
      </c>
      <c r="H57" s="3079">
        <f t="shared" si="1"/>
        <v>2.23</v>
      </c>
      <c r="I57" s="3079">
        <f>[1]典型户型修正!S57</f>
        <v>47</v>
      </c>
    </row>
    <row r="58" spans="1:9">
      <c r="A58">
        <v>57</v>
      </c>
      <c r="B58" s="3160"/>
      <c r="C58" s="3160"/>
      <c r="D58" s="3162"/>
      <c r="E58" s="3080" t="s">
        <v>3287</v>
      </c>
      <c r="F58" s="3080" t="s">
        <v>3341</v>
      </c>
      <c r="G58" s="3079">
        <v>43.53</v>
      </c>
      <c r="H58" s="3079">
        <f t="shared" si="1"/>
        <v>2.11</v>
      </c>
      <c r="I58" s="3079">
        <f>[1]典型户型修正!S58</f>
        <v>44</v>
      </c>
    </row>
    <row r="59" spans="1:9">
      <c r="A59">
        <v>58</v>
      </c>
      <c r="B59" s="3160"/>
      <c r="C59" s="3160"/>
      <c r="D59" s="3162"/>
      <c r="E59" s="3080" t="s">
        <v>3288</v>
      </c>
      <c r="F59" s="3080" t="s">
        <v>3341</v>
      </c>
      <c r="G59" s="3079">
        <v>42.43</v>
      </c>
      <c r="H59" s="3079">
        <f t="shared" si="1"/>
        <v>2.06</v>
      </c>
      <c r="I59" s="3079">
        <f>[1]典型户型修正!S59</f>
        <v>43</v>
      </c>
    </row>
    <row r="60" spans="1:9">
      <c r="A60">
        <v>59</v>
      </c>
      <c r="B60" s="3160"/>
      <c r="C60" s="3160"/>
      <c r="D60" s="3162"/>
      <c r="E60" s="3080" t="s">
        <v>3289</v>
      </c>
      <c r="F60" s="3080" t="s">
        <v>3341</v>
      </c>
      <c r="G60" s="3079">
        <v>43.53</v>
      </c>
      <c r="H60" s="3079">
        <f t="shared" si="1"/>
        <v>2.11</v>
      </c>
      <c r="I60" s="3079">
        <f>[1]典型户型修正!S60</f>
        <v>44</v>
      </c>
    </row>
    <row r="61" spans="1:9">
      <c r="A61">
        <v>60</v>
      </c>
      <c r="B61" s="3160"/>
      <c r="C61" s="3160"/>
      <c r="D61" s="3162"/>
      <c r="E61" s="3080" t="s">
        <v>3290</v>
      </c>
      <c r="F61" s="3080" t="s">
        <v>3341</v>
      </c>
      <c r="G61" s="3079">
        <v>38.92</v>
      </c>
      <c r="H61" s="3079">
        <f t="shared" si="1"/>
        <v>1.89</v>
      </c>
      <c r="I61" s="3079">
        <f>[1]典型户型修正!S61</f>
        <v>39</v>
      </c>
    </row>
    <row r="62" spans="1:9">
      <c r="A62">
        <v>61</v>
      </c>
      <c r="B62" s="3160"/>
      <c r="C62" s="3160"/>
      <c r="D62" s="3162"/>
      <c r="E62" s="3080" t="s">
        <v>3291</v>
      </c>
      <c r="F62" s="3080" t="s">
        <v>3341</v>
      </c>
      <c r="G62" s="3079">
        <v>45.45</v>
      </c>
      <c r="H62" s="3079">
        <f t="shared" si="1"/>
        <v>2.2000000000000002</v>
      </c>
      <c r="I62" s="3079">
        <f>[1]典型户型修正!S62</f>
        <v>46</v>
      </c>
    </row>
    <row r="63" spans="1:9">
      <c r="A63">
        <v>62</v>
      </c>
      <c r="B63" s="3160"/>
      <c r="C63" s="3160"/>
      <c r="D63" s="3162"/>
      <c r="E63" s="3080" t="s">
        <v>3292</v>
      </c>
      <c r="F63" s="3080" t="s">
        <v>3341</v>
      </c>
      <c r="G63" s="3079">
        <v>40.35</v>
      </c>
      <c r="H63" s="3079">
        <f t="shared" si="1"/>
        <v>1.96</v>
      </c>
      <c r="I63" s="3079">
        <f>[1]典型户型修正!S63</f>
        <v>41</v>
      </c>
    </row>
    <row r="64" spans="1:9">
      <c r="A64">
        <v>63</v>
      </c>
      <c r="B64" s="3160"/>
      <c r="C64" s="3160"/>
      <c r="D64" s="3162"/>
      <c r="E64" s="3080" t="s">
        <v>3293</v>
      </c>
      <c r="F64" s="3080" t="s">
        <v>3341</v>
      </c>
      <c r="G64" s="3079">
        <v>43.49</v>
      </c>
      <c r="H64" s="3079">
        <f t="shared" si="1"/>
        <v>2.11</v>
      </c>
      <c r="I64" s="3079">
        <f>[1]典型户型修正!S64</f>
        <v>44</v>
      </c>
    </row>
    <row r="65" spans="1:9">
      <c r="A65">
        <v>64</v>
      </c>
      <c r="B65" s="3160"/>
      <c r="C65" s="3160"/>
      <c r="D65" s="3162"/>
      <c r="E65" s="3080" t="s">
        <v>3294</v>
      </c>
      <c r="F65" s="3080" t="s">
        <v>3341</v>
      </c>
      <c r="G65" s="3079">
        <v>45.34</v>
      </c>
      <c r="H65" s="3079">
        <f t="shared" si="1"/>
        <v>2.2000000000000002</v>
      </c>
      <c r="I65" s="3079">
        <f>[1]典型户型修正!S65</f>
        <v>46</v>
      </c>
    </row>
    <row r="66" spans="1:9">
      <c r="A66">
        <v>65</v>
      </c>
      <c r="B66" s="3160"/>
      <c r="C66" s="3160"/>
      <c r="D66" s="3162"/>
      <c r="E66" s="3080" t="s">
        <v>3295</v>
      </c>
      <c r="F66" s="3080" t="s">
        <v>3341</v>
      </c>
      <c r="G66" s="3079">
        <v>43.45</v>
      </c>
      <c r="H66" s="3079">
        <f t="shared" ref="H66:H97" si="2">ROUND(G66/$G$201*$L$6,2)</f>
        <v>2.11</v>
      </c>
      <c r="I66" s="3079">
        <f>[1]典型户型修正!S66</f>
        <v>44</v>
      </c>
    </row>
    <row r="67" spans="1:9">
      <c r="A67">
        <v>66</v>
      </c>
      <c r="B67" s="3160"/>
      <c r="C67" s="3160"/>
      <c r="D67" s="3162"/>
      <c r="E67" s="3080" t="s">
        <v>3296</v>
      </c>
      <c r="F67" s="3080" t="s">
        <v>3341</v>
      </c>
      <c r="G67" s="3079">
        <v>44.58</v>
      </c>
      <c r="H67" s="3079">
        <f t="shared" si="2"/>
        <v>2.16</v>
      </c>
      <c r="I67" s="3079">
        <f>[1]典型户型修正!S67</f>
        <v>45</v>
      </c>
    </row>
    <row r="68" spans="1:9">
      <c r="A68">
        <v>67</v>
      </c>
      <c r="B68" s="3160"/>
      <c r="C68" s="3160"/>
      <c r="D68" s="3162"/>
      <c r="E68" s="3081" t="s">
        <v>3063</v>
      </c>
      <c r="F68" s="3081" t="s">
        <v>3344</v>
      </c>
      <c r="G68" s="3079">
        <v>45.34</v>
      </c>
      <c r="H68" s="3079">
        <f t="shared" si="2"/>
        <v>2.2000000000000002</v>
      </c>
      <c r="I68" s="3079">
        <f>[1]典型户型修正!S68</f>
        <v>46</v>
      </c>
    </row>
    <row r="69" spans="1:9">
      <c r="A69">
        <v>68</v>
      </c>
      <c r="B69" s="3160"/>
      <c r="C69" s="3160"/>
      <c r="D69" s="3162"/>
      <c r="E69" s="3081" t="s">
        <v>3064</v>
      </c>
      <c r="F69" s="3081" t="s">
        <v>3345</v>
      </c>
      <c r="G69" s="3079">
        <v>43.45</v>
      </c>
      <c r="H69" s="3079">
        <f t="shared" si="2"/>
        <v>2.11</v>
      </c>
      <c r="I69" s="3079">
        <f>[1]典型户型修正!S69</f>
        <v>44</v>
      </c>
    </row>
    <row r="70" spans="1:9">
      <c r="A70">
        <v>69</v>
      </c>
      <c r="B70" s="3160"/>
      <c r="C70" s="3160"/>
      <c r="D70" s="3162"/>
      <c r="E70" s="3081" t="s">
        <v>3065</v>
      </c>
      <c r="F70" s="3081" t="s">
        <v>3343</v>
      </c>
      <c r="G70" s="3079">
        <v>45.34</v>
      </c>
      <c r="H70" s="3079">
        <f t="shared" si="2"/>
        <v>2.2000000000000002</v>
      </c>
      <c r="I70" s="3079">
        <f>[1]典型户型修正!S70</f>
        <v>46</v>
      </c>
    </row>
    <row r="71" spans="1:9">
      <c r="A71">
        <v>70</v>
      </c>
      <c r="B71" s="3160"/>
      <c r="C71" s="3160"/>
      <c r="D71" s="3162"/>
      <c r="E71" s="3081" t="s">
        <v>3066</v>
      </c>
      <c r="F71" s="3081" t="s">
        <v>3343</v>
      </c>
      <c r="G71" s="3079">
        <v>45.34</v>
      </c>
      <c r="H71" s="3079">
        <f t="shared" si="2"/>
        <v>2.2000000000000002</v>
      </c>
      <c r="I71" s="3079">
        <f>[1]典型户型修正!S71</f>
        <v>46</v>
      </c>
    </row>
    <row r="72" spans="1:9">
      <c r="A72">
        <v>71</v>
      </c>
      <c r="B72" s="3160"/>
      <c r="C72" s="3160"/>
      <c r="D72" s="3162"/>
      <c r="E72" s="3081" t="s">
        <v>3067</v>
      </c>
      <c r="F72" s="3081" t="s">
        <v>3343</v>
      </c>
      <c r="G72" s="3079">
        <v>43.45</v>
      </c>
      <c r="H72" s="3079">
        <f t="shared" si="2"/>
        <v>2.11</v>
      </c>
      <c r="I72" s="3079">
        <f>[1]典型户型修正!S72</f>
        <v>44</v>
      </c>
    </row>
    <row r="73" spans="1:9">
      <c r="A73">
        <v>72</v>
      </c>
      <c r="B73" s="3160"/>
      <c r="C73" s="3160"/>
      <c r="D73" s="3162"/>
      <c r="E73" s="3081" t="s">
        <v>3068</v>
      </c>
      <c r="F73" s="3081" t="s">
        <v>3343</v>
      </c>
      <c r="G73" s="3079">
        <v>45.34</v>
      </c>
      <c r="H73" s="3079">
        <f t="shared" si="2"/>
        <v>2.2000000000000002</v>
      </c>
      <c r="I73" s="3079">
        <f>[1]典型户型修正!S73</f>
        <v>46</v>
      </c>
    </row>
    <row r="74" spans="1:9">
      <c r="A74">
        <v>73</v>
      </c>
      <c r="B74" s="3160"/>
      <c r="C74" s="3160"/>
      <c r="D74" s="3162"/>
      <c r="E74" s="3081" t="s">
        <v>3069</v>
      </c>
      <c r="F74" s="3081" t="s">
        <v>3343</v>
      </c>
      <c r="G74" s="3079">
        <v>49.12</v>
      </c>
      <c r="H74" s="3079">
        <f t="shared" si="2"/>
        <v>2.38</v>
      </c>
      <c r="I74" s="3079">
        <f>[1]典型户型修正!S74</f>
        <v>50</v>
      </c>
    </row>
    <row r="75" spans="1:9">
      <c r="A75">
        <v>74</v>
      </c>
      <c r="B75" s="3160"/>
      <c r="C75" s="3160"/>
      <c r="D75" s="3162"/>
      <c r="E75" s="3081" t="s">
        <v>3070</v>
      </c>
      <c r="F75" s="3081" t="s">
        <v>3343</v>
      </c>
      <c r="G75" s="3079">
        <v>49.12</v>
      </c>
      <c r="H75" s="3079">
        <f t="shared" si="2"/>
        <v>2.38</v>
      </c>
      <c r="I75" s="3079">
        <f>[1]典型户型修正!S75</f>
        <v>50</v>
      </c>
    </row>
    <row r="76" spans="1:9">
      <c r="A76">
        <v>75</v>
      </c>
      <c r="B76" s="3160"/>
      <c r="C76" s="3160"/>
      <c r="D76" s="3162"/>
      <c r="E76" s="3081" t="s">
        <v>3071</v>
      </c>
      <c r="F76" s="3081" t="s">
        <v>3343</v>
      </c>
      <c r="G76" s="3079">
        <v>59.4</v>
      </c>
      <c r="H76" s="3079">
        <f t="shared" si="2"/>
        <v>2.88</v>
      </c>
      <c r="I76" s="3079">
        <f>[1]典型户型修正!S76</f>
        <v>61</v>
      </c>
    </row>
    <row r="77" spans="1:9">
      <c r="A77">
        <v>76</v>
      </c>
      <c r="B77" s="3160"/>
      <c r="C77" s="3160"/>
      <c r="D77" s="3162"/>
      <c r="E77" s="3081" t="s">
        <v>3072</v>
      </c>
      <c r="F77" s="3081" t="s">
        <v>3343</v>
      </c>
      <c r="G77" s="3079">
        <v>45.34</v>
      </c>
      <c r="H77" s="3079">
        <f t="shared" si="2"/>
        <v>2.2000000000000002</v>
      </c>
      <c r="I77" s="3079">
        <f>[1]典型户型修正!S77</f>
        <v>46</v>
      </c>
    </row>
    <row r="78" spans="1:9">
      <c r="A78">
        <v>77</v>
      </c>
      <c r="B78" s="3160"/>
      <c r="C78" s="3160"/>
      <c r="D78" s="3162"/>
      <c r="E78" s="3081" t="s">
        <v>3073</v>
      </c>
      <c r="F78" s="3081" t="s">
        <v>3343</v>
      </c>
      <c r="G78" s="3079">
        <v>43.45</v>
      </c>
      <c r="H78" s="3079">
        <f t="shared" si="2"/>
        <v>2.11</v>
      </c>
      <c r="I78" s="3079">
        <f>[1]典型户型修正!S78</f>
        <v>44</v>
      </c>
    </row>
    <row r="79" spans="1:9">
      <c r="A79">
        <v>78</v>
      </c>
      <c r="B79" s="3160"/>
      <c r="C79" s="3160"/>
      <c r="D79" s="3162"/>
      <c r="E79" s="3081" t="s">
        <v>3074</v>
      </c>
      <c r="F79" s="3081" t="s">
        <v>3343</v>
      </c>
      <c r="G79" s="3079">
        <v>45.34</v>
      </c>
      <c r="H79" s="3079">
        <f t="shared" si="2"/>
        <v>2.2000000000000002</v>
      </c>
      <c r="I79" s="3079">
        <f>[1]典型户型修正!S79</f>
        <v>46</v>
      </c>
    </row>
    <row r="80" spans="1:9">
      <c r="A80">
        <v>79</v>
      </c>
      <c r="B80" s="3160"/>
      <c r="C80" s="3160"/>
      <c r="D80" s="3162"/>
      <c r="E80" s="3081" t="s">
        <v>3075</v>
      </c>
      <c r="F80" s="3081" t="s">
        <v>3343</v>
      </c>
      <c r="G80" s="3079">
        <v>45.34</v>
      </c>
      <c r="H80" s="3079">
        <f t="shared" si="2"/>
        <v>2.2000000000000002</v>
      </c>
      <c r="I80" s="3079">
        <f>[1]典型户型修正!S80</f>
        <v>46</v>
      </c>
    </row>
    <row r="81" spans="1:9">
      <c r="A81">
        <v>80</v>
      </c>
      <c r="B81" s="3160"/>
      <c r="C81" s="3160"/>
      <c r="D81" s="3162"/>
      <c r="E81" s="3081" t="s">
        <v>3076</v>
      </c>
      <c r="F81" s="3081" t="s">
        <v>3343</v>
      </c>
      <c r="G81" s="3079">
        <v>43.45</v>
      </c>
      <c r="H81" s="3079">
        <f t="shared" si="2"/>
        <v>2.11</v>
      </c>
      <c r="I81" s="3079">
        <f>[1]典型户型修正!S81</f>
        <v>44</v>
      </c>
    </row>
    <row r="82" spans="1:9">
      <c r="A82">
        <v>81</v>
      </c>
      <c r="B82" s="3160"/>
      <c r="C82" s="3160"/>
      <c r="D82" s="3162"/>
      <c r="E82" s="3081" t="s">
        <v>3077</v>
      </c>
      <c r="F82" s="3081" t="s">
        <v>3343</v>
      </c>
      <c r="G82" s="3079">
        <v>45.34</v>
      </c>
      <c r="H82" s="3079">
        <f t="shared" si="2"/>
        <v>2.2000000000000002</v>
      </c>
      <c r="I82" s="3079">
        <f>[1]典型户型修正!S82</f>
        <v>46</v>
      </c>
    </row>
    <row r="83" spans="1:9">
      <c r="A83">
        <v>82</v>
      </c>
      <c r="B83" s="3160"/>
      <c r="C83" s="3160"/>
      <c r="D83" s="3162"/>
      <c r="E83" s="3081" t="s">
        <v>3078</v>
      </c>
      <c r="F83" s="3081" t="s">
        <v>3343</v>
      </c>
      <c r="G83" s="3079">
        <v>47.72</v>
      </c>
      <c r="H83" s="3079">
        <f t="shared" si="2"/>
        <v>2.31</v>
      </c>
      <c r="I83" s="3079">
        <f>[1]典型户型修正!S83</f>
        <v>48</v>
      </c>
    </row>
    <row r="84" spans="1:9">
      <c r="A84">
        <v>83</v>
      </c>
      <c r="B84" s="3160"/>
      <c r="C84" s="3160"/>
      <c r="D84" s="3162"/>
      <c r="E84" s="3081" t="s">
        <v>3079</v>
      </c>
      <c r="F84" s="3081" t="s">
        <v>3343</v>
      </c>
      <c r="G84" s="3079">
        <v>46.55</v>
      </c>
      <c r="H84" s="3079">
        <f t="shared" si="2"/>
        <v>2.2599999999999998</v>
      </c>
      <c r="I84" s="3079">
        <f>[1]典型户型修正!S84</f>
        <v>47</v>
      </c>
    </row>
    <row r="85" spans="1:9">
      <c r="A85">
        <v>84</v>
      </c>
      <c r="B85" s="3160"/>
      <c r="C85" s="3160"/>
      <c r="D85" s="3162"/>
      <c r="E85" s="3081" t="s">
        <v>3080</v>
      </c>
      <c r="F85" s="3081" t="s">
        <v>3343</v>
      </c>
      <c r="G85" s="3079">
        <v>47.72</v>
      </c>
      <c r="H85" s="3079">
        <f t="shared" si="2"/>
        <v>2.31</v>
      </c>
      <c r="I85" s="3079">
        <f>[1]典型户型修正!S85</f>
        <v>48</v>
      </c>
    </row>
    <row r="86" spans="1:9">
      <c r="A86">
        <v>85</v>
      </c>
      <c r="B86" s="3160"/>
      <c r="C86" s="3160"/>
      <c r="D86" s="3162"/>
      <c r="E86" s="3081" t="s">
        <v>3081</v>
      </c>
      <c r="F86" s="3081" t="s">
        <v>3343</v>
      </c>
      <c r="G86" s="3079">
        <v>47.91</v>
      </c>
      <c r="H86" s="3079">
        <f t="shared" si="2"/>
        <v>2.3199999999999998</v>
      </c>
      <c r="I86" s="3079">
        <f>[1]典型户型修正!S86</f>
        <v>48</v>
      </c>
    </row>
    <row r="87" spans="1:9">
      <c r="A87">
        <v>86</v>
      </c>
      <c r="B87" s="3160"/>
      <c r="C87" s="3160"/>
      <c r="D87" s="3162"/>
      <c r="E87" s="3081" t="s">
        <v>3082</v>
      </c>
      <c r="F87" s="3081" t="s">
        <v>3343</v>
      </c>
      <c r="G87" s="3079">
        <v>47.08</v>
      </c>
      <c r="H87" s="3079">
        <f t="shared" si="2"/>
        <v>2.2799999999999998</v>
      </c>
      <c r="I87" s="3079">
        <f>[1]典型户型修正!S87</f>
        <v>48</v>
      </c>
    </row>
    <row r="88" spans="1:9">
      <c r="A88">
        <v>87</v>
      </c>
      <c r="B88" s="3160"/>
      <c r="C88" s="3160"/>
      <c r="D88" s="3162"/>
      <c r="E88" s="3081" t="s">
        <v>3083</v>
      </c>
      <c r="F88" s="3081" t="s">
        <v>3343</v>
      </c>
      <c r="G88" s="3079">
        <v>48.48</v>
      </c>
      <c r="H88" s="3079">
        <f t="shared" si="2"/>
        <v>2.35</v>
      </c>
      <c r="I88" s="3079">
        <f>[1]典型户型修正!S88</f>
        <v>49</v>
      </c>
    </row>
    <row r="89" spans="1:9">
      <c r="A89">
        <v>88</v>
      </c>
      <c r="B89" s="3160"/>
      <c r="C89" s="3160"/>
      <c r="D89" s="3162"/>
      <c r="E89" s="3081" t="s">
        <v>3084</v>
      </c>
      <c r="F89" s="3081" t="s">
        <v>3343</v>
      </c>
      <c r="G89" s="3079">
        <v>58.94</v>
      </c>
      <c r="H89" s="3079">
        <f t="shared" si="2"/>
        <v>2.86</v>
      </c>
      <c r="I89" s="3079">
        <f>[1]典型户型修正!S89</f>
        <v>61</v>
      </c>
    </row>
    <row r="90" spans="1:9">
      <c r="A90">
        <v>89</v>
      </c>
      <c r="B90" s="3160"/>
      <c r="C90" s="3160"/>
      <c r="D90" s="3162"/>
      <c r="E90" s="3081" t="s">
        <v>3085</v>
      </c>
      <c r="F90" s="3081" t="s">
        <v>3343</v>
      </c>
      <c r="G90" s="3079">
        <v>109.68</v>
      </c>
      <c r="H90" s="3079">
        <f t="shared" si="2"/>
        <v>5.32</v>
      </c>
      <c r="I90" s="3079">
        <f>[1]典型户型修正!S90</f>
        <v>118</v>
      </c>
    </row>
    <row r="91" spans="1:9">
      <c r="A91">
        <v>90</v>
      </c>
      <c r="B91" s="3160"/>
      <c r="C91" s="3160"/>
      <c r="D91" s="3162"/>
      <c r="E91" s="3081" t="s">
        <v>3086</v>
      </c>
      <c r="F91" s="3081" t="s">
        <v>3343</v>
      </c>
      <c r="G91" s="3079">
        <v>55.39</v>
      </c>
      <c r="H91" s="3079">
        <f t="shared" si="2"/>
        <v>2.68</v>
      </c>
      <c r="I91" s="3079">
        <f>[1]典型户型修正!S91</f>
        <v>57</v>
      </c>
    </row>
    <row r="92" spans="1:9">
      <c r="A92">
        <v>91</v>
      </c>
      <c r="B92" s="3160"/>
      <c r="C92" s="3160"/>
      <c r="D92" s="3162"/>
      <c r="E92" s="3081" t="s">
        <v>3087</v>
      </c>
      <c r="F92" s="3081" t="s">
        <v>3343</v>
      </c>
      <c r="G92" s="3079">
        <v>43.83</v>
      </c>
      <c r="H92" s="3079">
        <f t="shared" si="2"/>
        <v>2.12</v>
      </c>
      <c r="I92" s="3079">
        <f>[1]典型户型修正!S92</f>
        <v>44</v>
      </c>
    </row>
    <row r="93" spans="1:9">
      <c r="A93">
        <v>92</v>
      </c>
      <c r="B93" s="3160"/>
      <c r="C93" s="3160"/>
      <c r="D93" s="3162"/>
      <c r="E93" s="3081" t="s">
        <v>3088</v>
      </c>
      <c r="F93" s="3081" t="s">
        <v>3343</v>
      </c>
      <c r="G93" s="3079">
        <v>43.83</v>
      </c>
      <c r="H93" s="3079">
        <f t="shared" si="2"/>
        <v>2.12</v>
      </c>
      <c r="I93" s="3079">
        <f>[1]典型户型修正!S93</f>
        <v>44</v>
      </c>
    </row>
    <row r="94" spans="1:9">
      <c r="A94">
        <v>93</v>
      </c>
      <c r="B94" s="3160"/>
      <c r="C94" s="3160"/>
      <c r="D94" s="3162"/>
      <c r="E94" s="3081" t="s">
        <v>3089</v>
      </c>
      <c r="F94" s="3081" t="s">
        <v>3343</v>
      </c>
      <c r="G94" s="3079">
        <v>45.34</v>
      </c>
      <c r="H94" s="3079">
        <f t="shared" si="2"/>
        <v>2.2000000000000002</v>
      </c>
      <c r="I94" s="3079">
        <f>[1]典型户型修正!S94</f>
        <v>46</v>
      </c>
    </row>
    <row r="95" spans="1:9">
      <c r="A95">
        <v>94</v>
      </c>
      <c r="B95" s="3160"/>
      <c r="C95" s="3160"/>
      <c r="D95" s="3162"/>
      <c r="E95" s="3081" t="s">
        <v>3090</v>
      </c>
      <c r="F95" s="3081" t="s">
        <v>3343</v>
      </c>
      <c r="G95" s="3079">
        <v>43.45</v>
      </c>
      <c r="H95" s="3079">
        <f t="shared" si="2"/>
        <v>2.11</v>
      </c>
      <c r="I95" s="3079">
        <f>[1]典型户型修正!S95</f>
        <v>44</v>
      </c>
    </row>
    <row r="96" spans="1:9">
      <c r="A96">
        <v>95</v>
      </c>
      <c r="B96" s="3160"/>
      <c r="C96" s="3160"/>
      <c r="D96" s="3162"/>
      <c r="E96" s="3081" t="s">
        <v>3091</v>
      </c>
      <c r="F96" s="3081" t="s">
        <v>3343</v>
      </c>
      <c r="G96" s="3079">
        <v>45.34</v>
      </c>
      <c r="H96" s="3079">
        <f t="shared" si="2"/>
        <v>2.2000000000000002</v>
      </c>
      <c r="I96" s="3079">
        <f>[1]典型户型修正!S96</f>
        <v>46</v>
      </c>
    </row>
    <row r="97" spans="1:9">
      <c r="A97">
        <v>96</v>
      </c>
      <c r="B97" s="3160"/>
      <c r="C97" s="3160"/>
      <c r="D97" s="3162"/>
      <c r="E97" s="3081" t="s">
        <v>3092</v>
      </c>
      <c r="F97" s="3081" t="s">
        <v>3343</v>
      </c>
      <c r="G97" s="3079">
        <v>37.9</v>
      </c>
      <c r="H97" s="3079">
        <f t="shared" si="2"/>
        <v>1.84</v>
      </c>
      <c r="I97" s="3079">
        <f>[1]典型户型修正!S97</f>
        <v>38</v>
      </c>
    </row>
    <row r="98" spans="1:9">
      <c r="A98">
        <v>97</v>
      </c>
      <c r="B98" s="3160"/>
      <c r="C98" s="3160"/>
      <c r="D98" s="3162"/>
      <c r="E98" s="3081" t="s">
        <v>3093</v>
      </c>
      <c r="F98" s="3081" t="s">
        <v>3343</v>
      </c>
      <c r="G98" s="3079">
        <v>59.58</v>
      </c>
      <c r="H98" s="3079">
        <f t="shared" ref="H98:H129" si="3">ROUND(G98/$G$201*$L$6,2)</f>
        <v>2.89</v>
      </c>
      <c r="I98" s="3079">
        <f>[1]典型户型修正!S98</f>
        <v>61</v>
      </c>
    </row>
    <row r="99" spans="1:9">
      <c r="A99">
        <v>98</v>
      </c>
      <c r="B99" s="3160"/>
      <c r="C99" s="3160"/>
      <c r="D99" s="3162"/>
      <c r="E99" s="3081" t="s">
        <v>3094</v>
      </c>
      <c r="F99" s="3081" t="s">
        <v>3343</v>
      </c>
      <c r="G99" s="3079">
        <v>57.32</v>
      </c>
      <c r="H99" s="3079">
        <f t="shared" si="3"/>
        <v>2.78</v>
      </c>
      <c r="I99" s="3079">
        <f>[1]典型户型修正!S99</f>
        <v>59</v>
      </c>
    </row>
    <row r="100" spans="1:9">
      <c r="A100">
        <v>99</v>
      </c>
      <c r="B100" s="3160"/>
      <c r="C100" s="3160"/>
      <c r="D100" s="3162"/>
      <c r="E100" s="3081" t="s">
        <v>3095</v>
      </c>
      <c r="F100" s="3081" t="s">
        <v>3343</v>
      </c>
      <c r="G100" s="3079">
        <v>59.58</v>
      </c>
      <c r="H100" s="3079">
        <f t="shared" si="3"/>
        <v>2.89</v>
      </c>
      <c r="I100" s="3079">
        <f>[1]典型户型修正!S100</f>
        <v>61</v>
      </c>
    </row>
    <row r="101" spans="1:9">
      <c r="A101">
        <v>100</v>
      </c>
      <c r="B101" s="3160"/>
      <c r="C101" s="3160"/>
      <c r="D101" s="3162"/>
      <c r="E101" s="3081" t="s">
        <v>3096</v>
      </c>
      <c r="F101" s="3081" t="s">
        <v>3343</v>
      </c>
      <c r="G101" s="3079">
        <v>59.58</v>
      </c>
      <c r="H101" s="3079">
        <f t="shared" si="3"/>
        <v>2.89</v>
      </c>
      <c r="I101" s="3079">
        <f>[1]典型户型修正!S101</f>
        <v>61</v>
      </c>
    </row>
    <row r="102" spans="1:9">
      <c r="A102">
        <v>101</v>
      </c>
      <c r="B102" s="3160"/>
      <c r="C102" s="3160"/>
      <c r="D102" s="3162"/>
      <c r="E102" s="3081" t="s">
        <v>3097</v>
      </c>
      <c r="F102" s="3081" t="s">
        <v>3343</v>
      </c>
      <c r="G102" s="3079">
        <v>57.32</v>
      </c>
      <c r="H102" s="3079">
        <f t="shared" si="3"/>
        <v>2.78</v>
      </c>
      <c r="I102" s="3079">
        <f>[1]典型户型修正!S102</f>
        <v>59</v>
      </c>
    </row>
    <row r="103" spans="1:9">
      <c r="A103">
        <v>102</v>
      </c>
      <c r="B103" s="3160"/>
      <c r="C103" s="3160"/>
      <c r="D103" s="3162"/>
      <c r="E103" s="3081" t="s">
        <v>3098</v>
      </c>
      <c r="F103" s="3081" t="s">
        <v>3343</v>
      </c>
      <c r="G103" s="3079">
        <v>59.58</v>
      </c>
      <c r="H103" s="3079">
        <f t="shared" si="3"/>
        <v>2.89</v>
      </c>
      <c r="I103" s="3079">
        <f>[1]典型户型修正!S103</f>
        <v>61</v>
      </c>
    </row>
    <row r="104" spans="1:9">
      <c r="A104">
        <v>103</v>
      </c>
      <c r="B104" s="3160"/>
      <c r="C104" s="3160"/>
      <c r="D104" s="3162"/>
      <c r="E104" s="3081" t="s">
        <v>3099</v>
      </c>
      <c r="F104" s="3081" t="s">
        <v>3343</v>
      </c>
      <c r="G104" s="3079">
        <v>56.6</v>
      </c>
      <c r="H104" s="3079">
        <f t="shared" si="3"/>
        <v>2.74</v>
      </c>
      <c r="I104" s="3079">
        <f>[1]典型户型修正!S104</f>
        <v>58</v>
      </c>
    </row>
    <row r="105" spans="1:9">
      <c r="A105">
        <v>104</v>
      </c>
      <c r="B105" s="3160"/>
      <c r="C105" s="3160"/>
      <c r="D105" s="3162"/>
      <c r="E105" s="3081" t="s">
        <v>3100</v>
      </c>
      <c r="F105" s="3081" t="s">
        <v>3343</v>
      </c>
      <c r="G105" s="3079">
        <v>59.58</v>
      </c>
      <c r="H105" s="3079">
        <f t="shared" si="3"/>
        <v>2.89</v>
      </c>
      <c r="I105" s="3079">
        <f>[1]典型户型修正!S105</f>
        <v>61</v>
      </c>
    </row>
    <row r="106" spans="1:9">
      <c r="A106">
        <v>105</v>
      </c>
      <c r="B106" s="3160"/>
      <c r="C106" s="3160"/>
      <c r="D106" s="3162"/>
      <c r="E106" s="3081" t="s">
        <v>3101</v>
      </c>
      <c r="F106" s="3081" t="s">
        <v>3343</v>
      </c>
      <c r="G106" s="3079">
        <v>57.32</v>
      </c>
      <c r="H106" s="3079">
        <f t="shared" si="3"/>
        <v>2.78</v>
      </c>
      <c r="I106" s="3079">
        <f>[1]典型户型修正!S106</f>
        <v>59</v>
      </c>
    </row>
    <row r="107" spans="1:9">
      <c r="A107">
        <v>106</v>
      </c>
      <c r="B107" s="3160"/>
      <c r="C107" s="3160"/>
      <c r="D107" s="3162"/>
      <c r="E107" s="3081" t="s">
        <v>3102</v>
      </c>
      <c r="F107" s="3081" t="s">
        <v>3343</v>
      </c>
      <c r="G107" s="3079">
        <v>59.58</v>
      </c>
      <c r="H107" s="3079">
        <f t="shared" si="3"/>
        <v>2.89</v>
      </c>
      <c r="I107" s="3079">
        <f>[1]典型户型修正!S107</f>
        <v>61</v>
      </c>
    </row>
    <row r="108" spans="1:9">
      <c r="A108">
        <v>107</v>
      </c>
      <c r="B108" s="3160"/>
      <c r="C108" s="3160"/>
      <c r="D108" s="3162"/>
      <c r="E108" s="3081" t="s">
        <v>3103</v>
      </c>
      <c r="F108" s="3081" t="s">
        <v>3343</v>
      </c>
      <c r="G108" s="3079">
        <v>47.68</v>
      </c>
      <c r="H108" s="3079">
        <f t="shared" si="3"/>
        <v>2.31</v>
      </c>
      <c r="I108" s="3079">
        <f>[1]典型户型修正!S108</f>
        <v>48</v>
      </c>
    </row>
    <row r="109" spans="1:9">
      <c r="A109">
        <v>108</v>
      </c>
      <c r="B109" s="3160"/>
      <c r="C109" s="3160"/>
      <c r="D109" s="3162"/>
      <c r="E109" s="3081" t="s">
        <v>3104</v>
      </c>
      <c r="F109" s="3081" t="s">
        <v>3343</v>
      </c>
      <c r="G109" s="3079">
        <v>46.1</v>
      </c>
      <c r="H109" s="3079">
        <f t="shared" si="3"/>
        <v>2.23</v>
      </c>
      <c r="I109" s="3079">
        <f>[1]典型户型修正!S109</f>
        <v>47</v>
      </c>
    </row>
    <row r="110" spans="1:9">
      <c r="A110">
        <v>109</v>
      </c>
      <c r="B110" s="3160"/>
      <c r="C110" s="3160"/>
      <c r="D110" s="3162"/>
      <c r="E110" s="3081" t="s">
        <v>3105</v>
      </c>
      <c r="F110" s="3081" t="s">
        <v>3343</v>
      </c>
      <c r="G110" s="3079">
        <v>47.68</v>
      </c>
      <c r="H110" s="3079">
        <f t="shared" si="3"/>
        <v>2.31</v>
      </c>
      <c r="I110" s="3079">
        <f>[1]典型户型修正!S110</f>
        <v>48</v>
      </c>
    </row>
    <row r="111" spans="1:9">
      <c r="A111">
        <v>110</v>
      </c>
      <c r="B111" s="3160"/>
      <c r="C111" s="3160"/>
      <c r="D111" s="3162"/>
      <c r="E111" s="3081" t="s">
        <v>3106</v>
      </c>
      <c r="F111" s="3081" t="s">
        <v>3343</v>
      </c>
      <c r="G111" s="3079">
        <v>55.96</v>
      </c>
      <c r="H111" s="3079">
        <f t="shared" si="3"/>
        <v>2.71</v>
      </c>
      <c r="I111" s="3079">
        <f>[1]典型户型修正!S111</f>
        <v>58</v>
      </c>
    </row>
    <row r="112" spans="1:9">
      <c r="A112">
        <v>111</v>
      </c>
      <c r="B112" s="3160"/>
      <c r="C112" s="3160"/>
      <c r="D112" s="3162"/>
      <c r="E112" s="3081" t="s">
        <v>3107</v>
      </c>
      <c r="F112" s="3081" t="s">
        <v>3343</v>
      </c>
      <c r="G112" s="3079">
        <v>53.69</v>
      </c>
      <c r="H112" s="3079">
        <f t="shared" si="3"/>
        <v>2.6</v>
      </c>
      <c r="I112" s="3079">
        <f>[1]典型户型修正!S112</f>
        <v>55</v>
      </c>
    </row>
    <row r="113" spans="1:9">
      <c r="A113">
        <v>112</v>
      </c>
      <c r="B113" s="3160"/>
      <c r="C113" s="3160"/>
      <c r="D113" s="3162"/>
      <c r="E113" s="3081" t="s">
        <v>3108</v>
      </c>
      <c r="F113" s="3081" t="s">
        <v>3343</v>
      </c>
      <c r="G113" s="3079">
        <v>55.96</v>
      </c>
      <c r="H113" s="3079">
        <f t="shared" si="3"/>
        <v>2.71</v>
      </c>
      <c r="I113" s="3079">
        <f>[1]典型户型修正!S113</f>
        <v>58</v>
      </c>
    </row>
    <row r="114" spans="1:9">
      <c r="A114">
        <v>113</v>
      </c>
      <c r="B114" s="3160"/>
      <c r="C114" s="3160"/>
      <c r="D114" s="3162"/>
      <c r="E114" s="3081" t="s">
        <v>3109</v>
      </c>
      <c r="F114" s="3081" t="s">
        <v>3343</v>
      </c>
      <c r="G114" s="3079">
        <v>47.68</v>
      </c>
      <c r="H114" s="3079">
        <f t="shared" si="3"/>
        <v>2.31</v>
      </c>
      <c r="I114" s="3079">
        <f>[1]典型户型修正!S114</f>
        <v>48</v>
      </c>
    </row>
    <row r="115" spans="1:9">
      <c r="A115">
        <v>114</v>
      </c>
      <c r="B115" s="3160"/>
      <c r="C115" s="3160"/>
      <c r="D115" s="3162"/>
      <c r="E115" s="3081" t="s">
        <v>3110</v>
      </c>
      <c r="F115" s="3081" t="s">
        <v>3343</v>
      </c>
      <c r="G115" s="3079">
        <v>46.1</v>
      </c>
      <c r="H115" s="3079">
        <f t="shared" si="3"/>
        <v>2.23</v>
      </c>
      <c r="I115" s="3079">
        <f>[1]典型户型修正!S115</f>
        <v>47</v>
      </c>
    </row>
    <row r="116" spans="1:9">
      <c r="A116">
        <v>115</v>
      </c>
      <c r="B116" s="3160"/>
      <c r="C116" s="3160"/>
      <c r="D116" s="3162"/>
      <c r="E116" s="3081" t="s">
        <v>3111</v>
      </c>
      <c r="F116" s="3081" t="s">
        <v>3343</v>
      </c>
      <c r="G116" s="3079">
        <v>50.48</v>
      </c>
      <c r="H116" s="3079">
        <f t="shared" si="3"/>
        <v>2.4500000000000002</v>
      </c>
      <c r="I116" s="3079">
        <f>[1]典型户型修正!S116</f>
        <v>52</v>
      </c>
    </row>
    <row r="117" spans="1:9">
      <c r="A117">
        <v>116</v>
      </c>
      <c r="B117" s="3160"/>
      <c r="C117" s="3160"/>
      <c r="D117" s="3162"/>
      <c r="E117" s="3081" t="s">
        <v>3112</v>
      </c>
      <c r="F117" s="3081" t="s">
        <v>3343</v>
      </c>
      <c r="G117" s="3079">
        <v>45.34</v>
      </c>
      <c r="H117" s="3079">
        <f t="shared" si="3"/>
        <v>2.2000000000000002</v>
      </c>
      <c r="I117" s="3079">
        <f>[1]典型户型修正!S117</f>
        <v>46</v>
      </c>
    </row>
    <row r="118" spans="1:9">
      <c r="A118">
        <v>117</v>
      </c>
      <c r="B118" s="3160"/>
      <c r="C118" s="3160"/>
      <c r="D118" s="3162"/>
      <c r="E118" s="3081" t="s">
        <v>3113</v>
      </c>
      <c r="F118" s="3081" t="s">
        <v>3343</v>
      </c>
      <c r="G118" s="3079">
        <v>43.45</v>
      </c>
      <c r="H118" s="3079">
        <f t="shared" si="3"/>
        <v>2.11</v>
      </c>
      <c r="I118" s="3079">
        <f>[1]典型户型修正!S118</f>
        <v>44</v>
      </c>
    </row>
    <row r="119" spans="1:9">
      <c r="A119">
        <v>118</v>
      </c>
      <c r="B119" s="3160"/>
      <c r="C119" s="3160"/>
      <c r="D119" s="3162"/>
      <c r="E119" s="3081" t="s">
        <v>3114</v>
      </c>
      <c r="F119" s="3081" t="s">
        <v>3343</v>
      </c>
      <c r="G119" s="3079">
        <v>45.34</v>
      </c>
      <c r="H119" s="3079">
        <f t="shared" si="3"/>
        <v>2.2000000000000002</v>
      </c>
      <c r="I119" s="3079">
        <f>[1]典型户型修正!S119</f>
        <v>46</v>
      </c>
    </row>
    <row r="120" spans="1:9">
      <c r="A120">
        <v>119</v>
      </c>
      <c r="B120" s="3160"/>
      <c r="C120" s="3160"/>
      <c r="D120" s="3162"/>
      <c r="E120" s="3081" t="s">
        <v>3115</v>
      </c>
      <c r="F120" s="3081" t="s">
        <v>3343</v>
      </c>
      <c r="G120" s="3079">
        <v>49.5</v>
      </c>
      <c r="H120" s="3079">
        <f t="shared" si="3"/>
        <v>2.4</v>
      </c>
      <c r="I120" s="3079">
        <f>[1]典型户型修正!S120</f>
        <v>50</v>
      </c>
    </row>
    <row r="121" spans="1:9">
      <c r="A121">
        <v>120</v>
      </c>
      <c r="B121" s="3160"/>
      <c r="C121" s="3160"/>
      <c r="D121" s="3162"/>
      <c r="E121" s="3081" t="s">
        <v>3116</v>
      </c>
      <c r="F121" s="3081" t="s">
        <v>3343</v>
      </c>
      <c r="G121" s="3079">
        <v>45.87</v>
      </c>
      <c r="H121" s="3079">
        <f t="shared" si="3"/>
        <v>2.2200000000000002</v>
      </c>
      <c r="I121" s="3079">
        <f>[1]典型户型修正!S121</f>
        <v>46</v>
      </c>
    </row>
    <row r="122" spans="1:9">
      <c r="A122">
        <v>121</v>
      </c>
      <c r="B122" s="3160"/>
      <c r="C122" s="3160"/>
      <c r="D122" s="3162"/>
      <c r="E122" s="3081" t="s">
        <v>3117</v>
      </c>
      <c r="F122" s="3081" t="s">
        <v>3343</v>
      </c>
      <c r="G122" s="3079">
        <v>44.32</v>
      </c>
      <c r="H122" s="3079">
        <f t="shared" si="3"/>
        <v>2.15</v>
      </c>
      <c r="I122" s="3079">
        <f>[1]典型户型修正!S122</f>
        <v>45</v>
      </c>
    </row>
    <row r="123" spans="1:9">
      <c r="A123">
        <v>122</v>
      </c>
      <c r="B123" s="3160"/>
      <c r="C123" s="3160"/>
      <c r="D123" s="3162"/>
      <c r="E123" s="3081" t="s">
        <v>3118</v>
      </c>
      <c r="F123" s="3081" t="s">
        <v>3343</v>
      </c>
      <c r="G123" s="3079">
        <v>45.87</v>
      </c>
      <c r="H123" s="3079">
        <f t="shared" si="3"/>
        <v>2.2200000000000002</v>
      </c>
      <c r="I123" s="3079">
        <f>[1]典型户型修正!S123</f>
        <v>46</v>
      </c>
    </row>
    <row r="124" spans="1:9">
      <c r="A124">
        <v>123</v>
      </c>
      <c r="B124" s="3160"/>
      <c r="C124" s="3160"/>
      <c r="D124" s="3162"/>
      <c r="E124" s="3081" t="s">
        <v>3119</v>
      </c>
      <c r="F124" s="3081" t="s">
        <v>3343</v>
      </c>
      <c r="G124" s="3079">
        <v>48.36</v>
      </c>
      <c r="H124" s="3079">
        <f t="shared" si="3"/>
        <v>2.34</v>
      </c>
      <c r="I124" s="3079">
        <f>[1]典型户型修正!S124</f>
        <v>49</v>
      </c>
    </row>
    <row r="125" spans="1:9">
      <c r="A125">
        <v>124</v>
      </c>
      <c r="B125" s="3160"/>
      <c r="C125" s="3160"/>
      <c r="D125" s="3162"/>
      <c r="E125" s="3081" t="s">
        <v>3120</v>
      </c>
      <c r="F125" s="3081" t="s">
        <v>3343</v>
      </c>
      <c r="G125" s="3079">
        <v>48.36</v>
      </c>
      <c r="H125" s="3079">
        <f t="shared" si="3"/>
        <v>2.34</v>
      </c>
      <c r="I125" s="3079">
        <f>[1]典型户型修正!S125</f>
        <v>49</v>
      </c>
    </row>
    <row r="126" spans="1:9">
      <c r="A126">
        <v>125</v>
      </c>
      <c r="B126" s="3160"/>
      <c r="C126" s="3160"/>
      <c r="D126" s="3162"/>
      <c r="E126" s="3081" t="s">
        <v>3121</v>
      </c>
      <c r="F126" s="3081" t="s">
        <v>3343</v>
      </c>
      <c r="G126" s="3079">
        <v>44.96</v>
      </c>
      <c r="H126" s="3079">
        <f t="shared" si="3"/>
        <v>2.1800000000000002</v>
      </c>
      <c r="I126" s="3079">
        <f>[1]典型户型修正!S126</f>
        <v>45</v>
      </c>
    </row>
    <row r="127" spans="1:9">
      <c r="A127">
        <v>126</v>
      </c>
      <c r="B127" s="3160"/>
      <c r="C127" s="3160"/>
      <c r="D127" s="3162"/>
      <c r="E127" s="3081" t="s">
        <v>3122</v>
      </c>
      <c r="F127" s="3081" t="s">
        <v>3343</v>
      </c>
      <c r="G127" s="3079">
        <v>43.45</v>
      </c>
      <c r="H127" s="3079">
        <f t="shared" si="3"/>
        <v>2.11</v>
      </c>
      <c r="I127" s="3079">
        <f>[1]典型户型修正!S127</f>
        <v>44</v>
      </c>
    </row>
    <row r="128" spans="1:9">
      <c r="A128">
        <v>127</v>
      </c>
      <c r="B128" s="3160"/>
      <c r="C128" s="3160"/>
      <c r="D128" s="3162"/>
      <c r="E128" s="3081" t="s">
        <v>3123</v>
      </c>
      <c r="F128" s="3081" t="s">
        <v>3343</v>
      </c>
      <c r="G128" s="3079">
        <v>44.96</v>
      </c>
      <c r="H128" s="3079">
        <f t="shared" si="3"/>
        <v>2.1800000000000002</v>
      </c>
      <c r="I128" s="3079">
        <f>[1]典型户型修正!S128</f>
        <v>45</v>
      </c>
    </row>
    <row r="129" spans="1:9">
      <c r="A129">
        <v>128</v>
      </c>
      <c r="B129" s="3160"/>
      <c r="C129" s="3160"/>
      <c r="D129" s="3162"/>
      <c r="E129" s="3081" t="s">
        <v>3124</v>
      </c>
      <c r="F129" s="3081" t="s">
        <v>3343</v>
      </c>
      <c r="G129" s="3079">
        <v>44.96</v>
      </c>
      <c r="H129" s="3079">
        <f t="shared" si="3"/>
        <v>2.1800000000000002</v>
      </c>
      <c r="I129" s="3079">
        <f>[1]典型户型修正!S129</f>
        <v>45</v>
      </c>
    </row>
    <row r="130" spans="1:9">
      <c r="A130">
        <v>129</v>
      </c>
      <c r="B130" s="3160"/>
      <c r="C130" s="3160"/>
      <c r="D130" s="3162"/>
      <c r="E130" s="3081" t="s">
        <v>3125</v>
      </c>
      <c r="F130" s="3081" t="s">
        <v>3343</v>
      </c>
      <c r="G130" s="3079">
        <v>43.45</v>
      </c>
      <c r="H130" s="3079">
        <f t="shared" ref="H130:H161" si="4">ROUND(G130/$G$201*$L$6,2)</f>
        <v>2.11</v>
      </c>
      <c r="I130" s="3079">
        <f>[1]典型户型修正!S130</f>
        <v>44</v>
      </c>
    </row>
    <row r="131" spans="1:9">
      <c r="A131">
        <v>130</v>
      </c>
      <c r="B131" s="3160"/>
      <c r="C131" s="3160"/>
      <c r="D131" s="3162"/>
      <c r="E131" s="3081" t="s">
        <v>3126</v>
      </c>
      <c r="F131" s="3081" t="s">
        <v>3343</v>
      </c>
      <c r="G131" s="3079">
        <v>44.96</v>
      </c>
      <c r="H131" s="3079">
        <f t="shared" si="4"/>
        <v>2.1800000000000002</v>
      </c>
      <c r="I131" s="3079">
        <f>[1]典型户型修正!S131</f>
        <v>45</v>
      </c>
    </row>
    <row r="132" spans="1:9">
      <c r="A132">
        <v>131</v>
      </c>
      <c r="B132" s="3160"/>
      <c r="C132" s="3160"/>
      <c r="D132" s="3162"/>
      <c r="E132" s="3081" t="s">
        <v>3127</v>
      </c>
      <c r="F132" s="3081" t="s">
        <v>3343</v>
      </c>
      <c r="G132" s="3079">
        <v>44.96</v>
      </c>
      <c r="H132" s="3079">
        <f t="shared" si="4"/>
        <v>2.1800000000000002</v>
      </c>
      <c r="I132" s="3079">
        <f>[1]典型户型修正!S132</f>
        <v>45</v>
      </c>
    </row>
    <row r="133" spans="1:9">
      <c r="A133">
        <v>132</v>
      </c>
      <c r="B133" s="3160"/>
      <c r="C133" s="3160"/>
      <c r="D133" s="3162"/>
      <c r="E133" s="3081" t="s">
        <v>3128</v>
      </c>
      <c r="F133" s="3081" t="s">
        <v>3343</v>
      </c>
      <c r="G133" s="3079">
        <v>43.45</v>
      </c>
      <c r="H133" s="3079">
        <f t="shared" si="4"/>
        <v>2.11</v>
      </c>
      <c r="I133" s="3079">
        <f>[1]典型户型修正!S133</f>
        <v>44</v>
      </c>
    </row>
    <row r="134" spans="1:9">
      <c r="A134">
        <v>133</v>
      </c>
      <c r="B134" s="3160"/>
      <c r="C134" s="3160"/>
      <c r="D134" s="3162"/>
      <c r="E134" s="3081" t="s">
        <v>3129</v>
      </c>
      <c r="F134" s="3081" t="s">
        <v>3343</v>
      </c>
      <c r="G134" s="3079">
        <v>44.96</v>
      </c>
      <c r="H134" s="3079">
        <f t="shared" si="4"/>
        <v>2.1800000000000002</v>
      </c>
      <c r="I134" s="3079">
        <f>[1]典型户型修正!S134</f>
        <v>45</v>
      </c>
    </row>
    <row r="135" spans="1:9">
      <c r="A135">
        <v>134</v>
      </c>
      <c r="B135" s="3160"/>
      <c r="C135" s="3160"/>
      <c r="D135" s="3162"/>
      <c r="E135" s="3081" t="s">
        <v>3130</v>
      </c>
      <c r="F135" s="3081" t="s">
        <v>3343</v>
      </c>
      <c r="G135" s="3079">
        <v>44.96</v>
      </c>
      <c r="H135" s="3079">
        <f t="shared" si="4"/>
        <v>2.1800000000000002</v>
      </c>
      <c r="I135" s="3079">
        <f>[1]典型户型修正!S135</f>
        <v>45</v>
      </c>
    </row>
    <row r="136" spans="1:9">
      <c r="A136">
        <v>135</v>
      </c>
      <c r="B136" s="3160"/>
      <c r="C136" s="3160"/>
      <c r="D136" s="3162"/>
      <c r="E136" s="3081" t="s">
        <v>3131</v>
      </c>
      <c r="F136" s="3081" t="s">
        <v>3343</v>
      </c>
      <c r="G136" s="3079">
        <v>43.45</v>
      </c>
      <c r="H136" s="3079">
        <f t="shared" si="4"/>
        <v>2.11</v>
      </c>
      <c r="I136" s="3079">
        <f>[1]典型户型修正!S136</f>
        <v>44</v>
      </c>
    </row>
    <row r="137" spans="1:9">
      <c r="A137">
        <v>136</v>
      </c>
      <c r="B137" s="3160"/>
      <c r="C137" s="3160"/>
      <c r="D137" s="3162"/>
      <c r="E137" s="3081" t="s">
        <v>3132</v>
      </c>
      <c r="F137" s="3081" t="s">
        <v>3343</v>
      </c>
      <c r="G137" s="3079">
        <v>44.96</v>
      </c>
      <c r="H137" s="3079">
        <f t="shared" si="4"/>
        <v>2.1800000000000002</v>
      </c>
      <c r="I137" s="3079">
        <f>[1]典型户型修正!S137</f>
        <v>45</v>
      </c>
    </row>
    <row r="138" spans="1:9">
      <c r="A138">
        <v>137</v>
      </c>
      <c r="B138" s="3160"/>
      <c r="C138" s="3160"/>
      <c r="D138" s="3162"/>
      <c r="E138" s="3081" t="s">
        <v>3133</v>
      </c>
      <c r="F138" s="3081" t="s">
        <v>3343</v>
      </c>
      <c r="G138" s="3079">
        <v>45.87</v>
      </c>
      <c r="H138" s="3079">
        <f t="shared" si="4"/>
        <v>2.2200000000000002</v>
      </c>
      <c r="I138" s="3079">
        <f>[1]典型户型修正!S138</f>
        <v>46</v>
      </c>
    </row>
    <row r="139" spans="1:9">
      <c r="A139">
        <v>138</v>
      </c>
      <c r="B139" s="3160"/>
      <c r="C139" s="3160"/>
      <c r="D139" s="3162"/>
      <c r="E139" s="3081" t="s">
        <v>3134</v>
      </c>
      <c r="F139" s="3081" t="s">
        <v>3343</v>
      </c>
      <c r="G139" s="3079">
        <v>44.32</v>
      </c>
      <c r="H139" s="3079">
        <f t="shared" si="4"/>
        <v>2.15</v>
      </c>
      <c r="I139" s="3079">
        <f>[1]典型户型修正!S139</f>
        <v>45</v>
      </c>
    </row>
    <row r="140" spans="1:9">
      <c r="A140">
        <v>139</v>
      </c>
      <c r="B140" s="3160"/>
      <c r="C140" s="3160"/>
      <c r="D140" s="3162"/>
      <c r="E140" s="3081" t="s">
        <v>3135</v>
      </c>
      <c r="F140" s="3081" t="s">
        <v>3343</v>
      </c>
      <c r="G140" s="3079">
        <v>45.87</v>
      </c>
      <c r="H140" s="3079">
        <f t="shared" si="4"/>
        <v>2.2200000000000002</v>
      </c>
      <c r="I140" s="3079">
        <f>[1]典型户型修正!S140</f>
        <v>46</v>
      </c>
    </row>
    <row r="141" spans="1:9">
      <c r="A141">
        <v>140</v>
      </c>
      <c r="B141" s="3160"/>
      <c r="C141" s="3160"/>
      <c r="D141" s="3162"/>
      <c r="E141" s="3081" t="s">
        <v>3136</v>
      </c>
      <c r="F141" s="3081" t="s">
        <v>3343</v>
      </c>
      <c r="G141" s="3079">
        <v>44.96</v>
      </c>
      <c r="H141" s="3079">
        <f t="shared" si="4"/>
        <v>2.1800000000000002</v>
      </c>
      <c r="I141" s="3079">
        <f>[1]典型户型修正!S141</f>
        <v>45</v>
      </c>
    </row>
    <row r="142" spans="1:9">
      <c r="A142">
        <v>141</v>
      </c>
      <c r="B142" s="3160"/>
      <c r="C142" s="3160"/>
      <c r="D142" s="3162"/>
      <c r="E142" s="3081" t="s">
        <v>3137</v>
      </c>
      <c r="F142" s="3081" t="s">
        <v>3343</v>
      </c>
      <c r="G142" s="3079">
        <v>44.96</v>
      </c>
      <c r="H142" s="3079">
        <f t="shared" si="4"/>
        <v>2.1800000000000002</v>
      </c>
      <c r="I142" s="3079">
        <f>[1]典型户型修正!S142</f>
        <v>45</v>
      </c>
    </row>
    <row r="143" spans="1:9">
      <c r="A143">
        <v>142</v>
      </c>
      <c r="B143" s="3160"/>
      <c r="C143" s="3160"/>
      <c r="D143" s="3162"/>
      <c r="E143" s="3081" t="s">
        <v>3138</v>
      </c>
      <c r="F143" s="3081" t="s">
        <v>3343</v>
      </c>
      <c r="G143" s="3079">
        <v>44.96</v>
      </c>
      <c r="H143" s="3079">
        <f t="shared" si="4"/>
        <v>2.1800000000000002</v>
      </c>
      <c r="I143" s="3079">
        <f>[1]典型户型修正!S143</f>
        <v>45</v>
      </c>
    </row>
    <row r="144" spans="1:9">
      <c r="A144">
        <v>143</v>
      </c>
      <c r="B144" s="3160"/>
      <c r="C144" s="3160"/>
      <c r="D144" s="3162"/>
      <c r="E144" s="3081" t="s">
        <v>3139</v>
      </c>
      <c r="F144" s="3081" t="s">
        <v>3343</v>
      </c>
      <c r="G144" s="3079">
        <v>43.45</v>
      </c>
      <c r="H144" s="3079">
        <f t="shared" si="4"/>
        <v>2.11</v>
      </c>
      <c r="I144" s="3079">
        <f>[1]典型户型修正!S144</f>
        <v>44</v>
      </c>
    </row>
    <row r="145" spans="1:9">
      <c r="A145">
        <v>144</v>
      </c>
      <c r="B145" s="3160"/>
      <c r="C145" s="3160"/>
      <c r="D145" s="3162"/>
      <c r="E145" s="3081" t="s">
        <v>3140</v>
      </c>
      <c r="F145" s="3081" t="s">
        <v>3343</v>
      </c>
      <c r="G145" s="3079">
        <v>44.96</v>
      </c>
      <c r="H145" s="3079">
        <f t="shared" si="4"/>
        <v>2.1800000000000002</v>
      </c>
      <c r="I145" s="3079">
        <f>[1]典型户型修正!S145</f>
        <v>45</v>
      </c>
    </row>
    <row r="146" spans="1:9">
      <c r="A146">
        <v>145</v>
      </c>
      <c r="B146" s="3160"/>
      <c r="C146" s="3160"/>
      <c r="D146" s="3162"/>
      <c r="E146" s="3081" t="s">
        <v>3141</v>
      </c>
      <c r="F146" s="3081" t="s">
        <v>3343</v>
      </c>
      <c r="G146" s="3079">
        <v>45.34</v>
      </c>
      <c r="H146" s="3079">
        <f t="shared" si="4"/>
        <v>2.2000000000000002</v>
      </c>
      <c r="I146" s="3079">
        <f>[1]典型户型修正!S146</f>
        <v>46</v>
      </c>
    </row>
    <row r="147" spans="1:9">
      <c r="A147">
        <v>146</v>
      </c>
      <c r="B147" s="3160"/>
      <c r="C147" s="3160"/>
      <c r="D147" s="3162"/>
      <c r="E147" s="3081" t="s">
        <v>3142</v>
      </c>
      <c r="F147" s="3081" t="s">
        <v>3343</v>
      </c>
      <c r="G147" s="3079">
        <v>43.45</v>
      </c>
      <c r="H147" s="3079">
        <f t="shared" si="4"/>
        <v>2.11</v>
      </c>
      <c r="I147" s="3079">
        <f>[1]典型户型修正!S147</f>
        <v>44</v>
      </c>
    </row>
    <row r="148" spans="1:9">
      <c r="A148">
        <v>147</v>
      </c>
      <c r="B148" s="3160"/>
      <c r="C148" s="3160"/>
      <c r="D148" s="3162"/>
      <c r="E148" s="3081" t="s">
        <v>3143</v>
      </c>
      <c r="F148" s="3081" t="s">
        <v>3343</v>
      </c>
      <c r="G148" s="3079">
        <v>45.34</v>
      </c>
      <c r="H148" s="3079">
        <f t="shared" si="4"/>
        <v>2.2000000000000002</v>
      </c>
      <c r="I148" s="3079">
        <f>[1]典型户型修正!S148</f>
        <v>46</v>
      </c>
    </row>
    <row r="149" spans="1:9">
      <c r="A149">
        <v>148</v>
      </c>
      <c r="B149" s="3160"/>
      <c r="C149" s="3160"/>
      <c r="D149" s="3162"/>
      <c r="E149" s="3081" t="s">
        <v>3144</v>
      </c>
      <c r="F149" s="3081" t="s">
        <v>3343</v>
      </c>
      <c r="G149" s="3079">
        <v>60.94</v>
      </c>
      <c r="H149" s="3079">
        <f t="shared" si="4"/>
        <v>2.95</v>
      </c>
      <c r="I149" s="3079">
        <f>[1]典型户型修正!S149</f>
        <v>64</v>
      </c>
    </row>
    <row r="150" spans="1:9">
      <c r="A150">
        <v>149</v>
      </c>
      <c r="B150" s="3160"/>
      <c r="C150" s="3160"/>
      <c r="D150" s="3162"/>
      <c r="E150" s="3081" t="s">
        <v>3145</v>
      </c>
      <c r="F150" s="3081" t="s">
        <v>3343</v>
      </c>
      <c r="G150" s="3079">
        <v>56.64</v>
      </c>
      <c r="H150" s="3079">
        <f t="shared" si="4"/>
        <v>2.74</v>
      </c>
      <c r="I150" s="3079">
        <f>[1]典型户型修正!S150</f>
        <v>58</v>
      </c>
    </row>
    <row r="151" spans="1:9">
      <c r="A151">
        <v>150</v>
      </c>
      <c r="B151" s="3160"/>
      <c r="C151" s="3160"/>
      <c r="D151" s="3162"/>
      <c r="E151" s="3081" t="s">
        <v>3146</v>
      </c>
      <c r="F151" s="3081" t="s">
        <v>3343</v>
      </c>
      <c r="G151" s="3079">
        <v>55.24</v>
      </c>
      <c r="H151" s="3079">
        <f t="shared" si="4"/>
        <v>2.68</v>
      </c>
      <c r="I151" s="3079">
        <f>[1]典型户型修正!S151</f>
        <v>57</v>
      </c>
    </row>
    <row r="152" spans="1:9">
      <c r="A152">
        <v>151</v>
      </c>
      <c r="B152" s="3160"/>
      <c r="C152" s="3160"/>
      <c r="D152" s="3162"/>
      <c r="E152" s="3081" t="s">
        <v>3147</v>
      </c>
      <c r="F152" s="3081" t="s">
        <v>3343</v>
      </c>
      <c r="G152" s="3079">
        <v>56.64</v>
      </c>
      <c r="H152" s="3079">
        <f t="shared" si="4"/>
        <v>2.74</v>
      </c>
      <c r="I152" s="3079">
        <f>[1]典型户型修正!S152</f>
        <v>58</v>
      </c>
    </row>
    <row r="153" spans="1:9">
      <c r="A153">
        <v>152</v>
      </c>
      <c r="B153" s="3160"/>
      <c r="C153" s="3160"/>
      <c r="D153" s="3162"/>
      <c r="E153" s="3081" t="s">
        <v>3148</v>
      </c>
      <c r="F153" s="3081" t="s">
        <v>3343</v>
      </c>
      <c r="G153" s="3079">
        <v>56.22</v>
      </c>
      <c r="H153" s="3079">
        <f t="shared" si="4"/>
        <v>2.72</v>
      </c>
      <c r="I153" s="3079">
        <f>[1]典型户型修正!S153</f>
        <v>58</v>
      </c>
    </row>
    <row r="154" spans="1:9">
      <c r="A154">
        <v>153</v>
      </c>
      <c r="B154" s="3160"/>
      <c r="C154" s="3160"/>
      <c r="D154" s="3162"/>
      <c r="E154" s="3081" t="s">
        <v>3149</v>
      </c>
      <c r="F154" s="3081" t="s">
        <v>3343</v>
      </c>
      <c r="G154" s="3079">
        <v>55.31</v>
      </c>
      <c r="H154" s="3079">
        <f t="shared" si="4"/>
        <v>2.68</v>
      </c>
      <c r="I154" s="3079">
        <f>[1]典型户型修正!S154</f>
        <v>57</v>
      </c>
    </row>
    <row r="155" spans="1:9">
      <c r="A155">
        <v>154</v>
      </c>
      <c r="B155" s="3160"/>
      <c r="C155" s="3160"/>
      <c r="D155" s="3162"/>
      <c r="E155" s="3081" t="s">
        <v>3150</v>
      </c>
      <c r="F155" s="3081" t="s">
        <v>3343</v>
      </c>
      <c r="G155" s="3079">
        <v>39.79</v>
      </c>
      <c r="H155" s="3079">
        <f t="shared" si="4"/>
        <v>1.93</v>
      </c>
      <c r="I155" s="3079">
        <f>[1]典型户型修正!S155</f>
        <v>39</v>
      </c>
    </row>
    <row r="156" spans="1:9">
      <c r="A156">
        <v>155</v>
      </c>
      <c r="B156" s="3160"/>
      <c r="C156" s="3160"/>
      <c r="D156" s="3162"/>
      <c r="E156" s="3081" t="s">
        <v>3151</v>
      </c>
      <c r="F156" s="3081" t="s">
        <v>3343</v>
      </c>
      <c r="G156" s="3079">
        <v>52.25</v>
      </c>
      <c r="H156" s="3079">
        <f t="shared" si="4"/>
        <v>2.5299999999999998</v>
      </c>
      <c r="I156" s="3079">
        <f>[1]典型户型修正!S156</f>
        <v>54</v>
      </c>
    </row>
    <row r="157" spans="1:9">
      <c r="A157">
        <v>156</v>
      </c>
      <c r="B157" s="3160"/>
      <c r="C157" s="3160"/>
      <c r="D157" s="3162"/>
      <c r="E157" s="3081" t="s">
        <v>3152</v>
      </c>
      <c r="F157" s="3081" t="s">
        <v>3343</v>
      </c>
      <c r="G157" s="3079">
        <v>44.58</v>
      </c>
      <c r="H157" s="3079">
        <f t="shared" si="4"/>
        <v>2.16</v>
      </c>
      <c r="I157" s="3079">
        <f>[1]典型户型修正!S157</f>
        <v>45</v>
      </c>
    </row>
    <row r="158" spans="1:9">
      <c r="A158">
        <v>157</v>
      </c>
      <c r="B158" s="3160"/>
      <c r="C158" s="3160"/>
      <c r="D158" s="3162"/>
      <c r="E158" s="3081" t="s">
        <v>3153</v>
      </c>
      <c r="F158" s="3081" t="s">
        <v>3343</v>
      </c>
      <c r="G158" s="3079">
        <v>42.7</v>
      </c>
      <c r="H158" s="3079">
        <f t="shared" si="4"/>
        <v>2.0699999999999998</v>
      </c>
      <c r="I158" s="3079">
        <f>[1]典型户型修正!S158</f>
        <v>43</v>
      </c>
    </row>
    <row r="159" spans="1:9">
      <c r="A159">
        <v>158</v>
      </c>
      <c r="B159" s="3160"/>
      <c r="C159" s="3160"/>
      <c r="D159" s="3162"/>
      <c r="E159" s="3081" t="s">
        <v>3154</v>
      </c>
      <c r="F159" s="3081" t="s">
        <v>3343</v>
      </c>
      <c r="G159" s="3079">
        <v>44.58</v>
      </c>
      <c r="H159" s="3079">
        <f t="shared" si="4"/>
        <v>2.16</v>
      </c>
      <c r="I159" s="3079">
        <f>[1]典型户型修正!S159</f>
        <v>45</v>
      </c>
    </row>
    <row r="160" spans="1:9">
      <c r="A160">
        <v>159</v>
      </c>
      <c r="B160" s="3160"/>
      <c r="C160" s="3160"/>
      <c r="D160" s="3162"/>
      <c r="E160" s="3081" t="s">
        <v>3155</v>
      </c>
      <c r="F160" s="3081" t="s">
        <v>3343</v>
      </c>
      <c r="G160" s="3079">
        <v>59.58</v>
      </c>
      <c r="H160" s="3079">
        <f t="shared" si="4"/>
        <v>2.89</v>
      </c>
      <c r="I160" s="3079">
        <f>[1]典型户型修正!S160</f>
        <v>61</v>
      </c>
    </row>
    <row r="161" spans="1:9">
      <c r="A161">
        <v>160</v>
      </c>
      <c r="B161" s="3160"/>
      <c r="C161" s="3160"/>
      <c r="D161" s="3162"/>
      <c r="E161" s="3081" t="s">
        <v>3156</v>
      </c>
      <c r="F161" s="3081" t="s">
        <v>3343</v>
      </c>
      <c r="G161" s="3079">
        <v>57.32</v>
      </c>
      <c r="H161" s="3079">
        <f t="shared" si="4"/>
        <v>2.78</v>
      </c>
      <c r="I161" s="3079">
        <f>[1]典型户型修正!S161</f>
        <v>59</v>
      </c>
    </row>
    <row r="162" spans="1:9">
      <c r="A162">
        <v>161</v>
      </c>
      <c r="B162" s="3160"/>
      <c r="C162" s="3160"/>
      <c r="D162" s="3162"/>
      <c r="E162" s="3081" t="s">
        <v>3157</v>
      </c>
      <c r="F162" s="3081" t="s">
        <v>3343</v>
      </c>
      <c r="G162" s="3079">
        <v>59.58</v>
      </c>
      <c r="H162" s="3079">
        <f t="shared" ref="H162:H193" si="5">ROUND(G162/$G$201*$L$6,2)</f>
        <v>2.89</v>
      </c>
      <c r="I162" s="3079">
        <f>[1]典型户型修正!S162</f>
        <v>61</v>
      </c>
    </row>
    <row r="163" spans="1:9">
      <c r="A163">
        <v>162</v>
      </c>
      <c r="B163" s="3160"/>
      <c r="C163" s="3160"/>
      <c r="D163" s="3162"/>
      <c r="E163" s="3081" t="s">
        <v>3158</v>
      </c>
      <c r="F163" s="3081" t="s">
        <v>3343</v>
      </c>
      <c r="G163" s="3079">
        <v>59.58</v>
      </c>
      <c r="H163" s="3079">
        <f t="shared" si="5"/>
        <v>2.89</v>
      </c>
      <c r="I163" s="3079">
        <f>[1]典型户型修正!S163</f>
        <v>61</v>
      </c>
    </row>
    <row r="164" spans="1:9">
      <c r="A164">
        <v>163</v>
      </c>
      <c r="B164" s="3160"/>
      <c r="C164" s="3160"/>
      <c r="D164" s="3162"/>
      <c r="E164" s="3081" t="s">
        <v>3159</v>
      </c>
      <c r="F164" s="3081" t="s">
        <v>3343</v>
      </c>
      <c r="G164" s="3079">
        <v>57.32</v>
      </c>
      <c r="H164" s="3079">
        <f t="shared" si="5"/>
        <v>2.78</v>
      </c>
      <c r="I164" s="3079">
        <f>[1]典型户型修正!S164</f>
        <v>59</v>
      </c>
    </row>
    <row r="165" spans="1:9">
      <c r="A165">
        <v>164</v>
      </c>
      <c r="B165" s="3160"/>
      <c r="C165" s="3160"/>
      <c r="D165" s="3162"/>
      <c r="E165" s="3081" t="s">
        <v>3160</v>
      </c>
      <c r="F165" s="3081" t="s">
        <v>3343</v>
      </c>
      <c r="G165" s="3079">
        <v>59.58</v>
      </c>
      <c r="H165" s="3079">
        <f t="shared" si="5"/>
        <v>2.89</v>
      </c>
      <c r="I165" s="3079">
        <f>[1]典型户型修正!S165</f>
        <v>61</v>
      </c>
    </row>
    <row r="166" spans="1:9">
      <c r="A166">
        <v>165</v>
      </c>
      <c r="B166" s="3160"/>
      <c r="C166" s="3160"/>
      <c r="D166" s="3162"/>
      <c r="E166" s="3081" t="s">
        <v>3161</v>
      </c>
      <c r="F166" s="3081" t="s">
        <v>3343</v>
      </c>
      <c r="G166" s="3079">
        <v>50.67</v>
      </c>
      <c r="H166" s="3079">
        <f t="shared" si="5"/>
        <v>2.46</v>
      </c>
      <c r="I166" s="3079">
        <f>[1]典型户型修正!S166</f>
        <v>52</v>
      </c>
    </row>
    <row r="167" spans="1:9">
      <c r="A167">
        <v>166</v>
      </c>
      <c r="B167" s="3160"/>
      <c r="C167" s="3160"/>
      <c r="D167" s="3162"/>
      <c r="E167" s="3081" t="s">
        <v>3162</v>
      </c>
      <c r="F167" s="3081" t="s">
        <v>3343</v>
      </c>
      <c r="G167" s="3079">
        <v>68.69</v>
      </c>
      <c r="H167" s="3079">
        <f t="shared" si="5"/>
        <v>3.33</v>
      </c>
      <c r="I167" s="3079">
        <f>[1]典型户型修正!S167</f>
        <v>72</v>
      </c>
    </row>
    <row r="168" spans="1:9">
      <c r="A168">
        <v>167</v>
      </c>
      <c r="B168" s="3160"/>
      <c r="C168" s="3160"/>
      <c r="D168" s="3162"/>
      <c r="E168" s="3081" t="s">
        <v>3163</v>
      </c>
      <c r="F168" s="3081" t="s">
        <v>3343</v>
      </c>
      <c r="G168" s="3079">
        <v>58.68</v>
      </c>
      <c r="H168" s="3079">
        <f t="shared" si="5"/>
        <v>2.84</v>
      </c>
      <c r="I168" s="3079">
        <f>[1]典型户型修正!S168</f>
        <v>61</v>
      </c>
    </row>
    <row r="169" spans="1:9">
      <c r="A169">
        <v>168</v>
      </c>
      <c r="B169" s="3160"/>
      <c r="C169" s="3160"/>
      <c r="D169" s="3162"/>
      <c r="E169" s="3081" t="s">
        <v>3164</v>
      </c>
      <c r="F169" s="3081" t="s">
        <v>3343</v>
      </c>
      <c r="G169" s="3079">
        <v>58.68</v>
      </c>
      <c r="H169" s="3079">
        <f t="shared" si="5"/>
        <v>2.84</v>
      </c>
      <c r="I169" s="3079">
        <f>[1]典型户型修正!S169</f>
        <v>61</v>
      </c>
    </row>
    <row r="170" spans="1:9">
      <c r="A170">
        <v>169</v>
      </c>
      <c r="B170" s="3160"/>
      <c r="C170" s="3160"/>
      <c r="D170" s="3162"/>
      <c r="E170" s="3081" t="s">
        <v>3165</v>
      </c>
      <c r="F170" s="3081" t="s">
        <v>3343</v>
      </c>
      <c r="G170" s="3079">
        <v>56.07</v>
      </c>
      <c r="H170" s="3079">
        <f t="shared" si="5"/>
        <v>2.72</v>
      </c>
      <c r="I170" s="3079">
        <f>[1]典型户型修正!S170</f>
        <v>58</v>
      </c>
    </row>
    <row r="171" spans="1:9">
      <c r="A171">
        <v>170</v>
      </c>
      <c r="B171" s="3160"/>
      <c r="C171" s="3160"/>
      <c r="D171" s="3162"/>
      <c r="E171" s="3081" t="s">
        <v>3166</v>
      </c>
      <c r="F171" s="3081" t="s">
        <v>3343</v>
      </c>
      <c r="G171" s="3079">
        <v>45.34</v>
      </c>
      <c r="H171" s="3079">
        <f t="shared" si="5"/>
        <v>2.2000000000000002</v>
      </c>
      <c r="I171" s="3079">
        <f>[1]典型户型修正!S171</f>
        <v>46</v>
      </c>
    </row>
    <row r="172" spans="1:9">
      <c r="A172">
        <v>171</v>
      </c>
      <c r="B172" s="3160"/>
      <c r="C172" s="3160"/>
      <c r="D172" s="3162"/>
      <c r="E172" s="3081" t="s">
        <v>3167</v>
      </c>
      <c r="F172" s="3081" t="s">
        <v>3343</v>
      </c>
      <c r="G172" s="3079">
        <v>43.45</v>
      </c>
      <c r="H172" s="3079">
        <f t="shared" si="5"/>
        <v>2.11</v>
      </c>
      <c r="I172" s="3079">
        <f>[1]典型户型修正!S172</f>
        <v>44</v>
      </c>
    </row>
    <row r="173" spans="1:9">
      <c r="A173">
        <v>172</v>
      </c>
      <c r="B173" s="3160"/>
      <c r="C173" s="3160"/>
      <c r="D173" s="3162"/>
      <c r="E173" s="3081" t="s">
        <v>3168</v>
      </c>
      <c r="F173" s="3081" t="s">
        <v>3343</v>
      </c>
      <c r="G173" s="3079">
        <v>45.34</v>
      </c>
      <c r="H173" s="3079">
        <f t="shared" si="5"/>
        <v>2.2000000000000002</v>
      </c>
      <c r="I173" s="3079">
        <f>[1]典型户型修正!S173</f>
        <v>46</v>
      </c>
    </row>
    <row r="174" spans="1:9">
      <c r="A174">
        <v>173</v>
      </c>
      <c r="B174" s="3160"/>
      <c r="C174" s="3160"/>
      <c r="D174" s="3162"/>
      <c r="E174" s="3081" t="s">
        <v>3169</v>
      </c>
      <c r="F174" s="3081" t="s">
        <v>3343</v>
      </c>
      <c r="G174" s="3079">
        <v>46.85</v>
      </c>
      <c r="H174" s="3079">
        <f t="shared" si="5"/>
        <v>2.27</v>
      </c>
      <c r="I174" s="3079">
        <f>[1]典型户型修正!S174</f>
        <v>47</v>
      </c>
    </row>
    <row r="175" spans="1:9">
      <c r="A175">
        <v>174</v>
      </c>
      <c r="B175" s="3160"/>
      <c r="C175" s="3160"/>
      <c r="D175" s="3162"/>
      <c r="E175" s="3081" t="s">
        <v>3170</v>
      </c>
      <c r="F175" s="3081" t="s">
        <v>3343</v>
      </c>
      <c r="G175" s="3079">
        <v>46.85</v>
      </c>
      <c r="H175" s="3079">
        <f t="shared" si="5"/>
        <v>2.27</v>
      </c>
      <c r="I175" s="3079">
        <f>[1]典型户型修正!S175</f>
        <v>47</v>
      </c>
    </row>
    <row r="176" spans="1:9">
      <c r="A176">
        <v>175</v>
      </c>
      <c r="B176" s="3160"/>
      <c r="C176" s="3160"/>
      <c r="D176" s="3162"/>
      <c r="E176" s="3081" t="s">
        <v>3171</v>
      </c>
      <c r="F176" s="3081" t="s">
        <v>3343</v>
      </c>
      <c r="G176" s="3079">
        <v>45.87</v>
      </c>
      <c r="H176" s="3079">
        <f t="shared" si="5"/>
        <v>2.2200000000000002</v>
      </c>
      <c r="I176" s="3079">
        <f>[1]典型户型修正!S176</f>
        <v>46</v>
      </c>
    </row>
    <row r="177" spans="1:9">
      <c r="A177">
        <v>176</v>
      </c>
      <c r="B177" s="3160"/>
      <c r="C177" s="3160"/>
      <c r="D177" s="3162"/>
      <c r="E177" s="3081" t="s">
        <v>3172</v>
      </c>
      <c r="F177" s="3081" t="s">
        <v>3343</v>
      </c>
      <c r="G177" s="3079">
        <v>44.32</v>
      </c>
      <c r="H177" s="3079">
        <f t="shared" si="5"/>
        <v>2.15</v>
      </c>
      <c r="I177" s="3079">
        <f>[1]典型户型修正!S177</f>
        <v>45</v>
      </c>
    </row>
    <row r="178" spans="1:9">
      <c r="A178">
        <v>177</v>
      </c>
      <c r="B178" s="3160"/>
      <c r="C178" s="3160"/>
      <c r="D178" s="3162"/>
      <c r="E178" s="3081" t="s">
        <v>3173</v>
      </c>
      <c r="F178" s="3081" t="s">
        <v>3343</v>
      </c>
      <c r="G178" s="3079">
        <v>45.87</v>
      </c>
      <c r="H178" s="3079">
        <f t="shared" si="5"/>
        <v>2.2200000000000002</v>
      </c>
      <c r="I178" s="3079">
        <f>[1]典型户型修正!S178</f>
        <v>46</v>
      </c>
    </row>
    <row r="179" spans="1:9">
      <c r="A179">
        <v>178</v>
      </c>
      <c r="B179" s="3160"/>
      <c r="C179" s="3160"/>
      <c r="D179" s="3162"/>
      <c r="E179" s="3081" t="s">
        <v>3174</v>
      </c>
      <c r="F179" s="3081" t="s">
        <v>3343</v>
      </c>
      <c r="G179" s="3079">
        <v>54.82</v>
      </c>
      <c r="H179" s="3079">
        <f t="shared" si="5"/>
        <v>2.66</v>
      </c>
      <c r="I179" s="3079">
        <f>[1]典型户型修正!S179</f>
        <v>57</v>
      </c>
    </row>
    <row r="180" spans="1:9">
      <c r="A180">
        <v>179</v>
      </c>
      <c r="B180" s="3160"/>
      <c r="C180" s="3160"/>
      <c r="D180" s="3162"/>
      <c r="E180" s="3081" t="s">
        <v>3175</v>
      </c>
      <c r="F180" s="3081" t="s">
        <v>3343</v>
      </c>
      <c r="G180" s="3079">
        <v>54.11</v>
      </c>
      <c r="H180" s="3079">
        <f t="shared" si="5"/>
        <v>2.62</v>
      </c>
      <c r="I180" s="3079">
        <f>[1]典型户型修正!S180</f>
        <v>56</v>
      </c>
    </row>
    <row r="181" spans="1:9">
      <c r="A181">
        <v>180</v>
      </c>
      <c r="B181" s="3160"/>
      <c r="C181" s="3160"/>
      <c r="D181" s="3162"/>
      <c r="E181" s="3081" t="s">
        <v>3176</v>
      </c>
      <c r="F181" s="3081" t="s">
        <v>3343</v>
      </c>
      <c r="G181" s="3079">
        <v>55.77</v>
      </c>
      <c r="H181" s="3079">
        <f t="shared" si="5"/>
        <v>2.7</v>
      </c>
      <c r="I181" s="3079">
        <f>[1]典型户型修正!S181</f>
        <v>58</v>
      </c>
    </row>
    <row r="182" spans="1:9">
      <c r="A182">
        <v>181</v>
      </c>
      <c r="B182" s="3160"/>
      <c r="C182" s="3160"/>
      <c r="D182" s="3162"/>
      <c r="E182" s="3081" t="s">
        <v>3177</v>
      </c>
      <c r="F182" s="3081" t="s">
        <v>3343</v>
      </c>
      <c r="G182" s="3079">
        <v>44.96</v>
      </c>
      <c r="H182" s="3079">
        <f t="shared" si="5"/>
        <v>2.1800000000000002</v>
      </c>
      <c r="I182" s="3079">
        <f>[1]典型户型修正!S182</f>
        <v>45</v>
      </c>
    </row>
    <row r="183" spans="1:9">
      <c r="A183">
        <v>182</v>
      </c>
      <c r="B183" s="3160"/>
      <c r="C183" s="3160"/>
      <c r="D183" s="3162"/>
      <c r="E183" s="3081" t="s">
        <v>3178</v>
      </c>
      <c r="F183" s="3081" t="s">
        <v>3343</v>
      </c>
      <c r="G183" s="3079">
        <v>43.45</v>
      </c>
      <c r="H183" s="3079">
        <f t="shared" si="5"/>
        <v>2.11</v>
      </c>
      <c r="I183" s="3079">
        <f>[1]典型户型修正!S183</f>
        <v>44</v>
      </c>
    </row>
    <row r="184" spans="1:9">
      <c r="A184">
        <v>183</v>
      </c>
      <c r="B184" s="3160"/>
      <c r="C184" s="3160"/>
      <c r="D184" s="3162"/>
      <c r="E184" s="3081" t="s">
        <v>3179</v>
      </c>
      <c r="F184" s="3081" t="s">
        <v>3343</v>
      </c>
      <c r="G184" s="3079">
        <v>44.96</v>
      </c>
      <c r="H184" s="3079">
        <f t="shared" si="5"/>
        <v>2.1800000000000002</v>
      </c>
      <c r="I184" s="3079">
        <f>[1]典型户型修正!S184</f>
        <v>45</v>
      </c>
    </row>
    <row r="185" spans="1:9">
      <c r="A185">
        <v>184</v>
      </c>
      <c r="B185" s="3160"/>
      <c r="C185" s="3160"/>
      <c r="D185" s="3162"/>
      <c r="E185" s="3081" t="s">
        <v>3180</v>
      </c>
      <c r="F185" s="3081" t="s">
        <v>3343</v>
      </c>
      <c r="G185" s="3079">
        <v>44.96</v>
      </c>
      <c r="H185" s="3079">
        <f t="shared" si="5"/>
        <v>2.1800000000000002</v>
      </c>
      <c r="I185" s="3079">
        <f>[1]典型户型修正!S185</f>
        <v>45</v>
      </c>
    </row>
    <row r="186" spans="1:9">
      <c r="A186">
        <v>185</v>
      </c>
      <c r="B186" s="3160"/>
      <c r="C186" s="3160"/>
      <c r="D186" s="3162"/>
      <c r="E186" s="3081" t="s">
        <v>3181</v>
      </c>
      <c r="F186" s="3081" t="s">
        <v>3343</v>
      </c>
      <c r="G186" s="3079">
        <v>43.45</v>
      </c>
      <c r="H186" s="3079">
        <f t="shared" si="5"/>
        <v>2.11</v>
      </c>
      <c r="I186" s="3079">
        <f>[1]典型户型修正!S186</f>
        <v>44</v>
      </c>
    </row>
    <row r="187" spans="1:9">
      <c r="A187">
        <v>186</v>
      </c>
      <c r="B187" s="3160"/>
      <c r="C187" s="3160"/>
      <c r="D187" s="3162"/>
      <c r="E187" s="3081" t="s">
        <v>3182</v>
      </c>
      <c r="F187" s="3081" t="s">
        <v>3343</v>
      </c>
      <c r="G187" s="3079">
        <v>44.96</v>
      </c>
      <c r="H187" s="3079">
        <f t="shared" si="5"/>
        <v>2.1800000000000002</v>
      </c>
      <c r="I187" s="3079">
        <f>[1]典型户型修正!S187</f>
        <v>45</v>
      </c>
    </row>
    <row r="188" spans="1:9">
      <c r="A188">
        <v>187</v>
      </c>
      <c r="B188" s="3160"/>
      <c r="C188" s="3160"/>
      <c r="D188" s="3162"/>
      <c r="E188" s="3081" t="s">
        <v>3183</v>
      </c>
      <c r="F188" s="3081" t="s">
        <v>3343</v>
      </c>
      <c r="G188" s="3079">
        <v>45.87</v>
      </c>
      <c r="H188" s="3079">
        <f t="shared" si="5"/>
        <v>2.2200000000000002</v>
      </c>
      <c r="I188" s="3079">
        <f>[1]典型户型修正!S188</f>
        <v>46</v>
      </c>
    </row>
    <row r="189" spans="1:9">
      <c r="A189">
        <v>188</v>
      </c>
      <c r="B189" s="3160"/>
      <c r="C189" s="3160"/>
      <c r="D189" s="3162"/>
      <c r="E189" s="3081" t="s">
        <v>3184</v>
      </c>
      <c r="F189" s="3081" t="s">
        <v>3343</v>
      </c>
      <c r="G189" s="3079">
        <v>44.32</v>
      </c>
      <c r="H189" s="3079">
        <f t="shared" si="5"/>
        <v>2.15</v>
      </c>
      <c r="I189" s="3079">
        <f>[1]典型户型修正!S189</f>
        <v>45</v>
      </c>
    </row>
    <row r="190" spans="1:9">
      <c r="A190">
        <v>189</v>
      </c>
      <c r="B190" s="3160"/>
      <c r="C190" s="3160"/>
      <c r="D190" s="3162"/>
      <c r="E190" s="3081" t="s">
        <v>3201</v>
      </c>
      <c r="F190" s="3081" t="s">
        <v>3343</v>
      </c>
      <c r="G190" s="3079">
        <v>45.87</v>
      </c>
      <c r="H190" s="3079">
        <f t="shared" si="5"/>
        <v>2.2200000000000002</v>
      </c>
      <c r="I190" s="3079">
        <f>[1]典型户型修正!S190</f>
        <v>46</v>
      </c>
    </row>
    <row r="191" spans="1:9">
      <c r="A191">
        <v>190</v>
      </c>
      <c r="B191" s="3160"/>
      <c r="C191" s="3160"/>
      <c r="D191" s="3162"/>
      <c r="E191" s="3081" t="s">
        <v>3202</v>
      </c>
      <c r="F191" s="3081" t="s">
        <v>3343</v>
      </c>
      <c r="G191" s="3079">
        <v>44.96</v>
      </c>
      <c r="H191" s="3079">
        <f t="shared" si="5"/>
        <v>2.1800000000000002</v>
      </c>
      <c r="I191" s="3079">
        <f>[1]典型户型修正!S191</f>
        <v>45</v>
      </c>
    </row>
    <row r="192" spans="1:9">
      <c r="A192">
        <v>191</v>
      </c>
      <c r="B192" s="3160"/>
      <c r="C192" s="3160"/>
      <c r="D192" s="3162"/>
      <c r="E192" s="3081" t="s">
        <v>3185</v>
      </c>
      <c r="F192" s="3081" t="s">
        <v>3343</v>
      </c>
      <c r="G192" s="3079">
        <v>43.45</v>
      </c>
      <c r="H192" s="3079">
        <f t="shared" si="5"/>
        <v>2.11</v>
      </c>
      <c r="I192" s="3079">
        <f>[1]典型户型修正!S192</f>
        <v>44</v>
      </c>
    </row>
    <row r="193" spans="1:9">
      <c r="A193">
        <v>192</v>
      </c>
      <c r="B193" s="3160"/>
      <c r="C193" s="3160"/>
      <c r="D193" s="3162"/>
      <c r="E193" s="3081" t="s">
        <v>3186</v>
      </c>
      <c r="F193" s="3081" t="s">
        <v>3343</v>
      </c>
      <c r="G193" s="3079">
        <v>44.96</v>
      </c>
      <c r="H193" s="3079">
        <f t="shared" si="5"/>
        <v>2.1800000000000002</v>
      </c>
      <c r="I193" s="3079">
        <f>[1]典型户型修正!S193</f>
        <v>45</v>
      </c>
    </row>
    <row r="194" spans="1:9">
      <c r="A194">
        <v>193</v>
      </c>
      <c r="B194" s="3160"/>
      <c r="C194" s="3160"/>
      <c r="D194" s="3162"/>
      <c r="E194" s="3081" t="s">
        <v>3187</v>
      </c>
      <c r="F194" s="3081" t="s">
        <v>3343</v>
      </c>
      <c r="G194" s="3079">
        <v>44.96</v>
      </c>
      <c r="H194" s="3079">
        <f t="shared" ref="H194:H199" si="6">ROUND(G194/$G$201*$L$6,2)</f>
        <v>2.1800000000000002</v>
      </c>
      <c r="I194" s="3079">
        <f>[1]典型户型修正!S194</f>
        <v>45</v>
      </c>
    </row>
    <row r="195" spans="1:9">
      <c r="A195">
        <v>194</v>
      </c>
      <c r="B195" s="3160"/>
      <c r="C195" s="3160"/>
      <c r="D195" s="3162"/>
      <c r="E195" s="3081" t="s">
        <v>3188</v>
      </c>
      <c r="F195" s="3081" t="s">
        <v>3343</v>
      </c>
      <c r="G195" s="3079">
        <v>43.45</v>
      </c>
      <c r="H195" s="3079">
        <f t="shared" si="6"/>
        <v>2.11</v>
      </c>
      <c r="I195" s="3079">
        <f>[1]典型户型修正!S195</f>
        <v>44</v>
      </c>
    </row>
    <row r="196" spans="1:9">
      <c r="A196">
        <v>195</v>
      </c>
      <c r="B196" s="3160"/>
      <c r="C196" s="3160"/>
      <c r="D196" s="3162"/>
      <c r="E196" s="3081" t="s">
        <v>3189</v>
      </c>
      <c r="F196" s="3081" t="s">
        <v>3343</v>
      </c>
      <c r="G196" s="3079">
        <v>44.96</v>
      </c>
      <c r="H196" s="3079">
        <f t="shared" si="6"/>
        <v>2.1800000000000002</v>
      </c>
      <c r="I196" s="3079">
        <f>[1]典型户型修正!S196</f>
        <v>45</v>
      </c>
    </row>
    <row r="197" spans="1:9">
      <c r="A197">
        <v>196</v>
      </c>
      <c r="B197" s="3160"/>
      <c r="C197" s="3160"/>
      <c r="D197" s="3162"/>
      <c r="E197" s="3081" t="s">
        <v>3190</v>
      </c>
      <c r="F197" s="3081" t="s">
        <v>3343</v>
      </c>
      <c r="G197" s="3079">
        <v>45.72</v>
      </c>
      <c r="H197" s="3079">
        <f t="shared" si="6"/>
        <v>2.2200000000000002</v>
      </c>
      <c r="I197" s="3079">
        <f>[1]典型户型修正!S197</f>
        <v>46</v>
      </c>
    </row>
    <row r="198" spans="1:9">
      <c r="A198">
        <v>197</v>
      </c>
      <c r="B198" s="3160"/>
      <c r="C198" s="3160"/>
      <c r="D198" s="3162"/>
      <c r="E198" s="3081" t="s">
        <v>3191</v>
      </c>
      <c r="F198" s="3081" t="s">
        <v>3343</v>
      </c>
      <c r="G198" s="3079">
        <v>45.72</v>
      </c>
      <c r="H198" s="3079">
        <f t="shared" si="6"/>
        <v>2.2200000000000002</v>
      </c>
      <c r="I198" s="3079">
        <f>[1]典型户型修正!S198</f>
        <v>46</v>
      </c>
    </row>
    <row r="199" spans="1:9">
      <c r="A199">
        <v>198</v>
      </c>
      <c r="B199" s="3160"/>
      <c r="C199" s="3160"/>
      <c r="D199" s="3162"/>
      <c r="E199" s="3081" t="s">
        <v>3192</v>
      </c>
      <c r="F199" s="3081" t="s">
        <v>3343</v>
      </c>
      <c r="G199" s="3079">
        <v>42.13</v>
      </c>
      <c r="H199" s="3079">
        <f t="shared" si="6"/>
        <v>2.04</v>
      </c>
      <c r="I199" s="3079">
        <f>[1]典型户型修正!S199</f>
        <v>43</v>
      </c>
    </row>
    <row r="200" spans="1:9">
      <c r="A200">
        <v>199</v>
      </c>
      <c r="B200" s="3160"/>
      <c r="C200" s="3160"/>
      <c r="D200" s="3162"/>
      <c r="E200" s="3081" t="s">
        <v>3298</v>
      </c>
      <c r="F200" s="3081" t="s">
        <v>3346</v>
      </c>
      <c r="G200" s="3079">
        <v>4077.78</v>
      </c>
      <c r="H200" s="3079">
        <f>L6-SUM(H2:H199)</f>
        <v>197.46999999999798</v>
      </c>
      <c r="I200" s="3079">
        <f>系统读取表!D15</f>
        <v>6863</v>
      </c>
    </row>
    <row r="201" spans="1:9">
      <c r="E201" s="3081" t="s">
        <v>3332</v>
      </c>
      <c r="F201" s="3081"/>
      <c r="G201" s="3079">
        <f>SUM(G2:G200)</f>
        <v>28442.770000000008</v>
      </c>
      <c r="H201" s="3079">
        <f>SUM(H2:H200)</f>
        <v>1378.4</v>
      </c>
      <c r="I201" s="3079">
        <f ca="1">SUM(I2:I200)</f>
        <v>80008</v>
      </c>
    </row>
  </sheetData>
  <mergeCells count="3">
    <mergeCell ref="B2:B200"/>
    <mergeCell ref="C2:C200"/>
    <mergeCell ref="D2:D200"/>
  </mergeCells>
  <phoneticPr fontId="1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1812</v>
      </c>
      <c r="B1" s="1300"/>
      <c r="C1" s="1300"/>
      <c r="D1" s="1300"/>
      <c r="E1" s="1300"/>
      <c r="F1" s="1300"/>
      <c r="G1" s="1300"/>
      <c r="H1" s="1300"/>
      <c r="I1" s="1300"/>
      <c r="J1" s="1300"/>
      <c r="K1" s="1300"/>
      <c r="L1" s="1300"/>
      <c r="M1" s="1300"/>
      <c r="N1" s="1300"/>
      <c r="O1" s="1300"/>
      <c r="P1" s="1300"/>
    </row>
    <row r="2" spans="1:16" ht="15">
      <c r="A2" s="3172" t="s">
        <v>1813</v>
      </c>
      <c r="B2" s="3172"/>
      <c r="C2" s="3172"/>
      <c r="D2" s="904" t="s">
        <v>1789</v>
      </c>
      <c r="E2" s="1825" t="s">
        <v>1790</v>
      </c>
      <c r="F2" s="2887"/>
      <c r="G2" s="2878"/>
      <c r="H2" s="2879"/>
      <c r="I2" s="2549" t="s">
        <v>1814</v>
      </c>
      <c r="J2" s="2887"/>
      <c r="K2" s="2887"/>
      <c r="L2" s="2887"/>
      <c r="M2" s="2887"/>
      <c r="N2" s="2889"/>
      <c r="O2" s="2887"/>
      <c r="P2" s="2887"/>
    </row>
    <row r="3" spans="1:16" ht="15.75" thickBot="1">
      <c r="A3" s="3173" t="s">
        <v>1787</v>
      </c>
      <c r="B3" s="3173"/>
      <c r="C3" s="3173"/>
      <c r="D3" s="46">
        <f>'数据-基础表'!AY6</f>
        <v>11.65</v>
      </c>
      <c r="E3" s="46">
        <f>'数据-基础表'!AZ5</f>
        <v>240.41</v>
      </c>
      <c r="F3" s="2887"/>
      <c r="G3" s="1306"/>
      <c r="H3" s="1156" t="s">
        <v>1788</v>
      </c>
      <c r="I3" s="964">
        <f>ROUND('数据-基础表'!B3/'数据-基础表'!A3,2)</f>
        <v>20.64</v>
      </c>
      <c r="J3" s="2887"/>
      <c r="K3" s="2887"/>
      <c r="L3" s="2887"/>
      <c r="M3" s="2887"/>
      <c r="N3" s="2889"/>
      <c r="O3" s="2887"/>
      <c r="P3" s="2887"/>
    </row>
    <row r="4" spans="1:16" ht="15">
      <c r="A4" s="3174"/>
      <c r="B4" s="3175"/>
      <c r="C4" s="3176"/>
      <c r="D4" s="1827" t="s">
        <v>1789</v>
      </c>
      <c r="E4" s="1828" t="s">
        <v>1790</v>
      </c>
      <c r="F4" s="2887"/>
      <c r="G4" s="2880" t="s">
        <v>1815</v>
      </c>
      <c r="H4" s="1156" t="s">
        <v>1795</v>
      </c>
      <c r="I4" s="964">
        <f>ROUND(SUMIF('数据-基础表'!I9:AS9,"地上",'数据-基础表'!I5:AS5)/'数据-基础表'!A3,2)</f>
        <v>20.64</v>
      </c>
      <c r="J4" s="2887"/>
      <c r="K4" s="2887"/>
      <c r="L4" s="2887"/>
      <c r="M4" s="2887"/>
      <c r="N4" s="2889"/>
      <c r="O4" s="2887"/>
      <c r="P4" s="2887"/>
    </row>
    <row r="5" spans="1:16">
      <c r="A5" s="47" t="s">
        <v>1791</v>
      </c>
      <c r="B5" s="3177" t="s">
        <v>1792</v>
      </c>
      <c r="C5" s="3177"/>
      <c r="D5" s="48">
        <f>ROUND($D$3*E5/$E$3,2)</f>
        <v>0</v>
      </c>
      <c r="E5" s="49">
        <f>SUMIF('数据-基础表'!$11:$11,"住宅",'数据-基础表'!$5:$5)</f>
        <v>0</v>
      </c>
      <c r="F5" s="2887"/>
      <c r="G5" s="1306"/>
      <c r="H5" s="1156" t="s">
        <v>1788</v>
      </c>
      <c r="I5" s="964">
        <f>ROUND(E31/D31,2)</f>
        <v>20.64</v>
      </c>
      <c r="J5" s="2887"/>
      <c r="K5" s="2887"/>
      <c r="L5" s="2887"/>
      <c r="M5" s="2887"/>
      <c r="N5" s="2887"/>
      <c r="O5" s="2887"/>
      <c r="P5" s="2887"/>
    </row>
    <row r="6" spans="1:16" ht="15" thickBot="1">
      <c r="A6" s="1830"/>
      <c r="B6" s="3177" t="s">
        <v>1793</v>
      </c>
      <c r="C6" s="3177"/>
      <c r="D6" s="48">
        <f>ROUND($D$3*E6/$E$3,2)</f>
        <v>11.65</v>
      </c>
      <c r="E6" s="49">
        <f>E3-E5</f>
        <v>240.41</v>
      </c>
      <c r="F6" s="2887"/>
      <c r="G6" s="2881" t="s">
        <v>1794</v>
      </c>
      <c r="H6" s="1307" t="s">
        <v>1795</v>
      </c>
      <c r="I6" s="2882">
        <f>ROUND(F31/D31,2)</f>
        <v>20.64</v>
      </c>
      <c r="J6" s="2887"/>
      <c r="K6" s="2887"/>
      <c r="L6" s="2887"/>
      <c r="M6" s="2887"/>
      <c r="N6" s="2887"/>
      <c r="O6" s="2887"/>
      <c r="P6" s="2887"/>
    </row>
    <row r="7" spans="1:16" ht="15.75" thickBot="1">
      <c r="A7" s="3169"/>
      <c r="B7" s="3170"/>
      <c r="C7" s="3171"/>
      <c r="D7" s="1827" t="s">
        <v>1789</v>
      </c>
      <c r="E7" s="1831" t="s">
        <v>1796</v>
      </c>
      <c r="F7" s="2887"/>
      <c r="G7" s="2883" t="s">
        <v>1797</v>
      </c>
      <c r="H7" s="2884"/>
      <c r="I7" s="2885"/>
      <c r="J7" s="2887"/>
      <c r="K7" s="2887"/>
      <c r="L7" s="2887"/>
      <c r="M7" s="2887"/>
      <c r="N7" s="2887"/>
      <c r="O7" s="2887"/>
      <c r="P7" s="2887"/>
    </row>
    <row r="8" spans="1:16">
      <c r="A8" s="47" t="s">
        <v>1798</v>
      </c>
      <c r="B8" s="50" t="s">
        <v>1799</v>
      </c>
      <c r="C8" s="48" t="s">
        <v>1800</v>
      </c>
      <c r="D8" s="48">
        <f t="shared" ref="D8:D15" si="0">ROUND($D$3*E8/$E$3,2)</f>
        <v>11.65</v>
      </c>
      <c r="E8" s="51">
        <f>SUMIF('数据-基础表'!BB10:BK10,"地上",'数据-基础表'!BB5:BK5)</f>
        <v>240.41</v>
      </c>
      <c r="F8" s="2887"/>
      <c r="G8" s="2888"/>
      <c r="H8" s="2888"/>
      <c r="I8" s="2887"/>
      <c r="J8" s="2887"/>
      <c r="K8" s="2887"/>
      <c r="L8" s="2887"/>
      <c r="M8" s="2887"/>
      <c r="N8" s="2887"/>
      <c r="O8" s="2887"/>
      <c r="P8" s="2887"/>
    </row>
    <row r="9" spans="1:16">
      <c r="A9" s="1832"/>
      <c r="B9" s="1833"/>
      <c r="C9" s="48" t="s">
        <v>1801</v>
      </c>
      <c r="D9" s="48">
        <f t="shared" si="0"/>
        <v>0</v>
      </c>
      <c r="E9" s="52">
        <v>0</v>
      </c>
      <c r="F9" s="2887"/>
      <c r="G9" s="2888"/>
      <c r="H9" s="2888"/>
      <c r="I9" s="2887"/>
      <c r="J9" s="2887"/>
      <c r="K9" s="2887"/>
      <c r="L9" s="2887"/>
      <c r="M9" s="2887"/>
      <c r="N9" s="2887"/>
      <c r="O9" s="2887"/>
      <c r="P9" s="2887"/>
    </row>
    <row r="10" spans="1:16">
      <c r="A10" s="1832"/>
      <c r="B10" s="1833"/>
      <c r="C10" s="48" t="s">
        <v>1810</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1802</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1803</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1804</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1816</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1811</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1805</v>
      </c>
      <c r="D16" s="50">
        <f>SUM(D8:D15)</f>
        <v>11.65</v>
      </c>
      <c r="E16" s="53">
        <f>SUM(E8:E15)</f>
        <v>240.41</v>
      </c>
      <c r="F16" s="2887"/>
      <c r="G16" s="2888"/>
      <c r="H16" s="1834" t="s">
        <v>1817</v>
      </c>
      <c r="I16" s="1835"/>
      <c r="J16" s="1300"/>
      <c r="K16" s="3166" t="s">
        <v>1817</v>
      </c>
      <c r="L16" s="3167"/>
      <c r="M16" s="3167"/>
      <c r="N16" s="3167"/>
      <c r="O16" s="3167"/>
      <c r="P16" s="3168"/>
    </row>
    <row r="17" spans="1:19" ht="15">
      <c r="A17" s="1836" t="s">
        <v>1818</v>
      </c>
      <c r="B17" s="1837" t="s">
        <v>1819</v>
      </c>
      <c r="C17" s="1838" t="s">
        <v>1820</v>
      </c>
      <c r="D17" s="1839" t="s">
        <v>1808</v>
      </c>
      <c r="E17" s="1840" t="s">
        <v>1809</v>
      </c>
      <c r="F17" s="1841"/>
      <c r="G17" s="1842"/>
      <c r="H17" s="1843" t="s">
        <v>1821</v>
      </c>
      <c r="I17" s="1844" t="s">
        <v>1806</v>
      </c>
      <c r="J17" s="1300"/>
      <c r="K17" s="3163" t="s">
        <v>1822</v>
      </c>
      <c r="L17" s="3164"/>
      <c r="M17" s="3165"/>
      <c r="N17" s="3163" t="s">
        <v>1823</v>
      </c>
      <c r="O17" s="3164"/>
      <c r="P17" s="3165"/>
      <c r="R17" s="1826" t="s">
        <v>1824</v>
      </c>
      <c r="S17" s="60"/>
    </row>
    <row r="18" spans="1:19" ht="15">
      <c r="A18" s="1832"/>
      <c r="B18" s="1845"/>
      <c r="C18" s="1846"/>
      <c r="D18" s="1847"/>
      <c r="E18" s="1848" t="s">
        <v>1825</v>
      </c>
      <c r="F18" s="1849" t="s">
        <v>1826</v>
      </c>
      <c r="G18" s="1850" t="s">
        <v>1827</v>
      </c>
      <c r="H18" s="1171" t="s">
        <v>1828</v>
      </c>
      <c r="I18" s="1851" t="s">
        <v>1829</v>
      </c>
      <c r="J18" s="1300"/>
      <c r="K18" s="1171" t="s">
        <v>1830</v>
      </c>
      <c r="L18" s="1852" t="s">
        <v>1831</v>
      </c>
      <c r="M18" s="964" t="s">
        <v>1832</v>
      </c>
      <c r="N18" s="1171" t="s">
        <v>1830</v>
      </c>
      <c r="O18" s="1852" t="s">
        <v>1831</v>
      </c>
      <c r="P18" s="964" t="s">
        <v>1832</v>
      </c>
      <c r="R18" s="1156" t="s">
        <v>1833</v>
      </c>
      <c r="S18" s="1156" t="s">
        <v>1834</v>
      </c>
    </row>
    <row r="19" spans="1:19">
      <c r="A19" s="1853"/>
      <c r="B19" s="50" t="s">
        <v>1807</v>
      </c>
      <c r="C19" s="3070" t="s">
        <v>3211</v>
      </c>
      <c r="D19" s="48">
        <f>ROUND($D$3*E19/$E$3,2)</f>
        <v>11.65</v>
      </c>
      <c r="E19" s="56">
        <f t="shared" ref="E19:E26" si="1">SUM(F19:G19)</f>
        <v>240.41</v>
      </c>
      <c r="F19" s="3027">
        <f>'数据-基础表'!I13</f>
        <v>240.41</v>
      </c>
      <c r="G19" s="3028"/>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11.65</v>
      </c>
      <c r="S19" s="1157">
        <f t="shared" si="5"/>
        <v>240.41</v>
      </c>
    </row>
    <row r="20" spans="1:19">
      <c r="A20" s="1857"/>
      <c r="B20" s="50" t="s">
        <v>1835</v>
      </c>
      <c r="C20" s="3070" t="s">
        <v>3212</v>
      </c>
      <c r="D20" s="48">
        <f t="shared" ref="D20:D26" si="6">ROUND($D$3*E20/$E$3,2)</f>
        <v>0</v>
      </c>
      <c r="E20" s="56">
        <f t="shared" si="1"/>
        <v>0</v>
      </c>
      <c r="F20" s="3027"/>
      <c r="G20" s="3028"/>
      <c r="H20" s="679">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1835</v>
      </c>
      <c r="C21" s="1854"/>
      <c r="D21" s="48">
        <f t="shared" si="6"/>
        <v>0</v>
      </c>
      <c r="E21" s="56">
        <f t="shared" si="1"/>
        <v>0</v>
      </c>
      <c r="F21" s="3027"/>
      <c r="G21" s="3028"/>
      <c r="H21" s="679">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1835</v>
      </c>
      <c r="C22" s="58"/>
      <c r="D22" s="48">
        <f t="shared" si="6"/>
        <v>0</v>
      </c>
      <c r="E22" s="56">
        <f t="shared" si="1"/>
        <v>0</v>
      </c>
      <c r="F22" s="3029"/>
      <c r="G22" s="3030"/>
      <c r="H22" s="679">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1835</v>
      </c>
      <c r="C23" s="58"/>
      <c r="D23" s="48">
        <f>ROUND($D$3*E23/$E$3,2)</f>
        <v>0</v>
      </c>
      <c r="E23" s="56">
        <f>SUM(F23:G23)</f>
        <v>0</v>
      </c>
      <c r="F23" s="3029"/>
      <c r="G23" s="3030"/>
      <c r="H23" s="679">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1835</v>
      </c>
      <c r="C24" s="58"/>
      <c r="D24" s="48">
        <f>ROUND($D$3*E24/$E$3,2)</f>
        <v>0</v>
      </c>
      <c r="E24" s="56">
        <f>SUM(F24:G24)</f>
        <v>0</v>
      </c>
      <c r="F24" s="3029"/>
      <c r="G24" s="3030"/>
      <c r="H24" s="679">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1835</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1835</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1836</v>
      </c>
      <c r="D27" s="1301">
        <f>SUM(D19:D26)</f>
        <v>11.65</v>
      </c>
      <c r="E27" s="1302">
        <f>IF(SUM(E19:E26)='数据-基础表'!BA5,SUM(E19:E26),IF(F27="地上面积有误","面积有误","地下面积有误"))</f>
        <v>240.41</v>
      </c>
      <c r="F27" s="1301">
        <f>IF(SUM(F19:F26)=E8,SUM(F19:F26),"地上面积有误")</f>
        <v>240.41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11.65</v>
      </c>
      <c r="S27" s="1156">
        <f>IF(SUM(S19:S26)=$E$3,SUM(S19:S26),SUM(S19:S26)&amp;"误差"&amp;ROUND(SUM(S19:S26)-E3,2))</f>
        <v>240.41</v>
      </c>
    </row>
    <row r="28" spans="1:19">
      <c r="A28" s="1857"/>
      <c r="B28" s="50" t="s">
        <v>1837</v>
      </c>
      <c r="C28" s="1168" t="s">
        <v>1838</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1837</v>
      </c>
      <c r="C29" s="1861" t="s">
        <v>1839</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1836</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4" t="s">
        <v>1840</v>
      </c>
      <c r="D31" s="685">
        <f>D27+D30</f>
        <v>11.65</v>
      </c>
      <c r="E31" s="685">
        <f>E27+E30</f>
        <v>240.41</v>
      </c>
      <c r="F31" s="686">
        <f>F27+F30</f>
        <v>240.41</v>
      </c>
      <c r="G31" s="687">
        <f>G27+G30</f>
        <v>0</v>
      </c>
      <c r="H31" s="2887"/>
      <c r="I31" s="2887"/>
      <c r="J31" s="2887"/>
      <c r="K31" s="2887"/>
      <c r="L31" s="2887"/>
      <c r="M31" s="2887"/>
      <c r="N31" s="2887"/>
      <c r="O31" s="2887"/>
      <c r="P31" s="2887"/>
    </row>
    <row r="32" spans="1:19">
      <c r="A32" s="1829"/>
      <c r="B32" s="1829" t="s">
        <v>1841</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1842</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1843</v>
      </c>
      <c r="B2" s="1175">
        <f>项目基本情况!D3</f>
        <v>44222</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1844</v>
      </c>
      <c r="B4" s="1875"/>
      <c r="C4" s="1876"/>
      <c r="D4" s="1877"/>
      <c r="E4" s="1876" t="s">
        <v>1845</v>
      </c>
      <c r="F4" s="1876"/>
      <c r="G4" s="1876"/>
      <c r="H4" s="1876"/>
      <c r="I4" s="1876"/>
      <c r="J4" s="1878"/>
      <c r="K4" s="1879"/>
      <c r="L4" s="1880"/>
      <c r="M4" s="1876"/>
      <c r="N4" s="1876" t="s">
        <v>1846</v>
      </c>
      <c r="O4" s="1876"/>
      <c r="P4" s="1876"/>
      <c r="Q4" s="1876"/>
      <c r="R4" s="1876"/>
      <c r="S4" s="1878"/>
      <c r="T4" s="2886" t="str">
        <f>'数据-汇总表'!I17</f>
        <v>按面积比例</v>
      </c>
      <c r="U4" s="1875" t="s">
        <v>1847</v>
      </c>
      <c r="V4" s="1876"/>
      <c r="W4" s="1876"/>
      <c r="X4" s="1876"/>
      <c r="Y4" s="1878"/>
      <c r="Z4" s="1838" t="s">
        <v>1848</v>
      </c>
      <c r="AA4" s="1838"/>
      <c r="AB4" s="1838"/>
      <c r="AC4" s="1838"/>
      <c r="AD4" s="1838"/>
      <c r="AE4" s="1836" t="s">
        <v>1849</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1850</v>
      </c>
      <c r="B5" s="1883" t="s">
        <v>1851</v>
      </c>
      <c r="C5" s="1884" t="s">
        <v>1852</v>
      </c>
      <c r="D5" s="1885" t="s">
        <v>1853</v>
      </c>
      <c r="E5" s="1177" t="s">
        <v>1854</v>
      </c>
      <c r="F5" s="1886" t="s">
        <v>1855</v>
      </c>
      <c r="G5" s="1177" t="s">
        <v>1856</v>
      </c>
      <c r="H5" s="1177" t="s">
        <v>1857</v>
      </c>
      <c r="I5" s="1177" t="s">
        <v>1858</v>
      </c>
      <c r="J5" s="1887" t="s">
        <v>1859</v>
      </c>
      <c r="K5" s="1888" t="s">
        <v>1860</v>
      </c>
      <c r="L5" s="1889" t="s">
        <v>1861</v>
      </c>
      <c r="M5" s="1890" t="s">
        <v>1862</v>
      </c>
      <c r="N5" s="1891" t="s">
        <v>3216</v>
      </c>
      <c r="O5" s="1889" t="s">
        <v>1863</v>
      </c>
      <c r="P5" s="1892" t="s">
        <v>1864</v>
      </c>
      <c r="Q5" s="65" t="s">
        <v>1865</v>
      </c>
      <c r="R5" s="1893" t="s">
        <v>1866</v>
      </c>
      <c r="S5" s="1894" t="s">
        <v>1867</v>
      </c>
      <c r="T5" s="1895" t="s">
        <v>1868</v>
      </c>
      <c r="U5" s="1176" t="s">
        <v>1869</v>
      </c>
      <c r="V5" s="1177" t="s">
        <v>1870</v>
      </c>
      <c r="W5" s="1177" t="s">
        <v>1871</v>
      </c>
      <c r="X5" s="67"/>
      <c r="Y5" s="66" t="s">
        <v>1872</v>
      </c>
      <c r="Z5" s="1896" t="s">
        <v>1869</v>
      </c>
      <c r="AA5" s="1177" t="s">
        <v>1870</v>
      </c>
      <c r="AB5" s="1177" t="s">
        <v>1871</v>
      </c>
      <c r="AC5" s="67"/>
      <c r="AD5" s="67" t="s">
        <v>1872</v>
      </c>
      <c r="AE5" s="1176" t="s">
        <v>1873</v>
      </c>
      <c r="AF5" s="1177" t="s">
        <v>1874</v>
      </c>
      <c r="AG5" s="66" t="s">
        <v>1875</v>
      </c>
      <c r="AH5" s="1176" t="s">
        <v>1876</v>
      </c>
      <c r="AI5" s="1896" t="s">
        <v>1877</v>
      </c>
      <c r="AJ5" s="1896" t="s">
        <v>1878</v>
      </c>
      <c r="AK5" s="1177" t="s">
        <v>1879</v>
      </c>
      <c r="AL5" s="1177" t="s">
        <v>1880</v>
      </c>
      <c r="AM5" s="66" t="s">
        <v>1881</v>
      </c>
      <c r="AN5" s="1897" t="s">
        <v>1882</v>
      </c>
      <c r="AO5" s="1748" t="s">
        <v>1883</v>
      </c>
      <c r="AP5" s="1158" t="s">
        <v>1884</v>
      </c>
      <c r="AQ5" s="1898" t="s">
        <v>1885</v>
      </c>
      <c r="AR5" s="1898" t="s">
        <v>1886</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8.5000000000000006E-2</v>
      </c>
      <c r="K6" s="1160">
        <f>SUMIF('数据-汇总表'!C$19:C$33,A6,'数据-汇总表'!E$19:E$33)</f>
        <v>240.41</v>
      </c>
      <c r="L6" s="742">
        <v>5000</v>
      </c>
      <c r="M6" s="71">
        <f t="shared" ref="M6:M14" si="0">ROUND(K6*L6/10000,0)</f>
        <v>120</v>
      </c>
      <c r="N6" s="740">
        <v>0.78</v>
      </c>
      <c r="O6" s="71" t="str">
        <f>IF($N$5="成新度","——",ROUND(M6*N6,0))</f>
        <v>——</v>
      </c>
      <c r="P6" s="72" t="str">
        <f>IF($N$5="成新度","——",M6-O6)</f>
        <v>——</v>
      </c>
      <c r="Q6" s="743">
        <v>0.2</v>
      </c>
      <c r="R6" s="73">
        <f ca="1">SUMIF('数据-汇总表'!C$19:C$33,A6,'数据-汇总表'!R$19:R$27)</f>
        <v>11.65</v>
      </c>
      <c r="S6" s="54">
        <f>IF('数据-汇总表'!$I$17="按面积比例",SUMIF('数据-汇总表'!C$19:C$33,A6,'数据-汇总表'!K$19:K$33),SUMIF('数据-汇总表'!C$19:C$33,A6,'数据-汇总表'!N$19:N$33))</f>
        <v>0</v>
      </c>
      <c r="T6" s="1333">
        <f>ROUND($L$14*S6/10000,0)</f>
        <v>0</v>
      </c>
      <c r="U6" s="74">
        <v>10.5</v>
      </c>
      <c r="V6" s="75">
        <v>3.5000000000000003E-2</v>
      </c>
      <c r="W6" s="75">
        <v>0.1</v>
      </c>
      <c r="X6" s="1170"/>
      <c r="Y6" s="76">
        <f>N6</f>
        <v>0.78</v>
      </c>
      <c r="Z6" s="77"/>
      <c r="AA6" s="70"/>
      <c r="AB6" s="70"/>
      <c r="AC6" s="1170"/>
      <c r="AD6" s="78"/>
      <c r="AE6" s="1171">
        <f ca="1">IF(AN6="",0,SUMIF(INDIRECT("'"&amp;AN6&amp;"'"&amp;"!E:E"),$AE$5,INDIRECT("'"&amp;AN6&amp;"'"&amp;"!F:F")))</f>
        <v>28.97</v>
      </c>
      <c r="AF6" s="1533"/>
      <c r="AG6" s="143">
        <f>IF(AF6="",0,AE6-AF6)</f>
        <v>0</v>
      </c>
      <c r="AH6" s="79"/>
      <c r="AI6" s="81">
        <v>365</v>
      </c>
      <c r="AJ6" s="82"/>
      <c r="AK6" s="83">
        <v>1.4999999999999999E-2</v>
      </c>
      <c r="AL6" s="84">
        <v>1.5E-3</v>
      </c>
      <c r="AM6" s="85">
        <v>0.02</v>
      </c>
      <c r="AN6" s="1902" t="s">
        <v>3217</v>
      </c>
      <c r="AO6" s="55">
        <f ca="1">SUMIF(INDIRECT("'"&amp;AN6&amp;"'"&amp;"!A:A"),"总价",INDIRECT("'"&amp;AN6&amp;"'"&amp;"!B:B"))</f>
        <v>1362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地下车库</v>
      </c>
      <c r="B7" s="1900" t="str">
        <f t="shared" ref="B7:B13" si="1">IF(A7=0,"","经营性")</f>
        <v>经营性</v>
      </c>
      <c r="C7" s="1901" t="s">
        <v>3213</v>
      </c>
      <c r="D7" s="967">
        <f>SUMIF(项目基本情况!D$12:I$12,C7,项目基本情况!D$14:I$14)</f>
        <v>50</v>
      </c>
      <c r="E7" s="966">
        <f>IF(B7="","",SUMIF(项目基本情况!D$12:I$12,C7,项目基本情况!D$13:I$13))</f>
        <v>54798</v>
      </c>
      <c r="F7" s="68">
        <f>SUMIF(项目基本情况!D$12:I$12,C7,项目基本情况!D$15:I$15)</f>
        <v>28.97</v>
      </c>
      <c r="G7" s="69">
        <f t="shared" ref="G7:G11" si="2">IF(ISERROR(ROUND(POWER(1+H7,D7-F7)*(POWER(1+H7,F7)-1)/(POWER(1+H7,D7)-1),3)),0,ROUND(POWER(1+H7,D7-F7)*(POWER(1+H7,F7)-1)/(POWER(1+H7,D7)-1),3))</f>
        <v>0.79</v>
      </c>
      <c r="H7" s="741">
        <v>0.04</v>
      </c>
      <c r="I7" s="741">
        <v>4.4999999999999998E-2</v>
      </c>
      <c r="J7" s="70">
        <v>8.5000000000000006E-2</v>
      </c>
      <c r="K7" s="1160">
        <f>SUMIF('数据-汇总表'!C$19:C$33,A7,'数据-汇总表'!E$19:E$33)</f>
        <v>0</v>
      </c>
      <c r="L7" s="742">
        <v>3500</v>
      </c>
      <c r="M7" s="71">
        <f t="shared" si="0"/>
        <v>0</v>
      </c>
      <c r="N7" s="740">
        <f>N6</f>
        <v>0.78</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v>1240</v>
      </c>
      <c r="V7" s="75">
        <v>0.02</v>
      </c>
      <c r="W7" s="75">
        <v>0.1</v>
      </c>
      <c r="X7" s="1170"/>
      <c r="Y7" s="76">
        <f>Y6</f>
        <v>0.78</v>
      </c>
      <c r="Z7" s="77"/>
      <c r="AA7" s="70"/>
      <c r="AB7" s="70"/>
      <c r="AC7" s="1170"/>
      <c r="AD7" s="78"/>
      <c r="AE7" s="1171">
        <f t="shared" ref="AE7:AE13" ca="1" si="6">IF(AN7="",0,SUMIF(INDIRECT("'"&amp;AN7&amp;"'"&amp;"!E:E"),$AE$5,INDIRECT("'"&amp;AN7&amp;"'"&amp;"!F:F")))</f>
        <v>28.97</v>
      </c>
      <c r="AF7" s="1533"/>
      <c r="AG7" s="143">
        <f t="shared" ref="AG7:AG13" si="7">IF(AF7="",0,AE7-AF7)</f>
        <v>0</v>
      </c>
      <c r="AH7" s="79">
        <v>132</v>
      </c>
      <c r="AI7" s="81">
        <v>12</v>
      </c>
      <c r="AJ7" s="82"/>
      <c r="AK7" s="83">
        <v>1.4999999999999999E-2</v>
      </c>
      <c r="AL7" s="84">
        <v>1.5E-3</v>
      </c>
      <c r="AM7" s="85">
        <v>0.02</v>
      </c>
      <c r="AN7" s="1902" t="s">
        <v>3240</v>
      </c>
      <c r="AO7" s="55">
        <f t="shared" ref="AO7:AO13" ca="1" si="8">SUMIF(INDIRECT("'"&amp;AN7&amp;"'"&amp;"!A:A"),"总价",INDIRECT("'"&amp;AN7&amp;"'"&amp;"!B:B"))</f>
        <v>2884</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1887</v>
      </c>
      <c r="B14" s="1900" t="s">
        <v>1888</v>
      </c>
      <c r="C14" s="1905" t="s">
        <v>1887</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1889</v>
      </c>
      <c r="B15" s="1900" t="s">
        <v>1888</v>
      </c>
      <c r="C15" s="1905" t="s">
        <v>1890</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1891</v>
      </c>
      <c r="B16" s="93"/>
      <c r="C16" s="942"/>
      <c r="D16" s="1907"/>
      <c r="E16" s="93"/>
      <c r="F16" s="93"/>
      <c r="G16" s="94">
        <f>ROUND(SUMPRODUCT(G6:G13,K6:K13)/SUMPRODUCT((G6:G13&gt;0)*(K6:K13)),3)</f>
        <v>0.82899999999999996</v>
      </c>
      <c r="H16" s="95">
        <f>ROUND(SUMPRODUCT(H6:H13,K6:K13)/SUMPRODUCT((H6:H13&gt;0)*(K6:K13)),3)</f>
        <v>0.05</v>
      </c>
      <c r="I16" s="96"/>
      <c r="J16" s="96"/>
      <c r="K16" s="97">
        <f>SUM(K6:K15)</f>
        <v>240.41</v>
      </c>
      <c r="L16" s="98">
        <f>ROUND(M16*10000/SUM(K6:K14),0)</f>
        <v>4991</v>
      </c>
      <c r="M16" s="98">
        <f>SUM(M6:M14)</f>
        <v>120</v>
      </c>
      <c r="N16" s="99">
        <f>ROUND(SUMPRODUCT(M6:M14,N6:N14)/M16,3)</f>
        <v>0.78</v>
      </c>
      <c r="O16" s="98">
        <f>SUM(O6:O14)</f>
        <v>0</v>
      </c>
      <c r="P16" s="98">
        <f>SUM(P6:P14)</f>
        <v>0</v>
      </c>
      <c r="Q16" s="100">
        <f>ROUND(SUMPRODUCT(Q6:Q13,K6:K13)/SUMPRODUCT((Q6:Q13&gt;0)*(K6:K13)),2)</f>
        <v>0.2</v>
      </c>
      <c r="R16" s="1164">
        <f ca="1">SUM(R6:R13)</f>
        <v>11.65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1892</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1893</v>
      </c>
      <c r="B19" s="108">
        <v>0</v>
      </c>
      <c r="C19" s="3031" t="s">
        <v>3048</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1894</v>
      </c>
      <c r="B20" s="109">
        <v>3</v>
      </c>
      <c r="C20" s="3032" t="s">
        <v>3046</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1895</v>
      </c>
      <c r="B21" s="109">
        <v>3</v>
      </c>
      <c r="C21" s="2903"/>
      <c r="D21" s="2906"/>
      <c r="E21" s="2903"/>
      <c r="F21" s="2903"/>
      <c r="G21" s="2903"/>
      <c r="H21" s="2903"/>
      <c r="I21" s="2903"/>
      <c r="J21" s="2903"/>
      <c r="K21" s="2902"/>
      <c r="L21" s="3071" t="s">
        <v>3214</v>
      </c>
      <c r="M21" s="1352">
        <f>ROUND(1-(2021-2000)/60,2)</f>
        <v>0.65</v>
      </c>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1896</v>
      </c>
      <c r="B22" s="110">
        <f>B19+B20</f>
        <v>3</v>
      </c>
      <c r="C22" s="2903"/>
      <c r="D22" s="2906"/>
      <c r="E22" s="2903"/>
      <c r="F22" s="2903"/>
      <c r="G22" s="2903"/>
      <c r="H22" s="2903"/>
      <c r="I22" s="2903"/>
      <c r="J22" s="2903"/>
      <c r="K22" s="2902"/>
      <c r="L22" s="3071" t="s">
        <v>3215</v>
      </c>
      <c r="M22" s="1352">
        <v>0.9</v>
      </c>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1897</v>
      </c>
      <c r="B23" s="110">
        <f>B19+B21</f>
        <v>3</v>
      </c>
      <c r="C23" s="2903"/>
      <c r="D23" s="2906"/>
      <c r="E23" s="2903"/>
      <c r="F23" s="2903"/>
      <c r="G23" s="2903"/>
      <c r="H23" s="2903"/>
      <c r="I23" s="2903"/>
      <c r="J23" s="2903"/>
      <c r="K23" s="2902"/>
      <c r="L23" s="1352"/>
      <c r="M23" s="1352">
        <f>(M21+M22)/2</f>
        <v>0.77500000000000002</v>
      </c>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1898</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1899</v>
      </c>
      <c r="B26" s="1913" t="s">
        <v>1900</v>
      </c>
      <c r="C26" s="2907" t="s">
        <v>1901</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1902</v>
      </c>
      <c r="B27" s="112"/>
      <c r="C27" s="3033" t="s">
        <v>3050</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1903</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1904</v>
      </c>
      <c r="B29" s="117"/>
      <c r="C29" s="3034" t="s">
        <v>3036</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1905</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1906</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1907</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1908</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1909</v>
      </c>
      <c r="B34" s="118">
        <v>0.05</v>
      </c>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1910</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1911</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1912</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1913</v>
      </c>
      <c r="B38" s="118">
        <v>0.02</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1914</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1915</v>
      </c>
      <c r="B40" s="1209">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1916</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1917</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1918</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1919</v>
      </c>
      <c r="B44" s="124">
        <v>7.0000000000000007E-2</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1920</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1921</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1922</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1923</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1924</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1925</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1926</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1927</v>
      </c>
      <c r="B52" s="129">
        <f>SUMIF(A54:A63,B53,B54:B63)</f>
        <v>24</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1928</v>
      </c>
      <c r="B53" s="1925" t="s">
        <v>269</v>
      </c>
      <c r="C53" s="2889" t="s">
        <v>1929</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1930</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1931</v>
      </c>
      <c r="B55" s="80">
        <v>24</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1932</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1933</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1934</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1935</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1936</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1937</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1938</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1939</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78" t="s">
        <v>3028</v>
      </c>
      <c r="B1" s="3179"/>
      <c r="C1" s="3179"/>
      <c r="D1" s="3179"/>
      <c r="E1" s="3179"/>
      <c r="F1" s="3179"/>
      <c r="G1" s="3179"/>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8"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8"/>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B29" sqref="B29"/>
    </sheetView>
  </sheetViews>
  <sheetFormatPr defaultColWidth="9" defaultRowHeight="13.5"/>
  <cols>
    <col min="1" max="1" width="25" style="2740" customWidth="1"/>
    <col min="2" max="9" width="15.75" style="2740" customWidth="1"/>
    <col min="10" max="16384" width="9" style="2740"/>
  </cols>
  <sheetData>
    <row r="1" spans="1:11" ht="16.5">
      <c r="A1" s="2739" t="s">
        <v>1327</v>
      </c>
      <c r="B1" s="2739">
        <f>SUM(B14:B23)</f>
        <v>28442.769999999997</v>
      </c>
      <c r="C1" s="2916"/>
      <c r="D1" s="2916"/>
      <c r="E1" s="2916"/>
      <c r="F1" s="2916"/>
      <c r="G1" s="2917"/>
      <c r="H1" s="2918"/>
      <c r="I1" s="2918"/>
      <c r="J1" s="2918"/>
      <c r="K1" s="2918"/>
    </row>
    <row r="2" spans="1:11" ht="16.5">
      <c r="A2" s="2739" t="s">
        <v>1315</v>
      </c>
      <c r="B2" s="2739">
        <f>SUM(C14:C23)</f>
        <v>1378.3999999999996</v>
      </c>
      <c r="C2" s="2916"/>
      <c r="D2" s="2916"/>
      <c r="E2" s="2916"/>
      <c r="F2" s="2916"/>
      <c r="G2" s="2917"/>
      <c r="H2" s="2918"/>
      <c r="I2" s="2918"/>
      <c r="J2" s="2918"/>
      <c r="K2" s="2918"/>
    </row>
    <row r="3" spans="1:11" ht="16.5">
      <c r="A3" s="2739" t="s">
        <v>1324</v>
      </c>
      <c r="B3" s="2741">
        <f>项目基本情况!D3</f>
        <v>44222</v>
      </c>
      <c r="C3" s="2916"/>
      <c r="D3" s="2916"/>
      <c r="E3" s="2916"/>
      <c r="F3" s="2916"/>
      <c r="G3" s="2917"/>
      <c r="H3" s="2918"/>
      <c r="I3" s="2918"/>
      <c r="J3" s="2918"/>
      <c r="K3" s="2918"/>
    </row>
    <row r="4" spans="1:11" ht="33">
      <c r="A4" s="2739" t="s">
        <v>1323</v>
      </c>
      <c r="B4" s="2739" t="s">
        <v>1322</v>
      </c>
      <c r="C4" s="2739" t="s">
        <v>1321</v>
      </c>
      <c r="D4" s="2739" t="s">
        <v>1320</v>
      </c>
      <c r="E4" s="2916"/>
      <c r="F4" s="2917"/>
      <c r="G4" s="2917"/>
      <c r="H4" s="2918"/>
      <c r="I4" s="2918"/>
      <c r="J4" s="2918"/>
      <c r="K4" s="2918"/>
    </row>
    <row r="5" spans="1:11" ht="16.5">
      <c r="A5" s="2739" t="s">
        <v>1319</v>
      </c>
      <c r="B5" s="2739">
        <f ca="1">SUM(D14:D23)</f>
        <v>80008</v>
      </c>
      <c r="C5" s="2739">
        <f ca="1">ROUND(B5*10000/$B$1,0)</f>
        <v>28129</v>
      </c>
      <c r="D5" s="2739">
        <f ca="1">ROUND(B5*10000/$B$2,0)</f>
        <v>580441</v>
      </c>
      <c r="E5" s="2916"/>
      <c r="F5" s="2917"/>
      <c r="G5" s="2917"/>
      <c r="H5" s="2918"/>
      <c r="I5" s="2918"/>
      <c r="J5" s="2918"/>
      <c r="K5" s="2918"/>
    </row>
    <row r="6" spans="1:11" ht="16.5">
      <c r="A6" s="2739" t="s">
        <v>1318</v>
      </c>
      <c r="B6" s="2739">
        <f ca="1">SUM(G14:G23)</f>
        <v>80008</v>
      </c>
      <c r="C6" s="2739">
        <f ca="1">ROUND(B6*10000/$B$1,0)</f>
        <v>28129</v>
      </c>
      <c r="D6" s="2739">
        <f ca="1">ROUND(B6*10000/$B$2,0)</f>
        <v>580441</v>
      </c>
      <c r="E6" s="2916"/>
      <c r="F6" s="2917"/>
      <c r="G6" s="2917"/>
      <c r="H6" s="2918"/>
      <c r="I6" s="2918"/>
      <c r="J6" s="2918"/>
      <c r="K6" s="2918"/>
    </row>
    <row r="7" spans="1:11" ht="16.5">
      <c r="A7" s="2739" t="s">
        <v>1326</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1317</v>
      </c>
      <c r="B9" s="2747"/>
      <c r="C9" s="2916"/>
      <c r="D9" s="2916"/>
      <c r="E9" s="2916"/>
      <c r="F9" s="2917"/>
      <c r="G9" s="2917"/>
      <c r="H9" s="2918"/>
      <c r="I9" s="2918"/>
      <c r="J9" s="2918"/>
      <c r="K9" s="2918"/>
    </row>
    <row r="10" spans="1:11" ht="16.5">
      <c r="A10" s="2739" t="s">
        <v>1316</v>
      </c>
      <c r="B10" s="2747"/>
      <c r="C10" s="2916"/>
      <c r="D10" s="2916"/>
      <c r="E10" s="2916"/>
      <c r="F10" s="2917"/>
      <c r="G10" s="2917"/>
      <c r="H10" s="2918"/>
      <c r="I10" s="2918"/>
      <c r="J10" s="2918"/>
      <c r="K10" s="2918"/>
    </row>
    <row r="11" spans="1:11" ht="16.5">
      <c r="A11" s="2739" t="s">
        <v>1332</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1331</v>
      </c>
      <c r="B13" s="2743" t="s">
        <v>1328</v>
      </c>
      <c r="C13" s="2743" t="s">
        <v>1330</v>
      </c>
      <c r="D13" s="2743" t="s">
        <v>1329</v>
      </c>
      <c r="E13" s="2739" t="s">
        <v>1321</v>
      </c>
      <c r="F13" s="2739" t="s">
        <v>1320</v>
      </c>
      <c r="G13" s="2743" t="s">
        <v>1314</v>
      </c>
      <c r="H13" s="2743" t="s">
        <v>1325</v>
      </c>
      <c r="I13" s="2743" t="s">
        <v>1313</v>
      </c>
      <c r="J13" s="2917"/>
      <c r="K13" s="2918"/>
    </row>
    <row r="14" spans="1:11" ht="16.5">
      <c r="A14" s="2744" t="s">
        <v>3313</v>
      </c>
      <c r="B14" s="2745">
        <f>Sheet1!L16</f>
        <v>13228.490000000002</v>
      </c>
      <c r="C14" s="2745">
        <f>Sheet1!M16</f>
        <v>641.06000000000006</v>
      </c>
      <c r="D14" s="2745">
        <f ca="1">结果表!H118</f>
        <v>63513</v>
      </c>
      <c r="E14" s="2745">
        <f ca="1">ROUND(D14*10000/B14,0)</f>
        <v>48012</v>
      </c>
      <c r="F14" s="2745">
        <f ca="1">ROUND(D14*10000/C14,0)</f>
        <v>990750</v>
      </c>
      <c r="G14" s="2745">
        <f ca="1">D14</f>
        <v>63513</v>
      </c>
      <c r="H14" s="2745" t="str">
        <f>结果表!D124</f>
        <v>——</v>
      </c>
      <c r="I14" s="2745" t="str">
        <f>结果表!D126</f>
        <v>——</v>
      </c>
      <c r="J14" s="2917"/>
      <c r="K14" s="2918"/>
    </row>
    <row r="15" spans="1:11" ht="16.5">
      <c r="A15" s="2744" t="s">
        <v>3314</v>
      </c>
      <c r="B15" s="2746">
        <f>[2]系统读取表!$B$14</f>
        <v>4077.78</v>
      </c>
      <c r="C15" s="2746">
        <f>[2]系统读取表!$C$14</f>
        <v>197.47</v>
      </c>
      <c r="D15" s="2746">
        <f>[2]系统读取表!$D$14</f>
        <v>6863</v>
      </c>
      <c r="E15" s="2745">
        <f t="shared" ref="E15:E23" si="0">ROUND(D15*10000/B15,0)</f>
        <v>16830</v>
      </c>
      <c r="F15" s="2745">
        <f t="shared" ref="F15:F23" si="1">ROUND(D15*10000/C15,0)</f>
        <v>347546</v>
      </c>
      <c r="G15" s="2745">
        <f t="shared" ref="G15:G17" si="2">D15</f>
        <v>6863</v>
      </c>
      <c r="H15" s="1501"/>
      <c r="I15" s="2746"/>
      <c r="J15" s="2917"/>
      <c r="K15" s="2918"/>
    </row>
    <row r="16" spans="1:11" ht="16.5">
      <c r="A16" s="2744" t="s">
        <v>3315</v>
      </c>
      <c r="B16" s="2746">
        <f>[1]系统读取表!$B$14</f>
        <v>8459.389999999994</v>
      </c>
      <c r="C16" s="2746">
        <f>[1]系统读取表!$C$14</f>
        <v>410.12999999999954</v>
      </c>
      <c r="D16" s="2746">
        <f>[1]系统读取表!$D$14</f>
        <v>8599</v>
      </c>
      <c r="E16" s="2745">
        <f t="shared" si="0"/>
        <v>10165</v>
      </c>
      <c r="F16" s="2745">
        <f t="shared" si="1"/>
        <v>209665</v>
      </c>
      <c r="G16" s="2745">
        <f t="shared" si="2"/>
        <v>8599</v>
      </c>
      <c r="H16" s="1501"/>
      <c r="I16" s="2746"/>
      <c r="J16" s="2918"/>
      <c r="K16" s="2918"/>
    </row>
    <row r="17" spans="1:11" ht="16.5">
      <c r="A17" s="2744" t="s">
        <v>3316</v>
      </c>
      <c r="B17" s="2746">
        <f>[1]系统读取表!$B$15</f>
        <v>2677.11</v>
      </c>
      <c r="C17" s="2746">
        <f>[1]系统读取表!$C$15</f>
        <v>129.74</v>
      </c>
      <c r="D17" s="2746">
        <f>ROUND(Sheet2!E4/10000,0)</f>
        <v>1033</v>
      </c>
      <c r="E17" s="2745">
        <f t="shared" si="0"/>
        <v>3859</v>
      </c>
      <c r="F17" s="2745">
        <f t="shared" si="1"/>
        <v>79621</v>
      </c>
      <c r="G17" s="2745">
        <f t="shared" si="2"/>
        <v>1033</v>
      </c>
      <c r="H17" s="1501"/>
      <c r="I17" s="2746"/>
      <c r="J17" s="2918"/>
      <c r="K17" s="2918"/>
    </row>
    <row r="18" spans="1:11" ht="16.5">
      <c r="A18" s="2744" t="s">
        <v>1312</v>
      </c>
      <c r="B18" s="2746"/>
      <c r="C18" s="2746"/>
      <c r="D18" s="2746"/>
      <c r="E18" s="2745" t="e">
        <f t="shared" si="0"/>
        <v>#DIV/0!</v>
      </c>
      <c r="F18" s="2745">
        <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31" zoomScale="70" zoomScaleNormal="100" zoomScaleSheetLayoutView="70" zoomScalePageLayoutView="80" workbookViewId="0">
      <selection activeCell="R43" sqref="R43"/>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1945</v>
      </c>
      <c r="B1" s="1934"/>
      <c r="C1" s="1935"/>
      <c r="D1" s="1934"/>
      <c r="E1" s="1934"/>
      <c r="F1" s="1936" t="s">
        <v>1946</v>
      </c>
      <c r="G1" s="1747"/>
      <c r="H1" s="1937" t="str">
        <f>IF(G1="现房","——","估价对象范围")</f>
        <v>估价对象范围</v>
      </c>
      <c r="I1" s="1938"/>
    </row>
    <row r="2" spans="1:12" ht="21.75" customHeight="1" thickBot="1">
      <c r="A2" s="3250" t="str">
        <f>项目基本情况!S2</f>
        <v>北京市房地产</v>
      </c>
      <c r="B2" s="3251"/>
      <c r="C2" s="3251"/>
      <c r="D2" s="3251"/>
      <c r="E2" s="3251"/>
      <c r="F2" s="3251"/>
      <c r="G2" s="3251"/>
      <c r="H2" s="3251"/>
      <c r="I2" s="3252"/>
    </row>
    <row r="3" spans="1:12" ht="12.75">
      <c r="A3" s="3254" t="s">
        <v>1947</v>
      </c>
      <c r="B3" s="3255"/>
      <c r="C3" s="3255"/>
      <c r="D3" s="3255"/>
      <c r="E3" s="3255"/>
      <c r="F3" s="3255"/>
      <c r="G3" s="3255"/>
      <c r="H3" s="3255"/>
      <c r="I3" s="3255"/>
    </row>
    <row r="4" spans="1:12" ht="14.25">
      <c r="A4" s="1941" t="s">
        <v>1948</v>
      </c>
      <c r="B4" s="1942" t="s">
        <v>1949</v>
      </c>
      <c r="C4" s="1943" t="s">
        <v>3309</v>
      </c>
      <c r="D4" s="1943" t="s">
        <v>3309</v>
      </c>
      <c r="E4" s="3259" t="s">
        <v>1950</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5" t="s">
        <v>1951</v>
      </c>
      <c r="B5" s="3253">
        <v>25</v>
      </c>
      <c r="C5" s="3256"/>
      <c r="D5" s="3244"/>
      <c r="E5" s="136" t="s">
        <v>1952</v>
      </c>
      <c r="F5" s="1944"/>
      <c r="G5" s="1944"/>
      <c r="H5" s="1944"/>
      <c r="I5" s="1558"/>
    </row>
    <row r="6" spans="1:12" ht="12.75">
      <c r="A6" s="3195"/>
      <c r="B6" s="3253"/>
      <c r="C6" s="3258"/>
      <c r="D6" s="3244"/>
      <c r="E6" s="136" t="s">
        <v>1953</v>
      </c>
      <c r="F6" s="1944"/>
      <c r="G6" s="1944"/>
      <c r="H6" s="1944"/>
      <c r="I6" s="1558"/>
    </row>
    <row r="7" spans="1:12" ht="12.75">
      <c r="A7" s="3195"/>
      <c r="B7" s="3253"/>
      <c r="C7" s="3257"/>
      <c r="D7" s="3244"/>
      <c r="E7" s="136" t="s">
        <v>1954</v>
      </c>
      <c r="F7" s="1944"/>
      <c r="G7" s="1944"/>
      <c r="H7" s="1944"/>
      <c r="I7" s="1558"/>
    </row>
    <row r="8" spans="1:12" ht="12.75">
      <c r="A8" s="3195" t="s">
        <v>1955</v>
      </c>
      <c r="B8" s="3253">
        <v>15</v>
      </c>
      <c r="C8" s="3256"/>
      <c r="D8" s="3244"/>
      <c r="E8" s="136" t="s">
        <v>1956</v>
      </c>
      <c r="F8" s="1944"/>
      <c r="G8" s="1944"/>
      <c r="H8" s="1944"/>
      <c r="I8" s="1558"/>
    </row>
    <row r="9" spans="1:12" ht="12.75">
      <c r="A9" s="3195"/>
      <c r="B9" s="3253"/>
      <c r="C9" s="3257"/>
      <c r="D9" s="3244"/>
      <c r="E9" s="136" t="s">
        <v>1957</v>
      </c>
      <c r="F9" s="1944"/>
      <c r="G9" s="1944"/>
      <c r="H9" s="1944"/>
      <c r="I9" s="1558"/>
    </row>
    <row r="10" spans="1:12" ht="12.75">
      <c r="A10" s="3195" t="s">
        <v>1958</v>
      </c>
      <c r="B10" s="3253">
        <v>15</v>
      </c>
      <c r="C10" s="3256"/>
      <c r="D10" s="3244"/>
      <c r="E10" s="136" t="s">
        <v>1959</v>
      </c>
      <c r="F10" s="1944"/>
      <c r="G10" s="1944"/>
      <c r="H10" s="1944"/>
      <c r="I10" s="1558"/>
    </row>
    <row r="11" spans="1:12" ht="12.75">
      <c r="A11" s="3195"/>
      <c r="B11" s="3253"/>
      <c r="C11" s="3257"/>
      <c r="D11" s="3244"/>
      <c r="E11" s="136" t="s">
        <v>1960</v>
      </c>
      <c r="F11" s="1944"/>
      <c r="G11" s="1944"/>
      <c r="H11" s="1944"/>
      <c r="I11" s="1558"/>
    </row>
    <row r="12" spans="1:12" ht="12.75">
      <c r="A12" s="3195" t="s">
        <v>1961</v>
      </c>
      <c r="B12" s="3253">
        <v>15</v>
      </c>
      <c r="C12" s="3256"/>
      <c r="D12" s="3244"/>
      <c r="E12" s="136" t="s">
        <v>1962</v>
      </c>
      <c r="F12" s="1944"/>
      <c r="G12" s="1944"/>
      <c r="H12" s="1944"/>
      <c r="I12" s="1558"/>
    </row>
    <row r="13" spans="1:12" ht="12.75">
      <c r="A13" s="3195"/>
      <c r="B13" s="3253"/>
      <c r="C13" s="3257"/>
      <c r="D13" s="3244"/>
      <c r="E13" s="136" t="s">
        <v>1963</v>
      </c>
      <c r="F13" s="1944"/>
      <c r="G13" s="1944"/>
      <c r="H13" s="1944"/>
      <c r="I13" s="1558"/>
    </row>
    <row r="14" spans="1:12" ht="12.75">
      <c r="A14" s="3195" t="s">
        <v>1964</v>
      </c>
      <c r="B14" s="3253">
        <v>30</v>
      </c>
      <c r="C14" s="3256">
        <v>1</v>
      </c>
      <c r="D14" s="3244">
        <v>1</v>
      </c>
      <c r="E14" s="136" t="s">
        <v>1965</v>
      </c>
      <c r="F14" s="1944"/>
      <c r="G14" s="1944"/>
      <c r="H14" s="1944"/>
      <c r="I14" s="1558"/>
    </row>
    <row r="15" spans="1:12" ht="12.75">
      <c r="A15" s="3195"/>
      <c r="B15" s="3253"/>
      <c r="C15" s="3258"/>
      <c r="D15" s="3244"/>
      <c r="E15" s="136" t="s">
        <v>1966</v>
      </c>
      <c r="F15" s="1944"/>
      <c r="G15" s="1944"/>
      <c r="H15" s="1944"/>
      <c r="I15" s="1558"/>
    </row>
    <row r="16" spans="1:12" ht="12.75">
      <c r="A16" s="3195"/>
      <c r="B16" s="3253"/>
      <c r="C16" s="3257"/>
      <c r="D16" s="3244"/>
      <c r="E16" s="136" t="s">
        <v>1967</v>
      </c>
      <c r="F16" s="1944"/>
      <c r="G16" s="1944"/>
      <c r="H16" s="1944"/>
      <c r="I16" s="1558"/>
    </row>
    <row r="17" spans="1:36" ht="15">
      <c r="A17" s="1945" t="s">
        <v>1968</v>
      </c>
      <c r="B17" s="60"/>
      <c r="C17" s="137">
        <f>SUM(C5:C16)</f>
        <v>1</v>
      </c>
      <c r="D17" s="137">
        <f>SUM(D5:D16)</f>
        <v>1</v>
      </c>
      <c r="E17" s="134"/>
      <c r="F17" s="134"/>
      <c r="G17" s="134"/>
      <c r="H17" s="134"/>
      <c r="I17" s="134"/>
      <c r="K17" s="308"/>
      <c r="L17" s="308" t="s">
        <v>1969</v>
      </c>
      <c r="M17" s="308" t="s">
        <v>1970</v>
      </c>
    </row>
    <row r="18" spans="1:36" ht="31.9" customHeight="1" thickBot="1">
      <c r="A18" s="1946" t="s">
        <v>1971</v>
      </c>
      <c r="B18" s="1947"/>
      <c r="C18" s="138">
        <f>ROUND(C17/SUM(C17:D17),2)</f>
        <v>0.5</v>
      </c>
      <c r="D18" s="138">
        <f>1-C18</f>
        <v>0.5</v>
      </c>
      <c r="E18" s="3275" t="s">
        <v>2869</v>
      </c>
      <c r="F18" s="3276"/>
      <c r="G18" s="3276"/>
      <c r="H18" s="3276"/>
      <c r="I18" s="3276"/>
      <c r="K18" s="308" t="s">
        <v>1972</v>
      </c>
      <c r="L18" s="308">
        <f>IF(C1="",'数据-汇总表'!E3,SUMIF(项目类型,C1,'数据-汇总表'!E17:E26)+SUMIF(项目类型,C1,'数据-汇总表'!I17:I26))</f>
        <v>240.41</v>
      </c>
      <c r="M18" s="308">
        <f>IF(C1="",'数据-汇总表'!E3,SUMIF(项目类型,C1,'数据-汇总表'!E17:E26))</f>
        <v>240.41</v>
      </c>
    </row>
    <row r="19" spans="1:36" ht="15">
      <c r="A19" s="1948" t="s">
        <v>1973</v>
      </c>
      <c r="B19" s="1949" t="s">
        <v>1974</v>
      </c>
      <c r="C19" s="139">
        <f ca="1">SUMIF(INDIRECT("'"&amp;C4&amp;"'"&amp;"!A:A"),结果表!B19,INDIRECT("'"&amp;C4&amp;"'"&amp;"!B:B"))</f>
        <v>63513</v>
      </c>
      <c r="D19" s="140">
        <f ca="1">SUMIF(INDIRECT("'"&amp;D4&amp;"'"&amp;"!A:A"),结果表!B19,INDIRECT("'"&amp;D4&amp;"'"&amp;"!B:B"))</f>
        <v>63513</v>
      </c>
      <c r="E19" s="1948" t="s">
        <v>1975</v>
      </c>
      <c r="F19" s="1949" t="s">
        <v>1974</v>
      </c>
      <c r="G19" s="141">
        <f ca="1">ROUND(C19*$C$18+D19*$D$18,0)</f>
        <v>63513</v>
      </c>
      <c r="H19" s="1950"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51"/>
      <c r="B20" s="1156" t="s">
        <v>1978</v>
      </c>
      <c r="C20" s="142">
        <f ca="1">SUMIF(INDIRECT("'"&amp;C4&amp;"'"&amp;"!A:A"),结果表!B20,INDIRECT("'"&amp;C4&amp;"'"&amp;"!B:B"))</f>
        <v>48012</v>
      </c>
      <c r="D20" s="143">
        <f ca="1">SUMIF(INDIRECT("'"&amp;D4&amp;"'"&amp;"!A:A"),结果表!B20,INDIRECT("'"&amp;D4&amp;"'"&amp;"!B:B"))</f>
        <v>48012</v>
      </c>
      <c r="E20" s="1951"/>
      <c r="F20" s="1156" t="s">
        <v>1978</v>
      </c>
      <c r="G20" s="144">
        <f ca="1">ROUND(C20*$C$18+D20*$D$18,0)</f>
        <v>48012</v>
      </c>
      <c r="H20" s="917" t="s">
        <v>1979</v>
      </c>
      <c r="I20" s="134"/>
    </row>
    <row r="21" spans="1:36" ht="15" customHeight="1" thickBot="1">
      <c r="A21" s="937"/>
      <c r="B21" s="1952" t="s">
        <v>1980</v>
      </c>
      <c r="C21" s="728">
        <f ca="1">ROUND(C19*10000/L19,0)</f>
        <v>54517597</v>
      </c>
      <c r="D21" s="729">
        <f ca="1">ROUND(D19*10000/L19,0)</f>
        <v>54517597</v>
      </c>
      <c r="E21" s="937"/>
      <c r="F21" s="1952" t="s">
        <v>1980</v>
      </c>
      <c r="G21" s="145">
        <f ca="1">ROUND(G19*10000/L19,0)</f>
        <v>54517597</v>
      </c>
      <c r="H21" s="1953" t="s">
        <v>1979</v>
      </c>
      <c r="I21" s="134"/>
    </row>
    <row r="22" spans="1:36" ht="15" thickBot="1">
      <c r="A22" s="1875" t="s">
        <v>1981</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268" t="s">
        <v>1982</v>
      </c>
      <c r="B24" s="1949" t="s">
        <v>1974</v>
      </c>
      <c r="C24" s="141">
        <f>IF(B30=0,0,D30)</f>
        <v>0</v>
      </c>
      <c r="D24" s="1956"/>
      <c r="E24" s="134"/>
      <c r="F24" s="134"/>
      <c r="G24" s="134"/>
      <c r="H24" s="134"/>
      <c r="I24" s="134"/>
    </row>
    <row r="25" spans="1:36" ht="14.25">
      <c r="A25" s="3269"/>
      <c r="B25" s="1156" t="s">
        <v>1978</v>
      </c>
      <c r="C25" s="146">
        <f>IF(B30=0,0,C30)</f>
        <v>0</v>
      </c>
      <c r="D25" s="1957"/>
      <c r="E25" s="134"/>
      <c r="F25" s="134"/>
      <c r="G25" s="134"/>
      <c r="H25" s="134"/>
      <c r="I25" s="134"/>
    </row>
    <row r="26" spans="1:36" ht="13.5" customHeight="1">
      <c r="A26" s="1958" t="s">
        <v>1983</v>
      </c>
      <c r="B26" s="147" t="s">
        <v>1984</v>
      </c>
      <c r="C26" s="147" t="s">
        <v>1985</v>
      </c>
      <c r="D26" s="148" t="s">
        <v>1986</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1987</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1988</v>
      </c>
      <c r="B32" s="1961"/>
      <c r="C32" s="149">
        <f ca="1">IF(D32="总价",G19-C24,G20-C25)</f>
        <v>63513</v>
      </c>
      <c r="D32" s="1962" t="s">
        <v>3311</v>
      </c>
      <c r="E32" s="134"/>
      <c r="F32" s="134"/>
      <c r="G32" s="134"/>
      <c r="H32" s="134"/>
      <c r="I32" s="134"/>
    </row>
    <row r="33" spans="1:15" ht="15">
      <c r="A33" s="894" t="s">
        <v>1989</v>
      </c>
      <c r="B33" s="1963"/>
      <c r="C33" s="1964" t="s">
        <v>3312</v>
      </c>
      <c r="D33" s="1965" t="s">
        <v>3308</v>
      </c>
      <c r="E33" s="1966" t="s">
        <v>1990</v>
      </c>
      <c r="F33" s="1967" t="str">
        <f>IF(D32="楼面单价","取值（单价）","取值（总价）")</f>
        <v>取值（总价）</v>
      </c>
      <c r="G33" s="134"/>
      <c r="H33" s="134"/>
      <c r="I33" s="134"/>
    </row>
    <row r="34" spans="1:15" ht="15">
      <c r="A34" s="1968"/>
      <c r="B34" s="1969" t="s">
        <v>1991</v>
      </c>
      <c r="C34" s="153">
        <f ca="1">IF(C33="自定义",F34,C32-C35)</f>
        <v>51509</v>
      </c>
      <c r="D34" s="970">
        <f ca="1">IF(C33="自定义",ROUND(C34/C32,3),IF(C33="收益比率",SUMIF(INDIRECT("'"&amp;D33&amp;"'"&amp;"!b:b"),"土地收益比率",INDIRECT("'"&amp;D33&amp;"'"&amp;"!c:c")),SUMIF(INDIRECT("'"&amp;D33&amp;"'"&amp;"!b:b"),"土地成本比率",INDIRECT("'"&amp;D33&amp;"'"&amp;"!c:c"))))</f>
        <v>0.81099999999999994</v>
      </c>
      <c r="E34" s="1970" t="s">
        <v>1992</v>
      </c>
      <c r="F34" s="1499"/>
      <c r="G34" s="134"/>
      <c r="H34" s="134"/>
      <c r="I34" s="134"/>
    </row>
    <row r="35" spans="1:15" ht="15.75" thickBot="1">
      <c r="A35" s="1971"/>
      <c r="B35" s="1972" t="s">
        <v>1993</v>
      </c>
      <c r="C35" s="1331">
        <f ca="1">IF(C33="自定义",F35,ROUND(C32*D35,0))</f>
        <v>12004</v>
      </c>
      <c r="D35" s="1332">
        <f ca="1">IF(C33="自定义",ROUND(C35/C32,3),IF(C33="收益比率",SUMIF(INDIRECT("'"&amp;D33&amp;"'"&amp;"!b:b"),"建筑物收益比率",INDIRECT("'"&amp;D33&amp;"'"&amp;"!c:c")),SUMIF(INDIRECT("'"&amp;D33&amp;"'"&amp;"!b:b"),"建筑物成本比率",INDIRECT("'"&amp;D33&amp;"'"&amp;"!c:c"))))</f>
        <v>0.189</v>
      </c>
      <c r="E35" s="1973" t="s">
        <v>1994</v>
      </c>
      <c r="F35" s="159"/>
      <c r="G35" s="134"/>
      <c r="H35" s="134"/>
      <c r="I35" s="134"/>
    </row>
    <row r="36" spans="1:15" ht="15.75" thickBot="1">
      <c r="A36" s="3245" t="s">
        <v>1995</v>
      </c>
      <c r="B36" s="1974" t="s">
        <v>1996</v>
      </c>
      <c r="C36" s="150"/>
      <c r="D36" s="1975"/>
      <c r="E36" s="1976"/>
      <c r="F36" s="1977"/>
      <c r="G36" s="134"/>
      <c r="H36" s="134"/>
      <c r="I36" s="134"/>
    </row>
    <row r="37" spans="1:15" ht="15.75" thickBot="1">
      <c r="A37" s="3246"/>
      <c r="B37" s="1861" t="s">
        <v>1997</v>
      </c>
      <c r="C37" s="152"/>
      <c r="D37" s="1300"/>
      <c r="E37" s="1300"/>
      <c r="F37" s="1977"/>
      <c r="G37" s="134"/>
      <c r="H37" s="134"/>
      <c r="I37" s="134"/>
    </row>
    <row r="38" spans="1:15" ht="15.75" thickBot="1">
      <c r="A38" s="3247"/>
      <c r="B38" s="1978" t="s">
        <v>1998</v>
      </c>
      <c r="C38" s="683"/>
      <c r="D38" s="1979" t="s">
        <v>1999</v>
      </c>
      <c r="E38" s="1300"/>
      <c r="F38" s="1977"/>
      <c r="G38" s="134"/>
      <c r="H38" s="134"/>
      <c r="I38" s="134"/>
    </row>
    <row r="39" spans="1:15" ht="15">
      <c r="A39" s="1951" t="s">
        <v>2000</v>
      </c>
      <c r="B39" s="1980" t="s">
        <v>2001</v>
      </c>
      <c r="C39" s="1981" t="s">
        <v>2002</v>
      </c>
      <c r="D39" s="1981" t="s">
        <v>2003</v>
      </c>
      <c r="E39" s="1982" t="s">
        <v>2004</v>
      </c>
      <c r="F39" s="1977"/>
      <c r="G39" s="134"/>
      <c r="H39" s="134"/>
      <c r="I39" s="134"/>
    </row>
    <row r="40" spans="1:15" ht="14.25">
      <c r="A40" s="1983" t="s">
        <v>2005</v>
      </c>
      <c r="B40" s="154"/>
      <c r="C40" s="155"/>
      <c r="D40" s="155"/>
      <c r="E40" s="156"/>
      <c r="F40" s="1977"/>
      <c r="G40" s="134"/>
      <c r="H40" s="134"/>
      <c r="I40" s="134"/>
    </row>
    <row r="41" spans="1:15" ht="14.25">
      <c r="A41" s="1983" t="s">
        <v>2006</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2007</v>
      </c>
      <c r="B44" s="1988"/>
      <c r="C44" s="1988"/>
      <c r="D44" s="1989"/>
      <c r="E44" s="1989"/>
      <c r="F44" s="1990"/>
      <c r="G44" s="1990"/>
      <c r="H44" s="1990"/>
      <c r="I44" s="1990"/>
      <c r="J44" s="1991" t="s">
        <v>2008</v>
      </c>
      <c r="K44" s="1992"/>
      <c r="L44" s="1992"/>
      <c r="M44" s="1992"/>
      <c r="N44" s="1992"/>
      <c r="O44" s="1992"/>
    </row>
    <row r="45" spans="1:15" ht="14.25" customHeight="1" thickBot="1">
      <c r="A45" s="3265" t="s">
        <v>2009</v>
      </c>
      <c r="B45" s="3266"/>
      <c r="C45" s="3267"/>
      <c r="D45" s="160">
        <f ca="1">ROUND(H101*F45,0)</f>
        <v>63513</v>
      </c>
      <c r="E45" s="161" t="s">
        <v>2010</v>
      </c>
      <c r="F45" s="162">
        <v>1</v>
      </c>
      <c r="G45" s="163" t="s">
        <v>2011</v>
      </c>
      <c r="H45" s="134"/>
      <c r="I45" s="134"/>
      <c r="J45" s="3182" t="s">
        <v>2012</v>
      </c>
      <c r="K45" s="3182"/>
      <c r="L45" s="3182"/>
      <c r="M45" s="3182"/>
      <c r="N45" s="3182"/>
      <c r="O45" s="3182"/>
    </row>
    <row r="46" spans="1:15" ht="14.25" customHeight="1">
      <c r="A46" s="3262" t="s">
        <v>2013</v>
      </c>
      <c r="B46" s="3263"/>
      <c r="C46" s="3263"/>
      <c r="D46" s="3263"/>
      <c r="E46" s="3263"/>
      <c r="F46" s="3263"/>
      <c r="G46" s="3264"/>
      <c r="H46" s="1993"/>
      <c r="I46" s="164"/>
      <c r="J46" s="2750">
        <v>1</v>
      </c>
      <c r="K46" s="3183" t="s">
        <v>2014</v>
      </c>
      <c r="L46" s="3183"/>
      <c r="M46" s="3184"/>
      <c r="N46" s="3184"/>
      <c r="O46" s="3184"/>
    </row>
    <row r="47" spans="1:15" ht="12" customHeight="1">
      <c r="A47" s="165" t="s">
        <v>2015</v>
      </c>
      <c r="B47" s="166"/>
      <c r="C47" s="167"/>
      <c r="D47" s="1246" t="s">
        <v>2016</v>
      </c>
      <c r="E47" s="308" t="s">
        <v>2017</v>
      </c>
      <c r="F47" s="168" t="s">
        <v>2018</v>
      </c>
      <c r="G47" s="2773" t="s">
        <v>2019</v>
      </c>
      <c r="H47" s="2774"/>
      <c r="I47" s="164"/>
      <c r="J47" s="2750">
        <v>2</v>
      </c>
      <c r="K47" s="3183" t="s">
        <v>2020</v>
      </c>
      <c r="L47" s="3183"/>
      <c r="M47" s="3185">
        <f>'数据-取费表'!B2</f>
        <v>44222</v>
      </c>
      <c r="N47" s="3185"/>
      <c r="O47" s="3185"/>
    </row>
    <row r="48" spans="1:15" ht="25.5">
      <c r="A48" s="3248" t="s">
        <v>2021</v>
      </c>
      <c r="B48" s="3249"/>
      <c r="C48" s="3249"/>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2022</v>
      </c>
      <c r="H48" s="2777"/>
      <c r="I48" s="1993"/>
      <c r="J48" s="2750">
        <v>3</v>
      </c>
      <c r="K48" s="3183" t="s">
        <v>2023</v>
      </c>
      <c r="L48" s="3183"/>
      <c r="M48" s="3186">
        <f ca="1">H101</f>
        <v>63513</v>
      </c>
      <c r="N48" s="3186"/>
      <c r="O48" s="3186"/>
    </row>
    <row r="49" spans="1:35" ht="25.5" customHeight="1">
      <c r="A49" s="2557" t="s">
        <v>2024</v>
      </c>
      <c r="B49" s="3231" t="s">
        <v>2025</v>
      </c>
      <c r="C49" s="3231"/>
      <c r="D49" s="1776">
        <v>0</v>
      </c>
      <c r="E49" s="330" t="s">
        <v>2026</v>
      </c>
      <c r="F49" s="2651" t="s">
        <v>34</v>
      </c>
      <c r="G49" s="3214"/>
      <c r="H49" s="2529" t="s">
        <v>2872</v>
      </c>
      <c r="I49" s="2530"/>
      <c r="J49" s="2750">
        <v>4</v>
      </c>
      <c r="K49" s="3183" t="str">
        <f>IF(项目基本情况!E8="房地产抵押价值","房地产抵押价值","抵押担保权已注销时的房地产抵押价值")</f>
        <v>房地产抵押价值</v>
      </c>
      <c r="L49" s="3183"/>
      <c r="M49" s="3186">
        <f ca="1">IF(项目基本情况!E8="房地产抵押价值",H107,H109)</f>
        <v>63513</v>
      </c>
      <c r="N49" s="3186"/>
      <c r="O49" s="3186"/>
    </row>
    <row r="50" spans="1:35" ht="25.5" customHeight="1">
      <c r="A50" s="2778"/>
      <c r="B50" s="3231" t="s">
        <v>2027</v>
      </c>
      <c r="C50" s="3231"/>
      <c r="D50" s="2779"/>
      <c r="E50" s="338"/>
      <c r="F50" s="2651"/>
      <c r="G50" s="3215"/>
      <c r="H50" s="2531" t="s">
        <v>2873</v>
      </c>
      <c r="I50" s="2530"/>
      <c r="J50" s="3182" t="s">
        <v>2028</v>
      </c>
      <c r="K50" s="3182"/>
      <c r="L50" s="3182"/>
      <c r="M50" s="3182"/>
      <c r="N50" s="3182"/>
      <c r="O50" s="3182"/>
    </row>
    <row r="51" spans="1:35" ht="20.45" customHeight="1">
      <c r="A51" s="2780"/>
      <c r="B51" s="3231" t="s">
        <v>2029</v>
      </c>
      <c r="C51" s="3231"/>
      <c r="D51" s="1246"/>
      <c r="E51" s="333"/>
      <c r="F51" s="2651"/>
      <c r="G51" s="3216"/>
      <c r="H51" s="2531" t="s">
        <v>2874</v>
      </c>
      <c r="I51" s="2530"/>
      <c r="J51" s="2751" t="s">
        <v>2030</v>
      </c>
      <c r="K51" s="3183" t="s">
        <v>2031</v>
      </c>
      <c r="L51" s="3183"/>
      <c r="M51" s="2751" t="s">
        <v>2032</v>
      </c>
      <c r="N51" s="2751" t="s">
        <v>2033</v>
      </c>
      <c r="O51" s="2751" t="s">
        <v>2034</v>
      </c>
    </row>
    <row r="52" spans="1:35" ht="24" customHeight="1">
      <c r="A52" s="2559" t="s">
        <v>2035</v>
      </c>
      <c r="B52" s="3231" t="s">
        <v>2036</v>
      </c>
      <c r="C52" s="3231"/>
      <c r="D52" s="1246">
        <f ca="1">ROUND(D45*'数据-取费表'!B41/(1+'数据-取费表'!C42),0)</f>
        <v>3387</v>
      </c>
      <c r="E52" s="2558" t="s">
        <v>2037</v>
      </c>
      <c r="F52" s="2781">
        <f>'数据-取费表'!B41</f>
        <v>5.6000000000000001E-2</v>
      </c>
      <c r="G52" s="2782"/>
      <c r="H52" s="2771"/>
      <c r="I52" s="1994"/>
      <c r="J52" s="2750">
        <v>1</v>
      </c>
      <c r="K52" s="3208" t="s">
        <v>2038</v>
      </c>
      <c r="L52" s="3208"/>
      <c r="M52" s="2752" t="b">
        <f>D48</f>
        <v>0</v>
      </c>
      <c r="N52" s="2750" t="str">
        <f>E48</f>
        <v>销售额×税（费）率</v>
      </c>
      <c r="O52" s="2753">
        <f>F48</f>
        <v>5.6000000000000001E-2</v>
      </c>
    </row>
    <row r="53" spans="1:35" ht="12" customHeight="1">
      <c r="A53" s="2559" t="s">
        <v>2039</v>
      </c>
      <c r="B53" s="3232" t="s">
        <v>3033</v>
      </c>
      <c r="C53" s="3233"/>
      <c r="D53" s="1246">
        <f ca="1">ROUND(D45*'数据-取费表'!B41/(1+'数据-取费表'!C42),0)</f>
        <v>3387</v>
      </c>
      <c r="E53" s="2558" t="s">
        <v>2037</v>
      </c>
      <c r="F53" s="2781">
        <f>'数据-取费表'!B41</f>
        <v>5.6000000000000001E-2</v>
      </c>
      <c r="G53" s="2782"/>
      <c r="H53" s="2771"/>
      <c r="I53" s="1994"/>
      <c r="J53" s="2750">
        <v>2</v>
      </c>
      <c r="K53" s="3208" t="s">
        <v>2040</v>
      </c>
      <c r="L53" s="3208"/>
      <c r="M53" s="2752">
        <f t="shared" ref="M53:O54" ca="1" si="0">D55</f>
        <v>32</v>
      </c>
      <c r="N53" s="2750" t="str">
        <f t="shared" si="0"/>
        <v>销售额×税（费）率</v>
      </c>
      <c r="O53" s="2753" t="str">
        <f t="shared" si="0"/>
        <v>免征</v>
      </c>
    </row>
    <row r="54" spans="1:35" ht="12" customHeight="1">
      <c r="A54" s="2559" t="s">
        <v>2041</v>
      </c>
      <c r="B54" s="3232" t="s">
        <v>3034</v>
      </c>
      <c r="C54" s="3233"/>
      <c r="D54" s="1246">
        <f ca="1">C68</f>
        <v>3387</v>
      </c>
      <c r="E54" s="333" t="s">
        <v>2042</v>
      </c>
      <c r="F54" s="2781">
        <f>'数据-取费表'!B41</f>
        <v>5.6000000000000001E-2</v>
      </c>
      <c r="G54" s="2782"/>
      <c r="H54" s="2783"/>
      <c r="I54" s="1994"/>
      <c r="J54" s="2750">
        <v>3</v>
      </c>
      <c r="K54" s="3208" t="s">
        <v>2043</v>
      </c>
      <c r="L54" s="3208"/>
      <c r="M54" s="2752">
        <f t="shared" ca="1" si="0"/>
        <v>35949</v>
      </c>
      <c r="N54" s="2750" t="str">
        <f t="shared" si="0"/>
        <v>增值额×税（费）率</v>
      </c>
      <c r="O54" s="2754" t="str">
        <f t="shared" si="0"/>
        <v>免征</v>
      </c>
    </row>
    <row r="55" spans="1:35" ht="24" customHeight="1">
      <c r="A55" s="3271" t="s">
        <v>2044</v>
      </c>
      <c r="B55" s="3249"/>
      <c r="C55" s="3249"/>
      <c r="D55" s="2548">
        <f ca="1">IF(H55="个人住宅",0,ROUND(D45*I55,0))</f>
        <v>32</v>
      </c>
      <c r="E55" s="2558" t="s">
        <v>2045</v>
      </c>
      <c r="F55" s="2781" t="str">
        <f>IF(H55="正常",I55,"免征")</f>
        <v>免征</v>
      </c>
      <c r="G55" s="2782"/>
      <c r="H55" s="2777"/>
      <c r="I55" s="170">
        <f>'数据-取费表'!B49</f>
        <v>5.0000000000000001E-4</v>
      </c>
      <c r="J55" s="2750">
        <f>IF(H59="非个人房产","",4)</f>
        <v>4</v>
      </c>
      <c r="K55" s="3208" t="str">
        <f>IF(H59="非个人房产","——","个人所得税")</f>
        <v>个人所得税</v>
      </c>
      <c r="L55" s="3208"/>
      <c r="M55" s="2755">
        <f ca="1">D59</f>
        <v>605</v>
      </c>
      <c r="N55" s="2229" t="str">
        <f>E59</f>
        <v>差额计税</v>
      </c>
      <c r="O55" s="2756">
        <f>F59</f>
        <v>0.01</v>
      </c>
    </row>
    <row r="56" spans="1:35" ht="24.75">
      <c r="A56" s="3271" t="s">
        <v>2046</v>
      </c>
      <c r="B56" s="3249"/>
      <c r="C56" s="3249"/>
      <c r="D56" s="2548">
        <f ca="1">IF(H56="个人住宅",D57,D58)</f>
        <v>35949</v>
      </c>
      <c r="E56" s="2558" t="s">
        <v>2047</v>
      </c>
      <c r="F56" s="2781" t="str">
        <f>IF(H56="正常",F58,"免征")</f>
        <v>免征</v>
      </c>
      <c r="G56" s="2784" t="s">
        <v>2048</v>
      </c>
      <c r="H56" s="2785"/>
      <c r="I56" s="1995"/>
      <c r="J56" s="2750" t="str">
        <f>IF(项目基本情况!K6="上海银行",IF(J55="",4,J55+1),"")</f>
        <v/>
      </c>
      <c r="K56" s="3189" t="str">
        <f>IF(项目基本情况!K6="上海银行","其他处置费用","")</f>
        <v/>
      </c>
      <c r="L56" s="3190"/>
      <c r="M56" s="2752" t="str">
        <f>IF(项目基本情况!K6="上海银行",M69,"")</f>
        <v/>
      </c>
      <c r="N56" s="3189" t="str">
        <f>IF(项目基本情况!K6="上海银行","包含处置中涉及的律师、诉讼、拍卖、评估等费用","")</f>
        <v/>
      </c>
      <c r="O56" s="3192"/>
    </row>
    <row r="57" spans="1:35" ht="12.75">
      <c r="A57" s="2559" t="s">
        <v>2024</v>
      </c>
      <c r="B57" s="3232" t="s">
        <v>2049</v>
      </c>
      <c r="C57" s="3233"/>
      <c r="D57" s="1776">
        <v>0</v>
      </c>
      <c r="E57" s="330" t="s">
        <v>2026</v>
      </c>
      <c r="F57" s="308"/>
      <c r="G57" s="2782"/>
      <c r="H57" s="2786"/>
      <c r="I57" s="1995"/>
      <c r="J57" s="3208">
        <f>IF(AND(J55="",J56=""),4,IF(项目基本情况!K6="上海银行",结果表!J56+1,结果表!J55+1))</f>
        <v>5</v>
      </c>
      <c r="K57" s="3208" t="s">
        <v>2050</v>
      </c>
      <c r="L57" s="2757" t="s">
        <v>2051</v>
      </c>
      <c r="M57" s="2758"/>
      <c r="N57" s="2759">
        <f ca="1">SUMIF(M52:M56,"&lt;9e307")</f>
        <v>36586</v>
      </c>
      <c r="O57" s="2760"/>
      <c r="P57" s="2920">
        <f ca="1">N57/M49</f>
        <v>0.57603955095807158</v>
      </c>
    </row>
    <row r="58" spans="1:35" ht="24.75">
      <c r="A58" s="2559" t="s">
        <v>2035</v>
      </c>
      <c r="B58" s="3232" t="s">
        <v>2052</v>
      </c>
      <c r="C58" s="3231"/>
      <c r="D58" s="2548">
        <f ca="1">IF(H58="转让取得",C81,C97)</f>
        <v>35949</v>
      </c>
      <c r="E58" s="2558" t="s">
        <v>2047</v>
      </c>
      <c r="F58" s="308" t="s">
        <v>34</v>
      </c>
      <c r="G58" s="2782"/>
      <c r="H58" s="2785"/>
      <c r="I58" s="1995"/>
      <c r="J58" s="3208"/>
      <c r="K58" s="3208"/>
      <c r="L58" s="2757" t="s">
        <v>2053</v>
      </c>
      <c r="M58" s="2761"/>
      <c r="N58" s="2762" t="str">
        <f ca="1">NUMBERSTRING(INT(N57*10000),2)&amp;"元整"</f>
        <v>叁亿陆仟伍佰捌拾陆万元整</v>
      </c>
      <c r="O58" s="2763"/>
    </row>
    <row r="59" spans="1:35" ht="24.75" thickBot="1">
      <c r="A59" s="3212" t="s">
        <v>2054</v>
      </c>
      <c r="B59" s="3213"/>
      <c r="C59" s="3213"/>
      <c r="D59" s="2787">
        <f ca="1">IF(H59="非个人房产","——",IF(H59="个人住宅（满五唯一有凭证）",0,IF(H59="个人其他（无凭证）",ROUND(D45*F59,0),ROUND(C67*F59,0))))</f>
        <v>605</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2048</v>
      </c>
      <c r="H59" s="2533"/>
      <c r="I59" s="2532" t="s">
        <v>2875</v>
      </c>
      <c r="J59" s="3210">
        <f>J57+1</f>
        <v>6</v>
      </c>
      <c r="K59" s="3208" t="s">
        <v>2055</v>
      </c>
      <c r="L59" s="2750" t="s">
        <v>2051</v>
      </c>
      <c r="M59" s="2764"/>
      <c r="N59" s="2765">
        <f ca="1">M49-N57</f>
        <v>26927</v>
      </c>
      <c r="O59" s="2766"/>
    </row>
    <row r="60" spans="1:35" ht="12" customHeight="1">
      <c r="A60" s="1996"/>
      <c r="B60" s="1934"/>
      <c r="C60" s="1934"/>
      <c r="D60" s="1934"/>
      <c r="E60" s="1764"/>
      <c r="F60" s="1995"/>
      <c r="G60" s="1995"/>
      <c r="H60" s="1997"/>
      <c r="I60" s="134"/>
      <c r="J60" s="3211"/>
      <c r="K60" s="3208"/>
      <c r="L60" s="2757" t="s">
        <v>2053</v>
      </c>
      <c r="M60" s="2761"/>
      <c r="N60" s="2762" t="str">
        <f ca="1">NUMBERSTRING(INT(N59*10000),2)&amp;"元整"</f>
        <v>贰亿陆仟玖佰贰拾柒万元整</v>
      </c>
      <c r="O60" s="2763"/>
    </row>
    <row r="61" spans="1:35" ht="13.5" thickBot="1">
      <c r="A61" s="3270" t="s">
        <v>2056</v>
      </c>
      <c r="B61" s="3270"/>
      <c r="C61" s="3270"/>
      <c r="D61" s="3270"/>
      <c r="E61" s="3270"/>
      <c r="F61" s="1995"/>
      <c r="G61" s="1995"/>
      <c r="H61" s="1997"/>
      <c r="I61" s="134"/>
      <c r="J61" s="2750">
        <f>J59+1</f>
        <v>7</v>
      </c>
      <c r="K61" s="3208" t="s">
        <v>2057</v>
      </c>
      <c r="L61" s="3208"/>
      <c r="M61" s="2767"/>
      <c r="N61" s="2768">
        <f ca="1">ROUND(N59*10000/'数据-汇总表'!E3,0)</f>
        <v>1120045</v>
      </c>
      <c r="O61" s="2769"/>
    </row>
    <row r="62" spans="1:35" ht="12.75">
      <c r="A62" s="3227" t="s">
        <v>2058</v>
      </c>
      <c r="B62" s="3228"/>
      <c r="C62" s="2210"/>
      <c r="D62" s="2210" t="s">
        <v>2059</v>
      </c>
      <c r="E62" s="171" t="s">
        <v>2060</v>
      </c>
      <c r="F62" s="1995"/>
      <c r="G62" s="1995"/>
      <c r="H62" s="1997"/>
      <c r="I62" s="134"/>
    </row>
    <row r="63" spans="1:35" ht="12.75">
      <c r="A63" s="178" t="s">
        <v>775</v>
      </c>
      <c r="B63" s="172" t="s">
        <v>2061</v>
      </c>
      <c r="C63" s="2791">
        <f ca="1">ROUND((C64+C65)/(1+'数据-取费表'!C42),0)</f>
        <v>60489</v>
      </c>
      <c r="D63" s="172"/>
      <c r="E63" s="173"/>
      <c r="F63" s="1995"/>
      <c r="G63" s="1995"/>
      <c r="H63" s="1997"/>
      <c r="I63" s="134"/>
      <c r="J63" s="3191" t="s">
        <v>2062</v>
      </c>
      <c r="K63" s="1502" t="s">
        <v>2063</v>
      </c>
      <c r="L63" s="1502">
        <f ca="1">IF(M49&gt;10000,M49*0.5%,IF(AND(M49&gt;1000,M49&lt;=10000),M49*1%,IF(AND(M49&gt;100,M49&lt;=1000),M49*3%,IF(AND(M49&gt;10,M49&lt;=100),M49*5%,M49*8%))))</f>
        <v>317.565</v>
      </c>
      <c r="M63" s="308">
        <f ca="1">ROUND(L63,1)</f>
        <v>317.60000000000002</v>
      </c>
      <c r="N63" s="2770"/>
      <c r="Z63" s="1939"/>
      <c r="AI63" s="1940"/>
    </row>
    <row r="64" spans="1:35" ht="14.25" customHeight="1">
      <c r="A64" s="174" t="s">
        <v>770</v>
      </c>
      <c r="B64" s="175" t="s">
        <v>2064</v>
      </c>
      <c r="C64" s="2792">
        <f ca="1">D45</f>
        <v>63513</v>
      </c>
      <c r="D64" s="175" t="s">
        <v>32</v>
      </c>
      <c r="E64" s="177"/>
      <c r="F64" s="1995"/>
      <c r="G64" s="1995"/>
      <c r="H64" s="1997"/>
      <c r="I64" s="134"/>
      <c r="J64" s="3191"/>
      <c r="K64" s="1502" t="s">
        <v>2065</v>
      </c>
      <c r="L64" s="1502">
        <f ca="1">IF(M49&gt;2000,M49*0.5%,IF(AND(M49&gt;1000,M49&lt;=2000),M49*0.6%,IF(AND(M49&gt;500,M49&lt;=1000),M49*0.7%,IF(AND(M49&gt;200,M49&lt;=500),M49*0.8%,IF(AND(M49&gt;100,M49&lt;=200),M49*0.9%,IF(AND(M49&gt;50,M49&lt;=100),M49*1%,IF(AND(M49&gt;20,M49&lt;=50),M49*1.5%,IF(AND(M49&gt;10,M49&lt;=20),M49*2%,IF(AND(M49&gt;1,M49&lt;=10),M49*2.5%)))))))))</f>
        <v>317.565</v>
      </c>
      <c r="M64" s="308">
        <f t="shared" ref="M64:M65" ca="1" si="1">ROUND(L64,1)</f>
        <v>317.60000000000002</v>
      </c>
      <c r="N64" s="2771" t="s">
        <v>2066</v>
      </c>
      <c r="Z64" s="1939"/>
      <c r="AI64" s="1940"/>
    </row>
    <row r="65" spans="1:35" ht="14.25" customHeight="1">
      <c r="A65" s="174" t="s">
        <v>771</v>
      </c>
      <c r="B65" s="175" t="s">
        <v>2067</v>
      </c>
      <c r="C65" s="2793"/>
      <c r="D65" s="175"/>
      <c r="E65" s="177"/>
      <c r="F65" s="1995"/>
      <c r="G65" s="1995"/>
      <c r="H65" s="1997"/>
      <c r="I65" s="134"/>
      <c r="J65" s="3191"/>
      <c r="K65" s="1502" t="s">
        <v>2068</v>
      </c>
      <c r="L65" s="1502">
        <f ca="1">IF(M49&gt;1000,M49*0.1%,IF(AND(M49&gt;500,M49&lt;=1000),M49*0.5%,IF(AND(M49&gt;50,M49&lt;=500),M49*1%,IF(AND(M49&gt;1,M49&lt;=50),M49*1.5%))))</f>
        <v>63.512999999999998</v>
      </c>
      <c r="M65" s="308">
        <f t="shared" ca="1" si="1"/>
        <v>63.5</v>
      </c>
      <c r="N65" s="2771" t="s">
        <v>2066</v>
      </c>
      <c r="Z65" s="1939"/>
      <c r="AI65" s="1940"/>
    </row>
    <row r="66" spans="1:35" ht="14.25" customHeight="1">
      <c r="A66" s="178" t="s">
        <v>772</v>
      </c>
      <c r="B66" s="179" t="s">
        <v>2069</v>
      </c>
      <c r="C66" s="2794"/>
      <c r="D66" s="179" t="s">
        <v>32</v>
      </c>
      <c r="E66" s="1510" t="s">
        <v>1333</v>
      </c>
      <c r="F66" s="1995"/>
      <c r="G66" s="1995"/>
      <c r="H66" s="1997"/>
      <c r="I66" s="134"/>
      <c r="J66" s="3191"/>
      <c r="K66" s="1502" t="s">
        <v>2070</v>
      </c>
      <c r="L66" s="1502">
        <f ca="1">M49*0.5%</f>
        <v>317.565</v>
      </c>
      <c r="M66" s="308">
        <f ca="1">IF(L66&gt;0.5,0.5,ROUND(L66,0))</f>
        <v>0.5</v>
      </c>
      <c r="N66" s="2771" t="s">
        <v>2071</v>
      </c>
      <c r="Z66" s="1939"/>
      <c r="AI66" s="1940"/>
    </row>
    <row r="67" spans="1:35" ht="14.25" customHeight="1">
      <c r="A67" s="178" t="s">
        <v>773</v>
      </c>
      <c r="B67" s="179" t="s">
        <v>2072</v>
      </c>
      <c r="C67" s="2795">
        <f ca="1">C63-C66</f>
        <v>60489</v>
      </c>
      <c r="D67" s="175" t="s">
        <v>32</v>
      </c>
      <c r="E67" s="177"/>
      <c r="F67" s="1995"/>
      <c r="G67" s="1995"/>
      <c r="H67" s="1997"/>
      <c r="I67" s="134"/>
      <c r="J67" s="3191"/>
      <c r="K67" s="1502" t="s">
        <v>2073</v>
      </c>
      <c r="L67" s="1502">
        <f ca="1">IF(M49&gt;=10000,(8.25+(M49-10000)*0.01%),IF(AND(M49&gt;=8000,M49&lt;10000),(7.85+(M49-8000)*0.02%),IF(AND(M49&gt;=5000,M49&lt;8000),(6.65+(M49-5000)*0.04%),IF(AND(M49&gt;=2000,M49&lt;5000),(4.25+(PM49-2000)*0.08%),IF(AND(M49&gt;=1000,M49&lt;2000),(2.75+(M49-1000)*0.15%),IF(AND(M49&gt;=100,M49&lt;1000),(0.5+(M49-100)*0.25%),IF(AND(M49&gt;0,M49&lt;100),M49*0.5%)))))))</f>
        <v>13.6013</v>
      </c>
      <c r="M67" s="308">
        <f ca="1">ROUND(L67*0.9,1)</f>
        <v>12.2</v>
      </c>
      <c r="N67" s="2770"/>
      <c r="Z67" s="1939"/>
      <c r="AI67" s="1940"/>
    </row>
    <row r="68" spans="1:35" ht="14.25" customHeight="1" thickBot="1">
      <c r="A68" s="181" t="s">
        <v>774</v>
      </c>
      <c r="B68" s="182" t="s">
        <v>2074</v>
      </c>
      <c r="C68" s="2796">
        <f ca="1">IF(C67&lt;=0,0,ROUND(C67*D68,0))</f>
        <v>3387</v>
      </c>
      <c r="D68" s="2797">
        <f>'数据-取费表'!B41</f>
        <v>5.6000000000000001E-2</v>
      </c>
      <c r="E68" s="184"/>
      <c r="F68" s="1995"/>
      <c r="G68" s="1995"/>
      <c r="H68" s="1997"/>
      <c r="I68" s="134"/>
      <c r="J68" s="3191"/>
      <c r="K68" s="1502" t="s">
        <v>2075</v>
      </c>
      <c r="L68" s="1502">
        <f ca="1">IF(M49&gt;10000,M49*0.5%,IF(AND(M49&gt;5000,M49&lt;=10000),M49*1%,IF(AND(M49&gt;1000,M49&lt;=5000),M49*2%,IF(AND(M49&gt;200,M49&lt;=1000),M49*3%,M49*5%))))</f>
        <v>317.565</v>
      </c>
      <c r="M68" s="308">
        <f ca="1">ROUND(L68,1)</f>
        <v>317.60000000000002</v>
      </c>
      <c r="N68" s="2770"/>
      <c r="Z68" s="1939"/>
      <c r="AI68" s="1940"/>
    </row>
    <row r="69" spans="1:35" s="1959" customFormat="1" ht="16.5" customHeight="1">
      <c r="A69" s="1998"/>
      <c r="B69" s="1999"/>
      <c r="C69" s="2000"/>
      <c r="D69" s="2001"/>
      <c r="E69" s="2002"/>
      <c r="F69" s="1764"/>
      <c r="G69" s="1764"/>
      <c r="H69" s="1763"/>
      <c r="I69" s="1934"/>
      <c r="J69" s="3191"/>
      <c r="K69" s="1502" t="s">
        <v>2076</v>
      </c>
      <c r="L69" s="1502"/>
      <c r="M69" s="308">
        <f ca="1">ROUND(SUM(M63:M68),0)</f>
        <v>1029</v>
      </c>
      <c r="N69" s="2772">
        <f ca="1">M69/M49</f>
        <v>1.6201407585848565E-2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5" t="s">
        <v>2077</v>
      </c>
      <c r="B70" s="3236"/>
      <c r="C70" s="3236"/>
      <c r="D70" s="3236"/>
      <c r="E70" s="3236"/>
      <c r="F70" s="3236"/>
      <c r="G70" s="3236"/>
      <c r="H70" s="3236"/>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7" t="s">
        <v>2058</v>
      </c>
      <c r="B71" s="3228"/>
      <c r="C71" s="2210"/>
      <c r="D71" s="2210" t="s">
        <v>2059</v>
      </c>
      <c r="E71" s="185" t="s">
        <v>2060</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2078</v>
      </c>
      <c r="C72" s="2795">
        <f ca="1">ROUND(D45/(1+'数据-取费表'!C42),0)</f>
        <v>60489</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2079</v>
      </c>
      <c r="C73" s="2795">
        <f ca="1">C74+C78</f>
        <v>363</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2080</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2081</v>
      </c>
      <c r="C75" s="2798"/>
      <c r="D75" s="175" t="s">
        <v>32</v>
      </c>
      <c r="E75" s="190" t="s">
        <v>2082</v>
      </c>
      <c r="F75" s="2799"/>
      <c r="G75" s="190" t="s">
        <v>2083</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2084</v>
      </c>
      <c r="C76" s="175">
        <f>IF(F75="购房发票",ROUND(C75*H75*D76,0),0)</f>
        <v>0</v>
      </c>
      <c r="D76" s="2801">
        <v>0.05</v>
      </c>
      <c r="E76" s="3232" t="s">
        <v>2085</v>
      </c>
      <c r="F76" s="3231"/>
      <c r="G76" s="3231"/>
      <c r="H76" s="3234"/>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2086</v>
      </c>
      <c r="C77" s="175">
        <f>ROUND(IF(G77="个人住宅",0,IF(G77="2016年5月1日前购买",C75*D77,C75*D77/(1+'数据-取费表'!C42))),0)</f>
        <v>0</v>
      </c>
      <c r="D77" s="2802">
        <f>'数据-取费表'!B48+'数据-取费表'!B49</f>
        <v>3.0499999999999999E-2</v>
      </c>
      <c r="E77" s="2548" t="s">
        <v>2087</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2088</v>
      </c>
      <c r="C78" s="2803">
        <f ca="1">ROUND(D45*D78/(1+'数据-取费表'!C42),0)</f>
        <v>363</v>
      </c>
      <c r="D78" s="2804">
        <f>'数据-取费表'!B43</f>
        <v>6.000000000000001E-3</v>
      </c>
      <c r="E78" s="3224" t="s">
        <v>2089</v>
      </c>
      <c r="F78" s="3225"/>
      <c r="G78" s="3225"/>
      <c r="H78" s="3226"/>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2090</v>
      </c>
      <c r="C79" s="2795">
        <f ca="1">C72-C73</f>
        <v>60126</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2091</v>
      </c>
      <c r="C80" s="2805">
        <f ca="1">IF(C79&lt;=0,0,C79/C73)</f>
        <v>165.63636363636363</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2092</v>
      </c>
      <c r="C81" s="2806">
        <f ca="1">ROUND(IF(C79&lt;=0,0,IF(C80&gt;=200%,C79*60%-C73*35%,IF(C80&gt;=100%,C79*50%-C73*15%,IF(C80&gt;=50%,C79*40%-C73*5%,IF(C80&lt;50%,C79*30%,0))))),0)</f>
        <v>35949</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5" t="s">
        <v>2093</v>
      </c>
      <c r="B83" s="3236"/>
      <c r="C83" s="3236"/>
      <c r="D83" s="3236"/>
      <c r="E83" s="3236"/>
      <c r="F83" s="3236"/>
      <c r="G83" s="3236"/>
      <c r="H83" s="3236"/>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7" t="s">
        <v>2058</v>
      </c>
      <c r="B84" s="3228"/>
      <c r="C84" s="2210"/>
      <c r="D84" s="2210" t="s">
        <v>2059</v>
      </c>
      <c r="E84" s="185" t="s">
        <v>2060</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2078</v>
      </c>
      <c r="C85" s="2795">
        <f ca="1">ROUND(D45/(1+'数据-取费表'!C42),0)</f>
        <v>60489</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2079</v>
      </c>
      <c r="C86" s="2795">
        <f ca="1">IF(H88="仅含出让金",C87+C90+C91+C92+C93+C94,C87+C91+C92+C93+C94)</f>
        <v>363</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2094</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2095</v>
      </c>
      <c r="C88" s="2809"/>
      <c r="D88" s="2804"/>
      <c r="E88" s="199" t="s">
        <v>2096</v>
      </c>
      <c r="F88" s="2551"/>
      <c r="G88" s="200" t="s">
        <v>2097</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2086</v>
      </c>
      <c r="C89" s="2803">
        <f>ROUND(C88*D89,0)</f>
        <v>0</v>
      </c>
      <c r="D89" s="2804">
        <f>'数据-取费表'!B48+'数据-取费表'!B49</f>
        <v>3.0499999999999999E-2</v>
      </c>
      <c r="E89" s="199" t="s">
        <v>2098</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2099</v>
      </c>
      <c r="C90" s="2809"/>
      <c r="D90" s="2804"/>
      <c r="E90" s="199" t="str">
        <f>IF(H88="-","土地取得成本中已包含该笔费用"," ")</f>
        <v xml:space="preserve"> </v>
      </c>
      <c r="F90" s="2551"/>
      <c r="G90" s="3193" t="s">
        <v>2867</v>
      </c>
      <c r="H90" s="3194"/>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2100</v>
      </c>
      <c r="B91" s="175" t="s">
        <v>2101</v>
      </c>
      <c r="C91" s="2803">
        <f>IF(H91="——",成本法!C33,I91)</f>
        <v>0</v>
      </c>
      <c r="D91" s="2804"/>
      <c r="E91" s="3224" t="s">
        <v>2102</v>
      </c>
      <c r="F91" s="3225"/>
      <c r="G91" s="3225"/>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2103</v>
      </c>
      <c r="B92" s="175" t="s">
        <v>2104</v>
      </c>
      <c r="C92" s="2803">
        <f>ROUND((C87+C90+C91)*D92,0)</f>
        <v>0</v>
      </c>
      <c r="D92" s="2810"/>
      <c r="E92" s="3224" t="s">
        <v>2105</v>
      </c>
      <c r="F92" s="3225"/>
      <c r="G92" s="3225"/>
      <c r="H92" s="3226"/>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2106</v>
      </c>
      <c r="B93" s="175" t="s">
        <v>2088</v>
      </c>
      <c r="C93" s="2803">
        <f ca="1">ROUND(D45*D93/(1+'数据-取费表'!C42),0)</f>
        <v>363</v>
      </c>
      <c r="D93" s="2804">
        <f>'数据-取费表'!B43</f>
        <v>6.000000000000001E-3</v>
      </c>
      <c r="E93" s="3224" t="s">
        <v>2089</v>
      </c>
      <c r="F93" s="3225"/>
      <c r="G93" s="3225"/>
      <c r="H93" s="3226"/>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2107</v>
      </c>
      <c r="B94" s="175" t="s">
        <v>2108</v>
      </c>
      <c r="C94" s="2809">
        <f>ROUND((C87+C90+C91)*D94,0)</f>
        <v>0</v>
      </c>
      <c r="D94" s="2804">
        <v>0.2</v>
      </c>
      <c r="E94" s="3272" t="s">
        <v>2109</v>
      </c>
      <c r="F94" s="3273"/>
      <c r="G94" s="3273"/>
      <c r="H94" s="327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2090</v>
      </c>
      <c r="C95" s="2795">
        <f ca="1">ROUND(C85-C86,0)</f>
        <v>60126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2091</v>
      </c>
      <c r="C96" s="2805">
        <f ca="1">IF(C95&lt;=0,0,C95/C86)</f>
        <v>165.63636363636363</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2092</v>
      </c>
      <c r="C97" s="2806">
        <f ca="1">ROUND(IF(C95&lt;=0,0,IF(C96&gt;=200%,C95*60%-C86*35%,IF(C96&gt;=100%,C95*50%-C86*15%,IF(C96&gt;=50%,C95*40%-C86*5%,IF(C96&lt;50%,C95*30%,0))))),0)</f>
        <v>35949</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2110</v>
      </c>
      <c r="B99" s="1934"/>
      <c r="C99" s="1934"/>
      <c r="D99" s="1934"/>
      <c r="E99" s="1764"/>
      <c r="F99" s="1764"/>
      <c r="G99" s="1764"/>
      <c r="H99" s="1763"/>
      <c r="I99" s="134"/>
    </row>
    <row r="100" spans="1:35" ht="18.75" customHeight="1">
      <c r="A100" s="3174" t="s">
        <v>2111</v>
      </c>
      <c r="B100" s="3175"/>
      <c r="C100" s="3175"/>
      <c r="D100" s="3209"/>
      <c r="E100" s="3175" t="s">
        <v>2112</v>
      </c>
      <c r="F100" s="3175"/>
      <c r="G100" s="3175"/>
      <c r="H100" s="3209"/>
      <c r="I100" s="134"/>
    </row>
    <row r="101" spans="1:35" ht="18.75" customHeight="1">
      <c r="A101" s="3217" t="s">
        <v>2113</v>
      </c>
      <c r="B101" s="3218"/>
      <c r="C101" s="2812" t="str">
        <f>C4</f>
        <v>典型户型修正</v>
      </c>
      <c r="D101" s="2813" t="str">
        <f>D4</f>
        <v>典型户型修正</v>
      </c>
      <c r="E101" s="3187" t="s">
        <v>2114</v>
      </c>
      <c r="F101" s="3188"/>
      <c r="G101" s="2014" t="s">
        <v>2115</v>
      </c>
      <c r="H101" s="2822">
        <f ca="1">H118</f>
        <v>63513</v>
      </c>
      <c r="I101" s="134"/>
    </row>
    <row r="102" spans="1:35" ht="18.75" customHeight="1">
      <c r="A102" s="3219" t="s">
        <v>2116</v>
      </c>
      <c r="B102" s="2811" t="s">
        <v>2115</v>
      </c>
      <c r="C102" s="2812">
        <f ca="1">C19</f>
        <v>63513</v>
      </c>
      <c r="D102" s="2813">
        <f ca="1">D19</f>
        <v>63513</v>
      </c>
      <c r="E102" s="3187"/>
      <c r="F102" s="3188"/>
      <c r="G102" s="2014" t="s">
        <v>2117</v>
      </c>
      <c r="H102" s="2782">
        <f ca="1">I118</f>
        <v>2641862</v>
      </c>
      <c r="I102" s="134"/>
    </row>
    <row r="103" spans="1:35" ht="42.75" customHeight="1">
      <c r="A103" s="3219"/>
      <c r="B103" s="2811" t="s">
        <v>2117</v>
      </c>
      <c r="C103" s="2814">
        <f ca="1">C20</f>
        <v>48012</v>
      </c>
      <c r="D103" s="2815">
        <f ca="1">D20</f>
        <v>48012</v>
      </c>
      <c r="E103" s="3180" t="s">
        <v>2118</v>
      </c>
      <c r="F103" s="3181"/>
      <c r="G103" s="2015" t="s">
        <v>2119</v>
      </c>
      <c r="H103" s="2822">
        <f>IF(D36="正常操作",H104+H105+H106,H105+H106)</f>
        <v>0</v>
      </c>
      <c r="I103" s="134"/>
    </row>
    <row r="104" spans="1:35" ht="18.75" customHeight="1">
      <c r="A104" s="3219" t="s">
        <v>2120</v>
      </c>
      <c r="B104" s="2816" t="s">
        <v>2115</v>
      </c>
      <c r="C104" s="2817">
        <f ca="1">H118</f>
        <v>63513</v>
      </c>
      <c r="D104" s="2818"/>
      <c r="E104" s="1861" t="s">
        <v>2121</v>
      </c>
      <c r="F104" s="1852"/>
      <c r="G104" s="2015" t="s">
        <v>2119</v>
      </c>
      <c r="H104" s="2823">
        <f>IF(D36="同一抵押权人同一抵押物续贷",C36&amp;"（续贷，未扣减，详见特别提示）",C36)</f>
        <v>0</v>
      </c>
      <c r="I104" s="134"/>
    </row>
    <row r="105" spans="1:35" ht="18.75" customHeight="1" thickBot="1">
      <c r="A105" s="3229"/>
      <c r="B105" s="2819" t="s">
        <v>2117</v>
      </c>
      <c r="C105" s="2820">
        <f ca="1">I118</f>
        <v>2641862</v>
      </c>
      <c r="D105" s="2821"/>
      <c r="E105" s="1861" t="s">
        <v>2122</v>
      </c>
      <c r="F105" s="1852"/>
      <c r="G105" s="2015" t="s">
        <v>2119</v>
      </c>
      <c r="H105" s="2824">
        <f>C37</f>
        <v>0</v>
      </c>
      <c r="I105" s="134"/>
    </row>
    <row r="106" spans="1:35" ht="18.75" customHeight="1">
      <c r="A106" s="1934" t="s">
        <v>2123</v>
      </c>
      <c r="B106" s="1934"/>
      <c r="C106" s="1934"/>
      <c r="D106" s="1934"/>
      <c r="E106" s="2016" t="s">
        <v>2124</v>
      </c>
      <c r="F106" s="1852"/>
      <c r="G106" s="2015" t="s">
        <v>2119</v>
      </c>
      <c r="H106" s="2824">
        <f>C38</f>
        <v>0</v>
      </c>
      <c r="I106" s="134"/>
    </row>
    <row r="107" spans="1:35" ht="18.75" customHeight="1">
      <c r="A107" s="134"/>
      <c r="B107" s="134"/>
      <c r="C107" s="134"/>
      <c r="D107" s="134"/>
      <c r="E107" s="3220" t="str">
        <f>IF(项目基本情况!E8="已注销","——","3.房地产抵押价值")</f>
        <v>3.房地产抵押价值</v>
      </c>
      <c r="F107" s="3188"/>
      <c r="G107" s="2014" t="s">
        <v>2115</v>
      </c>
      <c r="H107" s="2822">
        <f ca="1">IF(E107="——","——",H101-H103)</f>
        <v>63513</v>
      </c>
      <c r="I107" s="134"/>
    </row>
    <row r="108" spans="1:35" ht="18.75" customHeight="1">
      <c r="A108" s="134"/>
      <c r="B108" s="134"/>
      <c r="C108" s="134"/>
      <c r="D108" s="134"/>
      <c r="E108" s="3220"/>
      <c r="F108" s="3188"/>
      <c r="G108" s="2014" t="s">
        <v>2117</v>
      </c>
      <c r="H108" s="2782">
        <f ca="1">ROUND(H107*10000/'数据-汇总表'!E3,0)</f>
        <v>2641862</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14" t="s">
        <v>2115</v>
      </c>
      <c r="H109" s="2825" t="str">
        <f>IF(E109="——","——",H101-H105-H106)</f>
        <v>——</v>
      </c>
      <c r="I109" s="134"/>
    </row>
    <row r="110" spans="1:35" ht="18.75" customHeight="1">
      <c r="A110" s="134"/>
      <c r="B110" s="134"/>
      <c r="C110" s="134"/>
      <c r="D110" s="134"/>
      <c r="E110" s="3220"/>
      <c r="F110" s="3188"/>
      <c r="G110" s="2014" t="s">
        <v>2117</v>
      </c>
      <c r="H110" s="2782"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14" t="s">
        <v>2115</v>
      </c>
      <c r="H111" s="2822" t="str">
        <f>IF(E111="——","——",N59)</f>
        <v>——</v>
      </c>
      <c r="I111" s="134"/>
    </row>
    <row r="112" spans="1:35" ht="18.75" customHeight="1" thickBot="1">
      <c r="A112" s="134"/>
      <c r="B112" s="134"/>
      <c r="C112" s="134"/>
      <c r="D112" s="134"/>
      <c r="E112" s="3222"/>
      <c r="F112" s="3223"/>
      <c r="G112" s="2017" t="s">
        <v>2117</v>
      </c>
      <c r="H112" s="2826" t="str">
        <f>IF(E111="——","——",N61)</f>
        <v>——</v>
      </c>
      <c r="I112" s="134"/>
    </row>
    <row r="113" spans="1:27" ht="18.75" customHeight="1">
      <c r="A113" s="134"/>
      <c r="B113" s="134"/>
      <c r="C113" s="134"/>
      <c r="D113" s="134"/>
      <c r="E113" s="3230" t="s">
        <v>2123</v>
      </c>
      <c r="F113" s="3230"/>
      <c r="G113" s="3230"/>
      <c r="H113" s="3230"/>
      <c r="I113" s="134"/>
    </row>
    <row r="114" spans="1:27" ht="3.75" customHeight="1">
      <c r="A114" s="1934"/>
      <c r="B114" s="1934"/>
      <c r="C114" s="1934"/>
      <c r="D114" s="1934"/>
      <c r="E114" s="1996"/>
      <c r="F114" s="1996"/>
      <c r="G114" s="1996"/>
      <c r="H114" s="1996"/>
      <c r="I114" s="1934"/>
    </row>
    <row r="115" spans="1:27" ht="18.75" customHeight="1">
      <c r="A115" s="3241" t="s">
        <v>2125</v>
      </c>
      <c r="B115" s="3242"/>
      <c r="C115" s="3242"/>
      <c r="D115" s="3242"/>
      <c r="E115" s="3242"/>
      <c r="F115" s="3242"/>
      <c r="G115" s="3242"/>
      <c r="H115" s="3242"/>
      <c r="I115" s="3243"/>
    </row>
    <row r="116" spans="1:27" ht="27" customHeight="1">
      <c r="A116" s="3195" t="s">
        <v>2126</v>
      </c>
      <c r="B116" s="3199" t="s">
        <v>2127</v>
      </c>
      <c r="C116" s="3199" t="s">
        <v>2128</v>
      </c>
      <c r="D116" s="3205" t="s">
        <v>2129</v>
      </c>
      <c r="E116" s="3206"/>
      <c r="F116" s="3237" t="s">
        <v>2130</v>
      </c>
      <c r="G116" s="3237"/>
      <c r="H116" s="3195" t="s">
        <v>2131</v>
      </c>
      <c r="I116" s="3195"/>
    </row>
    <row r="117" spans="1:27" ht="18.75" customHeight="1">
      <c r="A117" s="3195"/>
      <c r="B117" s="3200"/>
      <c r="C117" s="3200"/>
      <c r="D117" s="2553" t="s">
        <v>2132</v>
      </c>
      <c r="E117" s="2553" t="s">
        <v>2133</v>
      </c>
      <c r="F117" s="2553" t="s">
        <v>2132</v>
      </c>
      <c r="G117" s="2553" t="s">
        <v>2134</v>
      </c>
      <c r="H117" s="2553" t="s">
        <v>2132</v>
      </c>
      <c r="I117" s="2553" t="s">
        <v>2134</v>
      </c>
    </row>
    <row r="118" spans="1:27" ht="24.75" customHeight="1">
      <c r="A118" s="2827" t="str">
        <f>项目基本情况!S2</f>
        <v>北京市房地产</v>
      </c>
      <c r="B118" s="2553">
        <f>M18</f>
        <v>240.41</v>
      </c>
      <c r="C118" s="2553">
        <f>M19</f>
        <v>11.65</v>
      </c>
      <c r="D118" s="2553">
        <f ca="1">ROUND(IF(D32="总价",C34,E118*B118/10000),0)</f>
        <v>51509</v>
      </c>
      <c r="E118" s="2553">
        <f ca="1">ROUND(IF(C33="自定义",IF(D32="楼面单价",C34,D118*10000/B118),I118-G118),0)</f>
        <v>2142548</v>
      </c>
      <c r="F118" s="2553">
        <f ca="1">ROUND(IF(D32="总价",C35,G118*B118/10000),0)</f>
        <v>12004</v>
      </c>
      <c r="G118" s="2553">
        <f ca="1">ROUND(IF(D32="楼面单价",C35,F118*10000/B118),0)</f>
        <v>499314</v>
      </c>
      <c r="H118" s="2553">
        <f ca="1">ROUND(IF(D32="总价",C32,I118*B118/10000),0)</f>
        <v>63513</v>
      </c>
      <c r="I118" s="2553">
        <f ca="1">ROUND(IF(D32="楼面单价",C32,H118*10000/B118),0)</f>
        <v>2641862</v>
      </c>
    </row>
    <row r="119" spans="1:27" ht="18.75" customHeight="1">
      <c r="A119" s="3195" t="s">
        <v>2135</v>
      </c>
      <c r="B119" s="3195"/>
      <c r="C119" s="3195"/>
      <c r="D119" s="3201" t="str">
        <f ca="1">NUMBERSTRING(INT(D118*10000),2)&amp;"元整"</f>
        <v>伍亿壹仟伍佰零玖万元整</v>
      </c>
      <c r="E119" s="3202"/>
      <c r="F119" s="3201" t="str">
        <f ca="1">NUMBERSTRING(INT(F118*10000),2)&amp;"元整"</f>
        <v>壹亿贰仟零肆万元整</v>
      </c>
      <c r="G119" s="3202"/>
      <c r="H119" s="3201" t="str">
        <f ca="1">NUMBERSTRING(INT(H118*10000),2)&amp;"元整"</f>
        <v>陆亿叁仟伍佰壹拾叁万元整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8" t="s">
        <v>2135</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63513</v>
      </c>
      <c r="E122" s="3197"/>
      <c r="F122" s="3197"/>
      <c r="G122" s="3197"/>
      <c r="H122" s="3197"/>
      <c r="I122" s="3198"/>
      <c r="AA122" s="734"/>
    </row>
    <row r="123" spans="1:27" ht="18.75" customHeight="1">
      <c r="A123" s="3195" t="s">
        <v>2135</v>
      </c>
      <c r="B123" s="3195"/>
      <c r="C123" s="3195"/>
      <c r="D123" s="3201" t="str">
        <f ca="1">NUMBERSTRING(INT(D122*10000),2)&amp;"元整"</f>
        <v>陆亿叁仟伍佰壹拾叁万元整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2135</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2135</v>
      </c>
      <c r="B127" s="3195"/>
      <c r="C127" s="3195"/>
      <c r="D127" s="3201" t="e">
        <f>NUMBERSTRING(INT(D126*10000),2)&amp;"元整"</f>
        <v>#VALUE!</v>
      </c>
      <c r="E127" s="3203"/>
      <c r="F127" s="3203"/>
      <c r="G127" s="3203"/>
      <c r="H127" s="3203"/>
      <c r="I127" s="3202"/>
      <c r="AA127" s="734"/>
    </row>
    <row r="128" spans="1:27" ht="21.75" customHeight="1">
      <c r="A128" s="3204" t="s">
        <v>2136</v>
      </c>
      <c r="B128" s="3204"/>
      <c r="C128" s="3204"/>
      <c r="D128" s="3204"/>
      <c r="E128" s="3204"/>
      <c r="F128" s="3204"/>
      <c r="G128" s="3204"/>
      <c r="H128" s="3204"/>
      <c r="I128" s="3204"/>
      <c r="AA128" s="734"/>
    </row>
    <row r="129" spans="1:35" ht="21.75" customHeight="1">
      <c r="A129" s="2018" t="s">
        <v>2137</v>
      </c>
      <c r="B129" s="2019"/>
      <c r="C129" s="2020" t="s">
        <v>2138</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2139</v>
      </c>
      <c r="G135" s="2035"/>
      <c r="H135" s="2035"/>
      <c r="I135" s="2036" t="s">
        <v>2140</v>
      </c>
    </row>
    <row r="136" spans="1:35" ht="21.75" customHeight="1">
      <c r="A136" s="734"/>
      <c r="B136" s="2037"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2142</v>
      </c>
    </row>
    <row r="139" spans="1:35" ht="21.75" customHeight="1">
      <c r="A139" s="734"/>
      <c r="B139" s="2037" t="s">
        <v>2143</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2142</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4" t="str">
        <f>项目基本情况!B1</f>
        <v>北京市房地产抵押价值预评估</v>
      </c>
      <c r="C37" s="3084"/>
      <c r="D37" s="3084"/>
      <c r="E37" s="3084"/>
      <c r="F37" s="3084"/>
      <c r="G37" s="3084"/>
      <c r="H37" s="3084"/>
      <c r="I37" s="308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5"/>
      <c r="C1" s="204"/>
      <c r="D1" s="204"/>
      <c r="E1" s="204"/>
      <c r="F1" s="204"/>
      <c r="G1" s="1287">
        <f>MATCH(B1,'数据-取费表'!A6:A16,0)+5</f>
        <v>8</v>
      </c>
    </row>
    <row r="2" spans="1:9" s="206" customFormat="1" ht="18" customHeight="1">
      <c r="A2" s="207" t="s">
        <v>2145</v>
      </c>
      <c r="B2" s="208">
        <f ca="1">IF(D2="——",C52,C52-E2)</f>
        <v>874</v>
      </c>
      <c r="C2" s="205" t="s">
        <v>2146</v>
      </c>
      <c r="D2" s="2040" t="s">
        <v>70</v>
      </c>
      <c r="E2" s="1330" t="e">
        <f ca="1">SUMIF(INDIRECT("'"&amp;G2&amp;"'"&amp;"!A:A"),"承租人权益价值",INDIRECT("'"&amp;G2&amp;"'"&amp;"!c:c"))</f>
        <v>#REF!</v>
      </c>
      <c r="F2" s="2041" t="s">
        <v>2146</v>
      </c>
      <c r="G2" s="2042"/>
    </row>
    <row r="3" spans="1:9" s="206" customFormat="1" ht="18" customHeight="1" thickBot="1">
      <c r="A3" s="209" t="s">
        <v>2147</v>
      </c>
      <c r="B3" s="210">
        <f ca="1">ROUND(B2*10000/(IF(B1="",'数据-汇总表'!E3,INDIRECT("'数据-取费表'!k"&amp;$G$1))),0)</f>
        <v>36355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489</v>
      </c>
      <c r="D5" s="217" t="s">
        <v>2152</v>
      </c>
      <c r="E5" s="218" t="s">
        <v>2153</v>
      </c>
      <c r="F5" s="218" t="s">
        <v>2154</v>
      </c>
      <c r="G5" s="219"/>
    </row>
    <row r="6" spans="1:9" s="220" customFormat="1" ht="13.5" customHeight="1">
      <c r="A6" s="886" t="s">
        <v>2155</v>
      </c>
      <c r="B6" s="221" t="s">
        <v>2156</v>
      </c>
      <c r="C6" s="222">
        <f ca="1">基准地价修正!B2</f>
        <v>475</v>
      </c>
      <c r="D6" s="223"/>
      <c r="E6" s="224"/>
      <c r="F6" s="224"/>
      <c r="G6" s="225"/>
    </row>
    <row r="7" spans="1:9" s="220" customFormat="1" ht="13.5" customHeight="1">
      <c r="A7" s="886" t="s">
        <v>2157</v>
      </c>
      <c r="B7" s="221" t="s">
        <v>2158</v>
      </c>
      <c r="C7" s="226">
        <f ca="1">ROUND(C6*F7,0)</f>
        <v>14</v>
      </c>
      <c r="D7" s="226"/>
      <c r="E7" s="224"/>
      <c r="F7" s="227">
        <f>IF(项目基本情况!B8="出让",0,'数据-取费表'!B48+'数据-取费表'!B49)</f>
        <v>3.0499999999999999E-2</v>
      </c>
      <c r="G7" s="225"/>
    </row>
    <row r="8" spans="1:9" s="229" customFormat="1">
      <c r="A8" s="886" t="s">
        <v>2159</v>
      </c>
      <c r="B8" s="221" t="s">
        <v>2160</v>
      </c>
      <c r="C8" s="226">
        <f>IF(G8="已包含在土地购买价格中","0",IF(B1="",'数据-取费表'!B29,IF(G9="全部缴纳",C9+C10,H9)))</f>
        <v>0</v>
      </c>
      <c r="D8" s="228"/>
      <c r="E8" s="226"/>
      <c r="F8" s="227"/>
      <c r="G8" s="2043" t="s">
        <v>3237</v>
      </c>
    </row>
    <row r="9" spans="1:9" s="220" customFormat="1" ht="13.5" customHeight="1">
      <c r="A9" s="887" t="s">
        <v>800</v>
      </c>
      <c r="B9" s="230" t="s">
        <v>2161</v>
      </c>
      <c r="C9" s="231">
        <f ca="1">ROUND(D9*E9/10000,0)</f>
        <v>0</v>
      </c>
      <c r="D9" s="954">
        <f ca="1">IF(B1="",'数据-汇总表'!E5,IF(INDIRECT("'数据-取费表'!c"&amp;$G$1)="住宅",INDIRECT("'数据-取费表'!k"&amp;$G$1),0))</f>
        <v>0</v>
      </c>
      <c r="E9" s="231">
        <f>'数据-取费表'!B27</f>
        <v>0</v>
      </c>
      <c r="F9" s="227"/>
      <c r="G9" s="2044" t="s">
        <v>3238</v>
      </c>
      <c r="H9" s="1298"/>
      <c r="I9" s="2045" t="s">
        <v>2162</v>
      </c>
    </row>
    <row r="10" spans="1:9" s="220" customFormat="1" ht="13.5" customHeight="1">
      <c r="A10" s="887" t="s">
        <v>801</v>
      </c>
      <c r="B10" s="230" t="s">
        <v>2163</v>
      </c>
      <c r="C10" s="231">
        <f ca="1">ROUND(D10*E10/10000,0)</f>
        <v>5</v>
      </c>
      <c r="D10" s="954">
        <f ca="1">IF(B1="",'数据-汇总表'!E6,IF(INDIRECT("'数据-取费表'!c"&amp;$G$1)="住宅",INDIRECT("'数据-取费表'!s"&amp;$G$1),INDIRECT("'数据-取费表'!k"&amp;$G$1)+INDIRECT("'数据-取费表'!s"&amp;$G$1)))</f>
        <v>240.41</v>
      </c>
      <c r="E10" s="231">
        <f>'数据-取费表'!B28</f>
        <v>200</v>
      </c>
      <c r="F10" s="227"/>
      <c r="G10" s="232"/>
    </row>
    <row r="11" spans="1:9" s="220" customFormat="1" ht="13.5" hidden="1" customHeight="1">
      <c r="A11" s="233" t="s">
        <v>7</v>
      </c>
      <c r="B11" s="221" t="s">
        <v>2164</v>
      </c>
      <c r="C11" s="217"/>
      <c r="D11" s="956"/>
      <c r="E11" s="224"/>
      <c r="F11" s="224"/>
      <c r="G11" s="225"/>
    </row>
    <row r="12" spans="1:9" s="220" customFormat="1" ht="13.5" hidden="1" customHeight="1">
      <c r="A12" s="233" t="s">
        <v>8</v>
      </c>
      <c r="B12" s="221" t="s">
        <v>2165</v>
      </c>
      <c r="C12" s="217">
        <v>0</v>
      </c>
      <c r="D12" s="956"/>
      <c r="E12" s="234"/>
      <c r="F12" s="227">
        <v>3.0499999999999999E-2</v>
      </c>
      <c r="G12" s="225"/>
    </row>
    <row r="13" spans="1:9" s="220" customFormat="1" ht="13.5" hidden="1" customHeight="1">
      <c r="A13" s="233" t="s">
        <v>9</v>
      </c>
      <c r="B13" s="221" t="s">
        <v>2166</v>
      </c>
      <c r="C13" s="217"/>
      <c r="D13" s="956"/>
      <c r="E13" s="224"/>
      <c r="F13" s="224"/>
      <c r="G13" s="225"/>
    </row>
    <row r="14" spans="1:9" s="220" customFormat="1" ht="13.5" hidden="1" customHeight="1">
      <c r="A14" s="233" t="s">
        <v>10</v>
      </c>
      <c r="B14" s="221" t="s">
        <v>2167</v>
      </c>
      <c r="C14" s="217"/>
      <c r="D14" s="956"/>
      <c r="E14" s="224"/>
      <c r="F14" s="224"/>
      <c r="G14" s="225" t="s">
        <v>2168</v>
      </c>
    </row>
    <row r="15" spans="1:9" s="220" customFormat="1" ht="13.5" hidden="1" customHeight="1">
      <c r="A15" s="233" t="s">
        <v>11</v>
      </c>
      <c r="B15" s="221" t="s">
        <v>2169</v>
      </c>
      <c r="C15" s="226"/>
      <c r="D15" s="956"/>
      <c r="E15" s="224"/>
      <c r="F15" s="224"/>
      <c r="G15" s="225" t="s">
        <v>2170</v>
      </c>
    </row>
    <row r="16" spans="1:9" s="220" customFormat="1" ht="13.5" hidden="1" customHeight="1">
      <c r="A16" s="233" t="s">
        <v>12</v>
      </c>
      <c r="B16" s="221" t="s">
        <v>2167</v>
      </c>
      <c r="C16" s="226"/>
      <c r="D16" s="956"/>
      <c r="E16" s="224"/>
      <c r="F16" s="224"/>
      <c r="G16" s="225"/>
    </row>
    <row r="17" spans="1:7" s="220" customFormat="1" ht="13.5" hidden="1" customHeight="1">
      <c r="A17" s="233" t="s">
        <v>13</v>
      </c>
      <c r="B17" s="221" t="s">
        <v>2171</v>
      </c>
      <c r="C17" s="235"/>
      <c r="D17" s="957"/>
      <c r="E17" s="235"/>
      <c r="F17" s="235"/>
      <c r="G17" s="225" t="s">
        <v>2170</v>
      </c>
    </row>
    <row r="18" spans="1:7" s="220" customFormat="1" ht="13.5" hidden="1" customHeight="1">
      <c r="A18" s="233" t="s">
        <v>14</v>
      </c>
      <c r="B18" s="221" t="s">
        <v>2172</v>
      </c>
      <c r="C18" s="226">
        <v>0</v>
      </c>
      <c r="D18" s="956"/>
      <c r="E18" s="224"/>
      <c r="F18" s="227">
        <v>3.0499999999999999E-2</v>
      </c>
      <c r="G18" s="225" t="s">
        <v>2173</v>
      </c>
    </row>
    <row r="19" spans="1:7" s="229" customFormat="1" ht="13.5" customHeight="1">
      <c r="A19" s="261" t="s">
        <v>2174</v>
      </c>
      <c r="B19" s="216" t="s">
        <v>2175</v>
      </c>
      <c r="C19" s="217" t="str">
        <f>IF(G19="已包含在土地取得成本中","0",ROUND(D19*E19/10000,0))</f>
        <v>0</v>
      </c>
      <c r="D19" s="958">
        <f ca="1">D9+D10</f>
        <v>240.41</v>
      </c>
      <c r="E19" s="217">
        <f>'数据-取费表'!B31</f>
        <v>200</v>
      </c>
      <c r="F19" s="237"/>
      <c r="G19" s="2043" t="s">
        <v>3239</v>
      </c>
    </row>
    <row r="20" spans="1:7" s="220" customFormat="1" ht="13.5" customHeight="1">
      <c r="A20" s="261" t="s">
        <v>2176</v>
      </c>
      <c r="B20" s="216" t="s">
        <v>2177</v>
      </c>
      <c r="C20" s="238">
        <f ca="1">ROUND((C5+C19)*F20,0)</f>
        <v>10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3">
        <f ca="1">ROUND(SUM(C23:C25),0)</f>
        <v>74</v>
      </c>
      <c r="D22" s="241">
        <f ca="1">C26</f>
        <v>1.4E-3</v>
      </c>
      <c r="E22" s="242" t="s">
        <v>2181</v>
      </c>
      <c r="F22" s="243">
        <f ca="1">'数据-取费表'!B40</f>
        <v>4.7500000000000001E-2</v>
      </c>
      <c r="G22" s="240" t="str">
        <f>IF('数据-取费表'!B22&lt;=1,"单利计息","复利计息")</f>
        <v>复利计息</v>
      </c>
    </row>
    <row r="23" spans="1:7" s="220" customFormat="1" ht="13.5" customHeight="1">
      <c r="A23" s="888" t="s">
        <v>2185</v>
      </c>
      <c r="B23" s="221" t="s">
        <v>2186</v>
      </c>
      <c r="C23" s="1264">
        <f ca="1">ROUND(IF('数据-取费表'!B22&lt;=1,C5*F22*'数据-取费表'!B23,C5*(POWER((1+F22),'数据-取费表'!B23)-1)),0)</f>
        <v>73</v>
      </c>
      <c r="D23" s="244"/>
      <c r="E23" s="244"/>
      <c r="F23" s="245"/>
      <c r="G23" s="246" t="s">
        <v>2187</v>
      </c>
    </row>
    <row r="24" spans="1:7" s="220" customFormat="1" ht="13.5" customHeight="1">
      <c r="A24" s="888" t="s">
        <v>2188</v>
      </c>
      <c r="B24" s="221" t="s">
        <v>2189</v>
      </c>
      <c r="C24" s="1264">
        <f ca="1">ROUND(IF('数据-取费表'!B22&lt;=1,C19*F22*('数据-取费表'!B19/2+'数据-取费表'!B21),C19*(POWER((1+F22),('数据-取费表'!B19/2+'数据-取费表'!B21))-1)),0)</f>
        <v>0</v>
      </c>
      <c r="D24" s="244"/>
      <c r="E24" s="244"/>
      <c r="F24" s="245"/>
      <c r="G24" s="246" t="s">
        <v>2190</v>
      </c>
    </row>
    <row r="25" spans="1:7" s="220" customFormat="1" ht="24">
      <c r="A25" s="888" t="s">
        <v>2191</v>
      </c>
      <c r="B25" s="221" t="s">
        <v>2192</v>
      </c>
      <c r="C25" s="1264">
        <f ca="1">ROUND(IF('数据-取费表'!B22&lt;=1,C20*F22*'数据-取费表'!B23/2,C20*(POWER((1+F22),'数据-取费表'!B23/2)-1)),0)</f>
        <v>1</v>
      </c>
      <c r="D25" s="244"/>
      <c r="E25" s="247"/>
      <c r="F25" s="245"/>
      <c r="G25" s="248" t="s">
        <v>2193</v>
      </c>
    </row>
    <row r="26" spans="1:7" s="220" customFormat="1">
      <c r="A26" s="888"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100</v>
      </c>
      <c r="D27" s="241">
        <f ca="1">C29</f>
        <v>4.0000000000000001E-3</v>
      </c>
      <c r="E27" s="242" t="s">
        <v>2197</v>
      </c>
      <c r="F27" s="252">
        <f ca="1">IF(B1="",'数据-取费表'!Q16,INDIRECT("'数据-取费表'!q"&amp;$G$1))</f>
        <v>0.2</v>
      </c>
      <c r="G27" s="253" t="s">
        <v>2198</v>
      </c>
    </row>
    <row r="28" spans="1:7" s="220" customFormat="1" ht="13.5" customHeight="1">
      <c r="A28" s="888" t="s">
        <v>791</v>
      </c>
      <c r="B28" s="254" t="s">
        <v>2199</v>
      </c>
      <c r="C28" s="255">
        <f ca="1">ROUND((C5+C19+C20)*F27*'数据-取费表'!B21/'数据-取费表'!B20,0)</f>
        <v>100</v>
      </c>
      <c r="D28" s="241"/>
      <c r="E28" s="242"/>
      <c r="F28" s="252"/>
      <c r="G28" s="253"/>
    </row>
    <row r="29" spans="1:7" s="220" customFormat="1" ht="13.5" customHeight="1">
      <c r="A29" s="888"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131</v>
      </c>
      <c r="D33" s="238"/>
      <c r="E33" s="218"/>
      <c r="F33" s="247"/>
      <c r="G33" s="240"/>
    </row>
    <row r="34" spans="1:7" s="264" customFormat="1" ht="13.5" customHeight="1">
      <c r="A34" s="888" t="s">
        <v>791</v>
      </c>
      <c r="B34" s="221" t="s">
        <v>2208</v>
      </c>
      <c r="C34" s="226">
        <f ca="1">IF(B1="",IF(F34=100%,'数据-取费表'!M16,'数据-取费表'!O16),IF(F34=100%,INDIRECT("'数据-取费表'!m"&amp;$G$1)+INDIRECT("'数据-取费表'!t"&amp;$G$1),INDIRECT("'数据-取费表'!o"&amp;$G$1)+INDIRECT("'数据-取费表'!aq"&amp;$G$1)))</f>
        <v>120</v>
      </c>
      <c r="D34" s="223"/>
      <c r="E34" s="226"/>
      <c r="F34" s="263">
        <f ca="1">IF('数据-取费表'!B24=0,1,IF(B1="",'数据-取费表'!N16,INDIRECT("'数据-取费表'!n"&amp;$G$1)))</f>
        <v>1</v>
      </c>
      <c r="G34" s="225" t="s">
        <v>2209</v>
      </c>
    </row>
    <row r="35" spans="1:7" ht="13.5" customHeight="1">
      <c r="A35" s="888" t="s">
        <v>796</v>
      </c>
      <c r="B35" s="221" t="s">
        <v>2210</v>
      </c>
      <c r="C35" s="226">
        <f ca="1">ROUND(C34*F35,0)</f>
        <v>4</v>
      </c>
      <c r="D35" s="226"/>
      <c r="E35" s="226"/>
      <c r="F35" s="265">
        <f>'数据-取费表'!B33</f>
        <v>0.03</v>
      </c>
      <c r="G35" s="225" t="s">
        <v>2211</v>
      </c>
    </row>
    <row r="36" spans="1:7" ht="24">
      <c r="A36" s="888"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8" t="s">
        <v>798</v>
      </c>
      <c r="B37" s="221" t="s">
        <v>2214</v>
      </c>
      <c r="C37" s="255">
        <f ca="1">ROUND(E37*D37*F34/10000,0)</f>
        <v>5</v>
      </c>
      <c r="D37" s="223">
        <f ca="1">D19</f>
        <v>240.41</v>
      </c>
      <c r="E37" s="255">
        <f>'数据-取费表'!B35</f>
        <v>200</v>
      </c>
      <c r="F37" s="265"/>
      <c r="G37" s="267" t="s">
        <v>2215</v>
      </c>
    </row>
    <row r="38" spans="1:7" ht="13.5" customHeight="1">
      <c r="A38" s="888"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3</v>
      </c>
      <c r="D39" s="238"/>
      <c r="E39" s="238"/>
      <c r="F39" s="2536">
        <f>F20</f>
        <v>0.02</v>
      </c>
      <c r="G39" s="240" t="s">
        <v>2219</v>
      </c>
    </row>
    <row r="40" spans="1:7" s="220" customFormat="1" ht="13.5" customHeight="1">
      <c r="A40" s="261" t="s">
        <v>2220</v>
      </c>
      <c r="B40" s="216" t="s">
        <v>2221</v>
      </c>
      <c r="C40" s="1496">
        <f>F21</f>
        <v>0.02</v>
      </c>
      <c r="D40" s="242" t="s">
        <v>2222</v>
      </c>
      <c r="E40" s="238"/>
      <c r="F40" s="2536">
        <f>F21</f>
        <v>0.02</v>
      </c>
      <c r="G40" s="240" t="s">
        <v>2223</v>
      </c>
    </row>
    <row r="41" spans="1:7" s="220" customFormat="1" ht="13.5" customHeight="1">
      <c r="A41" s="261" t="s">
        <v>2224</v>
      </c>
      <c r="B41" s="216" t="s">
        <v>2225</v>
      </c>
      <c r="C41" s="238">
        <f ca="1">ROUND(SUM(C42:C43),0)</f>
        <v>9</v>
      </c>
      <c r="D41" s="241">
        <f ca="1">C44</f>
        <v>1.4E-3</v>
      </c>
      <c r="E41" s="242" t="s">
        <v>2222</v>
      </c>
      <c r="F41" s="2537">
        <f ca="1">F22</f>
        <v>4.7500000000000001E-2</v>
      </c>
      <c r="G41" s="240" t="str">
        <f>IF('数据-取费表'!B22&lt;=1,"单利计息","复利计息")</f>
        <v>复利计息</v>
      </c>
    </row>
    <row r="42" spans="1:7" ht="13.5" customHeight="1">
      <c r="A42" s="888" t="s">
        <v>791</v>
      </c>
      <c r="B42" s="221" t="s">
        <v>2226</v>
      </c>
      <c r="C42" s="244">
        <f ca="1">ROUND(IF('数据-取费表'!B22&lt;=1,C33*F22*'数据-取费表'!B21/2,C33*(POWER((1+F22),'数据-取费表'!B21/2)-1)),0)</f>
        <v>9</v>
      </c>
      <c r="D42" s="244"/>
      <c r="E42" s="244"/>
      <c r="F42" s="245"/>
      <c r="G42" s="3277" t="s">
        <v>2227</v>
      </c>
    </row>
    <row r="43" spans="1:7" ht="13.5" customHeight="1">
      <c r="A43" s="888" t="s">
        <v>792</v>
      </c>
      <c r="B43" s="221" t="s">
        <v>2228</v>
      </c>
      <c r="C43" s="244">
        <f ca="1">ROUND(IF('数据-取费表'!B22&lt;=1,C39*F22*'数据-取费表'!B21/2,C39*(POWER((1+F22),'数据-取费表'!B21/2)-1)),0)</f>
        <v>0</v>
      </c>
      <c r="D43" s="244"/>
      <c r="E43" s="244"/>
      <c r="F43" s="245"/>
      <c r="G43" s="3278"/>
    </row>
    <row r="44" spans="1:7" ht="13.5" customHeight="1">
      <c r="A44" s="888" t="s">
        <v>793</v>
      </c>
      <c r="B44" s="221" t="s">
        <v>2229</v>
      </c>
      <c r="C44" s="244">
        <f ca="1">ROUND(IF('数据-取费表'!B22&lt;=1,C40*F22*'数据-取费表'!B21/2,C40*(POWER((1+F22),'数据-取费表'!B21/2)-1)),4)</f>
        <v>1.4E-3</v>
      </c>
      <c r="D44" s="244"/>
      <c r="E44" s="244"/>
      <c r="F44" s="245"/>
      <c r="G44" s="3279"/>
    </row>
    <row r="45" spans="1:7" s="220" customFormat="1" ht="13.5" customHeight="1">
      <c r="A45" s="261" t="s">
        <v>2230</v>
      </c>
      <c r="B45" s="250" t="s">
        <v>2196</v>
      </c>
      <c r="C45" s="251">
        <f ca="1">C46</f>
        <v>27</v>
      </c>
      <c r="D45" s="241">
        <f ca="1">C47</f>
        <v>4.0000000000000001E-3</v>
      </c>
      <c r="E45" s="242" t="s">
        <v>2222</v>
      </c>
      <c r="F45" s="2538">
        <f ca="1">F27</f>
        <v>0.2</v>
      </c>
      <c r="G45" s="253" t="s">
        <v>2231</v>
      </c>
    </row>
    <row r="46" spans="1:7" s="220" customFormat="1" ht="13.5" customHeight="1">
      <c r="A46" s="888" t="s">
        <v>791</v>
      </c>
      <c r="B46" s="254" t="s">
        <v>2232</v>
      </c>
      <c r="C46" s="255">
        <f ca="1">ROUND((C33+C39)*F27,0)</f>
        <v>27</v>
      </c>
      <c r="D46" s="269"/>
      <c r="E46" s="242"/>
      <c r="F46" s="252"/>
      <c r="G46" s="253"/>
    </row>
    <row r="47" spans="1:7" s="220" customFormat="1" ht="13.5" customHeight="1">
      <c r="A47" s="888" t="s">
        <v>792</v>
      </c>
      <c r="B47" s="254" t="s">
        <v>2233</v>
      </c>
      <c r="C47" s="244">
        <f ca="1">ROUND(C40*F27,4)</f>
        <v>4.0000000000000001E-3</v>
      </c>
      <c r="D47" s="269"/>
      <c r="E47" s="242"/>
      <c r="F47" s="252"/>
      <c r="G47" s="253"/>
    </row>
    <row r="48" spans="1:7" s="220" customFormat="1" ht="13.5" customHeight="1">
      <c r="A48" s="261" t="s">
        <v>2195</v>
      </c>
      <c r="B48" s="216" t="s">
        <v>2234</v>
      </c>
      <c r="C48" s="1496">
        <f>ROUND(F30/(1+'数据-取费表'!C42),4)</f>
        <v>5.33E-2</v>
      </c>
      <c r="D48" s="242" t="s">
        <v>2222</v>
      </c>
      <c r="E48" s="238"/>
      <c r="F48" s="2537">
        <f>F30</f>
        <v>5.6000000000000001E-2</v>
      </c>
      <c r="G48" s="240" t="s">
        <v>2235</v>
      </c>
    </row>
    <row r="49" spans="1:7" ht="16.5" customHeight="1">
      <c r="A49" s="261" t="s">
        <v>2201</v>
      </c>
      <c r="B49" s="216" t="s">
        <v>2236</v>
      </c>
      <c r="C49" s="238">
        <f ca="1">ROUND((C33+C39+C41+C45)/(1-C40-D41-D45-C48),0)</f>
        <v>185</v>
      </c>
      <c r="D49" s="238"/>
      <c r="E49" s="238"/>
      <c r="F49" s="270"/>
      <c r="G49" s="240" t="s">
        <v>2237</v>
      </c>
    </row>
    <row r="50" spans="1:7" s="264" customFormat="1" ht="24">
      <c r="A50" s="261" t="s">
        <v>2238</v>
      </c>
      <c r="B50" s="216" t="s">
        <v>2239</v>
      </c>
      <c r="C50" s="238"/>
      <c r="D50" s="238"/>
      <c r="E50" s="238"/>
      <c r="F50" s="270">
        <f>IF('数据-取费表'!B24=0,'数据-取费表'!N16,1)</f>
        <v>0.78</v>
      </c>
      <c r="G50" s="253" t="s">
        <v>2240</v>
      </c>
    </row>
    <row r="51" spans="1:7" ht="16.5" customHeight="1">
      <c r="A51" s="261" t="s">
        <v>2241</v>
      </c>
      <c r="B51" s="216" t="s">
        <v>2242</v>
      </c>
      <c r="C51" s="238">
        <f ca="1">ROUND(C49*F50,0)</f>
        <v>144</v>
      </c>
      <c r="D51" s="238"/>
      <c r="E51" s="238"/>
      <c r="F51" s="270"/>
      <c r="G51" s="240" t="s">
        <v>2243</v>
      </c>
    </row>
    <row r="52" spans="1:7" s="214" customFormat="1" ht="16.5" thickBot="1">
      <c r="A52" s="271" t="s">
        <v>2244</v>
      </c>
      <c r="B52" s="272"/>
      <c r="C52" s="273">
        <f ca="1">C31+C51</f>
        <v>874</v>
      </c>
      <c r="D52" s="272"/>
      <c r="E52" s="272"/>
      <c r="F52" s="272"/>
      <c r="G52" s="274"/>
    </row>
    <row r="55" spans="1:7" ht="15">
      <c r="B55" s="276" t="s">
        <v>2245</v>
      </c>
      <c r="C55" s="277"/>
    </row>
    <row r="56" spans="1:7">
      <c r="B56" s="279" t="s">
        <v>1474</v>
      </c>
      <c r="C56" s="281">
        <f ca="1">1-C57</f>
        <v>0.83499999999999996</v>
      </c>
    </row>
    <row r="57" spans="1:7">
      <c r="B57" s="279" t="s">
        <v>1475</v>
      </c>
      <c r="C57" s="280">
        <f ca="1">ROUND(C51/C52,3)</f>
        <v>0.16500000000000001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26" sqref="F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1945</v>
      </c>
      <c r="B1" s="1934"/>
      <c r="C1" s="1935"/>
      <c r="D1" s="1934"/>
      <c r="E1" s="1934"/>
      <c r="F1" s="1936" t="s">
        <v>1946</v>
      </c>
      <c r="G1" s="1747"/>
      <c r="H1" s="1937" t="str">
        <f>IF(G1="现房","——","估价对象范围")</f>
        <v>估价对象范围</v>
      </c>
      <c r="I1" s="1938"/>
    </row>
    <row r="2" spans="1:12" ht="21.75" customHeight="1" thickBot="1">
      <c r="A2" s="3250" t="str">
        <f>项目基本情况!S2</f>
        <v>北京市房地产</v>
      </c>
      <c r="B2" s="3251"/>
      <c r="C2" s="3251"/>
      <c r="D2" s="3251"/>
      <c r="E2" s="3251"/>
      <c r="F2" s="3251"/>
      <c r="G2" s="3251"/>
      <c r="H2" s="3251"/>
      <c r="I2" s="3252"/>
    </row>
    <row r="3" spans="1:12" ht="12.75">
      <c r="A3" s="3254" t="s">
        <v>1947</v>
      </c>
      <c r="B3" s="3255"/>
      <c r="C3" s="3255"/>
      <c r="D3" s="3255"/>
      <c r="E3" s="3255"/>
      <c r="F3" s="3255"/>
      <c r="G3" s="3255"/>
      <c r="H3" s="3255"/>
      <c r="I3" s="3255"/>
    </row>
    <row r="4" spans="1:12" ht="14.25">
      <c r="A4" s="1941" t="s">
        <v>1948</v>
      </c>
      <c r="B4" s="1942" t="s">
        <v>1949</v>
      </c>
      <c r="C4" s="1943" t="s">
        <v>3307</v>
      </c>
      <c r="D4" s="1943" t="s">
        <v>3308</v>
      </c>
      <c r="E4" s="3259" t="s">
        <v>1950</v>
      </c>
      <c r="F4" s="3260"/>
      <c r="G4" s="3260"/>
      <c r="H4" s="3260"/>
      <c r="I4" s="3261"/>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95" t="s">
        <v>1951</v>
      </c>
      <c r="B5" s="3253">
        <v>25</v>
      </c>
      <c r="C5" s="3256"/>
      <c r="D5" s="3244"/>
      <c r="E5" s="136" t="s">
        <v>1952</v>
      </c>
      <c r="F5" s="1944"/>
      <c r="G5" s="1944"/>
      <c r="H5" s="1944"/>
      <c r="I5" s="1558"/>
    </row>
    <row r="6" spans="1:12" ht="12.75">
      <c r="A6" s="3195"/>
      <c r="B6" s="3253"/>
      <c r="C6" s="3258"/>
      <c r="D6" s="3244"/>
      <c r="E6" s="136" t="s">
        <v>1953</v>
      </c>
      <c r="F6" s="1944"/>
      <c r="G6" s="1944"/>
      <c r="H6" s="1944"/>
      <c r="I6" s="1558"/>
    </row>
    <row r="7" spans="1:12" ht="12.75">
      <c r="A7" s="3195"/>
      <c r="B7" s="3253"/>
      <c r="C7" s="3257"/>
      <c r="D7" s="3244"/>
      <c r="E7" s="136" t="s">
        <v>1954</v>
      </c>
      <c r="F7" s="1944"/>
      <c r="G7" s="1944"/>
      <c r="H7" s="1944"/>
      <c r="I7" s="1558"/>
    </row>
    <row r="8" spans="1:12" ht="12.75">
      <c r="A8" s="3195" t="s">
        <v>1955</v>
      </c>
      <c r="B8" s="3253">
        <v>15</v>
      </c>
      <c r="C8" s="3256"/>
      <c r="D8" s="3244"/>
      <c r="E8" s="136" t="s">
        <v>1956</v>
      </c>
      <c r="F8" s="1944"/>
      <c r="G8" s="1944"/>
      <c r="H8" s="1944"/>
      <c r="I8" s="1558"/>
    </row>
    <row r="9" spans="1:12" ht="12.75">
      <c r="A9" s="3195"/>
      <c r="B9" s="3253"/>
      <c r="C9" s="3257"/>
      <c r="D9" s="3244"/>
      <c r="E9" s="136" t="s">
        <v>1957</v>
      </c>
      <c r="F9" s="1944"/>
      <c r="G9" s="1944"/>
      <c r="H9" s="1944"/>
      <c r="I9" s="1558"/>
    </row>
    <row r="10" spans="1:12" ht="12.75">
      <c r="A10" s="3195" t="s">
        <v>1958</v>
      </c>
      <c r="B10" s="3253">
        <v>15</v>
      </c>
      <c r="C10" s="3256"/>
      <c r="D10" s="3244"/>
      <c r="E10" s="136" t="s">
        <v>1959</v>
      </c>
      <c r="F10" s="1944"/>
      <c r="G10" s="1944"/>
      <c r="H10" s="1944"/>
      <c r="I10" s="1558"/>
    </row>
    <row r="11" spans="1:12" ht="12.75">
      <c r="A11" s="3195"/>
      <c r="B11" s="3253"/>
      <c r="C11" s="3257"/>
      <c r="D11" s="3244"/>
      <c r="E11" s="136" t="s">
        <v>1960</v>
      </c>
      <c r="F11" s="1944"/>
      <c r="G11" s="1944"/>
      <c r="H11" s="1944"/>
      <c r="I11" s="1558"/>
    </row>
    <row r="12" spans="1:12" ht="12.75">
      <c r="A12" s="3195" t="s">
        <v>1961</v>
      </c>
      <c r="B12" s="3253">
        <v>15</v>
      </c>
      <c r="C12" s="3256"/>
      <c r="D12" s="3244"/>
      <c r="E12" s="136" t="s">
        <v>1962</v>
      </c>
      <c r="F12" s="1944"/>
      <c r="G12" s="1944"/>
      <c r="H12" s="1944"/>
      <c r="I12" s="1558"/>
    </row>
    <row r="13" spans="1:12" ht="12.75">
      <c r="A13" s="3195"/>
      <c r="B13" s="3253"/>
      <c r="C13" s="3257"/>
      <c r="D13" s="3244"/>
      <c r="E13" s="136" t="s">
        <v>1963</v>
      </c>
      <c r="F13" s="1944"/>
      <c r="G13" s="1944"/>
      <c r="H13" s="1944"/>
      <c r="I13" s="1558"/>
    </row>
    <row r="14" spans="1:12" ht="12.75">
      <c r="A14" s="3195" t="s">
        <v>1964</v>
      </c>
      <c r="B14" s="3253">
        <v>30</v>
      </c>
      <c r="C14" s="3256">
        <v>4</v>
      </c>
      <c r="D14" s="3244">
        <v>6</v>
      </c>
      <c r="E14" s="136" t="s">
        <v>1965</v>
      </c>
      <c r="F14" s="1944"/>
      <c r="G14" s="1944"/>
      <c r="H14" s="1944"/>
      <c r="I14" s="1558"/>
    </row>
    <row r="15" spans="1:12" ht="12.75">
      <c r="A15" s="3195"/>
      <c r="B15" s="3253"/>
      <c r="C15" s="3258"/>
      <c r="D15" s="3244"/>
      <c r="E15" s="136" t="s">
        <v>1966</v>
      </c>
      <c r="F15" s="1944"/>
      <c r="G15" s="1944"/>
      <c r="H15" s="1944"/>
      <c r="I15" s="1558"/>
    </row>
    <row r="16" spans="1:12" ht="12.75">
      <c r="A16" s="3195"/>
      <c r="B16" s="3253"/>
      <c r="C16" s="3257"/>
      <c r="D16" s="3244"/>
      <c r="E16" s="136" t="s">
        <v>1967</v>
      </c>
      <c r="F16" s="1944"/>
      <c r="G16" s="1944"/>
      <c r="H16" s="1944"/>
      <c r="I16" s="1558"/>
    </row>
    <row r="17" spans="1:36" ht="15">
      <c r="A17" s="1945" t="s">
        <v>1968</v>
      </c>
      <c r="B17" s="60"/>
      <c r="C17" s="137">
        <f>SUM(C5:C16)</f>
        <v>4</v>
      </c>
      <c r="D17" s="137">
        <f>SUM(D5:D16)</f>
        <v>6</v>
      </c>
      <c r="E17" s="134"/>
      <c r="F17" s="134"/>
      <c r="G17" s="134"/>
      <c r="H17" s="134"/>
      <c r="I17" s="134"/>
      <c r="K17" s="308"/>
      <c r="L17" s="308" t="s">
        <v>1969</v>
      </c>
      <c r="M17" s="308" t="s">
        <v>1970</v>
      </c>
    </row>
    <row r="18" spans="1:36" ht="31.9" customHeight="1" thickBot="1">
      <c r="A18" s="1946" t="s">
        <v>1971</v>
      </c>
      <c r="B18" s="1947"/>
      <c r="C18" s="138">
        <f>ROUND(C17/SUM(C17:D17),2)</f>
        <v>0.4</v>
      </c>
      <c r="D18" s="138">
        <f>1-C18</f>
        <v>0.6</v>
      </c>
      <c r="E18" s="3275" t="s">
        <v>2869</v>
      </c>
      <c r="F18" s="3276"/>
      <c r="G18" s="3276"/>
      <c r="H18" s="3276"/>
      <c r="I18" s="3276"/>
      <c r="K18" s="308" t="s">
        <v>1972</v>
      </c>
      <c r="L18" s="308">
        <f>IF(C1="",'数据-汇总表'!E3,SUMIF(项目类型,C1,'数据-汇总表'!E17:E26)+SUMIF(项目类型,C1,'数据-汇总表'!I17:I26))</f>
        <v>240.41</v>
      </c>
      <c r="M18" s="308">
        <f>IF(C1="",'数据-汇总表'!E3,SUMIF(项目类型,C1,'数据-汇总表'!E17:E26))</f>
        <v>240.41</v>
      </c>
    </row>
    <row r="19" spans="1:36" ht="15">
      <c r="A19" s="1948" t="s">
        <v>1973</v>
      </c>
      <c r="B19" s="1949" t="s">
        <v>1974</v>
      </c>
      <c r="C19" s="139">
        <f ca="1">SUMIF(INDIRECT("'"&amp;C4&amp;"'"&amp;"!A:A"),'结果表-基准'!B19,INDIRECT("'"&amp;C4&amp;"'"&amp;"!B:B"))</f>
        <v>881</v>
      </c>
      <c r="D19" s="140">
        <f ca="1">SUMIF(INDIRECT("'"&amp;D4&amp;"'"&amp;"!A:A"),'结果表-基准'!B19,INDIRECT("'"&amp;D4&amp;"'"&amp;"!B:B"))</f>
        <v>1372</v>
      </c>
      <c r="E19" s="1948" t="s">
        <v>1975</v>
      </c>
      <c r="F19" s="1949" t="s">
        <v>1974</v>
      </c>
      <c r="G19" s="141">
        <f ca="1">ROUND(C19*$C$18+D19*$D$18,0)</f>
        <v>1176</v>
      </c>
      <c r="H19" s="1950"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51"/>
      <c r="B20" s="1156" t="s">
        <v>1978</v>
      </c>
      <c r="C20" s="142">
        <f ca="1">SUMIF(INDIRECT("'"&amp;C4&amp;"'"&amp;"!A:A"),'结果表-基准'!B20,INDIRECT("'"&amp;C4&amp;"'"&amp;"!B:B"))</f>
        <v>36646</v>
      </c>
      <c r="D20" s="143">
        <f ca="1">SUMIF(INDIRECT("'"&amp;D4&amp;"'"&amp;"!A:A"),'结果表-基准'!B20,INDIRECT("'"&amp;D4&amp;"'"&amp;"!B:B"))</f>
        <v>57068</v>
      </c>
      <c r="E20" s="1951"/>
      <c r="F20" s="1156" t="s">
        <v>1978</v>
      </c>
      <c r="G20" s="144">
        <f ca="1">ROUND(C20*$C$18+D20*$D$18,0)</f>
        <v>48899</v>
      </c>
      <c r="H20" s="917" t="s">
        <v>1979</v>
      </c>
      <c r="I20" s="134"/>
    </row>
    <row r="21" spans="1:36" ht="15" customHeight="1" thickBot="1">
      <c r="A21" s="937"/>
      <c r="B21" s="1952" t="s">
        <v>1980</v>
      </c>
      <c r="C21" s="728">
        <f ca="1">ROUND(C19*10000/L19,0)</f>
        <v>756223</v>
      </c>
      <c r="D21" s="729">
        <f ca="1">ROUND(D19*10000/L19,0)</f>
        <v>1177682</v>
      </c>
      <c r="E21" s="937"/>
      <c r="F21" s="1952" t="s">
        <v>1980</v>
      </c>
      <c r="G21" s="145">
        <f ca="1">ROUND(G19*10000/L19,0)</f>
        <v>1009442</v>
      </c>
      <c r="H21" s="1953" t="s">
        <v>1979</v>
      </c>
      <c r="I21" s="134"/>
    </row>
    <row r="22" spans="1:36" ht="15" thickBot="1">
      <c r="A22" s="1875" t="s">
        <v>1981</v>
      </c>
      <c r="B22" s="1954"/>
      <c r="C22" s="1955"/>
      <c r="D22" s="730">
        <f ca="1">IF(C19&lt;D19,D19/C19-1,C19/D19-1)</f>
        <v>0.55732122587968225</v>
      </c>
      <c r="E22" s="134"/>
      <c r="F22" s="134"/>
      <c r="G22" s="134"/>
      <c r="H22" s="134"/>
      <c r="I22" s="134"/>
    </row>
    <row r="23" spans="1:36" ht="13.5" thickBot="1">
      <c r="A23" s="1934"/>
      <c r="B23" s="1934"/>
      <c r="C23" s="1934"/>
      <c r="D23" s="1934"/>
      <c r="E23" s="134"/>
      <c r="F23" s="134"/>
      <c r="G23" s="134"/>
      <c r="H23" s="134"/>
      <c r="I23" s="134"/>
    </row>
    <row r="24" spans="1:36" ht="14.25">
      <c r="A24" s="3268" t="s">
        <v>1982</v>
      </c>
      <c r="B24" s="1949" t="s">
        <v>1974</v>
      </c>
      <c r="C24" s="141">
        <f>IF(B30=0,0,D30)</f>
        <v>0</v>
      </c>
      <c r="D24" s="1956"/>
      <c r="E24" s="134"/>
      <c r="F24" s="134"/>
      <c r="G24" s="134"/>
      <c r="H24" s="134"/>
      <c r="I24" s="134"/>
    </row>
    <row r="25" spans="1:36" ht="14.25">
      <c r="A25" s="3269"/>
      <c r="B25" s="1156" t="s">
        <v>1978</v>
      </c>
      <c r="C25" s="146">
        <f>IF(B30=0,0,C30)</f>
        <v>0</v>
      </c>
      <c r="D25" s="1957"/>
      <c r="E25" s="134"/>
      <c r="F25" s="134"/>
      <c r="G25" s="134"/>
      <c r="H25" s="134"/>
      <c r="I25" s="134"/>
    </row>
    <row r="26" spans="1:36" ht="13.5" customHeight="1">
      <c r="A26" s="1958" t="s">
        <v>1983</v>
      </c>
      <c r="B26" s="147" t="s">
        <v>1984</v>
      </c>
      <c r="C26" s="147" t="s">
        <v>1985</v>
      </c>
      <c r="D26" s="148" t="s">
        <v>1986</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1987</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1988</v>
      </c>
      <c r="B32" s="1961"/>
      <c r="C32" s="149">
        <f ca="1">IF(D32="总价",G19-C24,G20-C25)</f>
        <v>48899</v>
      </c>
      <c r="D32" s="1962"/>
      <c r="E32" s="134"/>
      <c r="F32" s="134"/>
      <c r="G32" s="134"/>
      <c r="H32" s="134"/>
      <c r="I32" s="134"/>
    </row>
    <row r="33" spans="1:15" ht="15">
      <c r="A33" s="894" t="s">
        <v>1989</v>
      </c>
      <c r="B33" s="1963"/>
      <c r="C33" s="1964"/>
      <c r="D33" s="1965"/>
      <c r="E33" s="1966" t="s">
        <v>1990</v>
      </c>
      <c r="F33" s="1967" t="str">
        <f>IF(D32="楼面单价","取值（单价）","取值（总价）")</f>
        <v>取值（总价）</v>
      </c>
      <c r="G33" s="134"/>
      <c r="H33" s="134"/>
      <c r="I33" s="134"/>
    </row>
    <row r="34" spans="1:15" ht="15">
      <c r="A34" s="1968"/>
      <c r="B34" s="1969" t="s">
        <v>1991</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1992</v>
      </c>
      <c r="F34" s="1499"/>
      <c r="G34" s="134"/>
      <c r="H34" s="134"/>
      <c r="I34" s="134"/>
    </row>
    <row r="35" spans="1:15" ht="15.75" thickBot="1">
      <c r="A35" s="1971"/>
      <c r="B35" s="1972" t="s">
        <v>1993</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3" t="s">
        <v>1994</v>
      </c>
      <c r="F35" s="159"/>
      <c r="G35" s="134"/>
      <c r="H35" s="134"/>
      <c r="I35" s="134"/>
    </row>
    <row r="36" spans="1:15" ht="15.75" thickBot="1">
      <c r="A36" s="3245" t="s">
        <v>1995</v>
      </c>
      <c r="B36" s="1974" t="s">
        <v>1996</v>
      </c>
      <c r="C36" s="150"/>
      <c r="D36" s="1975"/>
      <c r="E36" s="1976"/>
      <c r="F36" s="1977"/>
      <c r="G36" s="134"/>
      <c r="H36" s="134"/>
      <c r="I36" s="134"/>
    </row>
    <row r="37" spans="1:15" ht="15.75" thickBot="1">
      <c r="A37" s="3246"/>
      <c r="B37" s="1861" t="s">
        <v>1997</v>
      </c>
      <c r="C37" s="152"/>
      <c r="D37" s="1300"/>
      <c r="E37" s="1300"/>
      <c r="F37" s="1977"/>
      <c r="G37" s="134"/>
      <c r="H37" s="134"/>
      <c r="I37" s="134"/>
    </row>
    <row r="38" spans="1:15" ht="15.75" thickBot="1">
      <c r="A38" s="3247"/>
      <c r="B38" s="1978" t="s">
        <v>1998</v>
      </c>
      <c r="C38" s="683"/>
      <c r="D38" s="1979" t="s">
        <v>1999</v>
      </c>
      <c r="E38" s="1300"/>
      <c r="F38" s="1977"/>
      <c r="G38" s="134"/>
      <c r="H38" s="134"/>
      <c r="I38" s="134"/>
    </row>
    <row r="39" spans="1:15" ht="15">
      <c r="A39" s="1951" t="s">
        <v>2000</v>
      </c>
      <c r="B39" s="1980" t="s">
        <v>1984</v>
      </c>
      <c r="C39" s="1981" t="s">
        <v>1985</v>
      </c>
      <c r="D39" s="1981" t="s">
        <v>2003</v>
      </c>
      <c r="E39" s="1982" t="s">
        <v>1986</v>
      </c>
      <c r="F39" s="1977"/>
      <c r="G39" s="134"/>
      <c r="H39" s="134"/>
      <c r="I39" s="134"/>
    </row>
    <row r="40" spans="1:15" ht="14.25">
      <c r="A40" s="1983" t="s">
        <v>2005</v>
      </c>
      <c r="B40" s="154"/>
      <c r="C40" s="155"/>
      <c r="D40" s="155"/>
      <c r="E40" s="156"/>
      <c r="F40" s="1977"/>
      <c r="G40" s="134"/>
      <c r="H40" s="134"/>
      <c r="I40" s="134"/>
    </row>
    <row r="41" spans="1:15" ht="14.25">
      <c r="A41" s="1983" t="s">
        <v>2006</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2007</v>
      </c>
      <c r="B44" s="1988"/>
      <c r="C44" s="1988"/>
      <c r="D44" s="1989"/>
      <c r="E44" s="1989"/>
      <c r="F44" s="1990"/>
      <c r="G44" s="1990"/>
      <c r="H44" s="1990"/>
      <c r="I44" s="1990"/>
      <c r="J44" s="1991" t="s">
        <v>2008</v>
      </c>
      <c r="K44" s="1992"/>
      <c r="L44" s="1992"/>
      <c r="M44" s="1992"/>
      <c r="N44" s="1992"/>
      <c r="O44" s="1992"/>
    </row>
    <row r="45" spans="1:15" ht="14.25" customHeight="1" thickBot="1">
      <c r="A45" s="3265" t="s">
        <v>2009</v>
      </c>
      <c r="B45" s="3266"/>
      <c r="C45" s="3267"/>
      <c r="D45" s="160" t="e">
        <f ca="1">ROUND(H101*F45,0)</f>
        <v>#REF!</v>
      </c>
      <c r="E45" s="161" t="s">
        <v>2010</v>
      </c>
      <c r="F45" s="162">
        <v>1</v>
      </c>
      <c r="G45" s="163" t="s">
        <v>2011</v>
      </c>
      <c r="H45" s="134"/>
      <c r="I45" s="134"/>
      <c r="J45" s="3182" t="s">
        <v>2012</v>
      </c>
      <c r="K45" s="3182"/>
      <c r="L45" s="3182"/>
      <c r="M45" s="3182"/>
      <c r="N45" s="3182"/>
      <c r="O45" s="3182"/>
    </row>
    <row r="46" spans="1:15" ht="14.25" customHeight="1">
      <c r="A46" s="3262" t="s">
        <v>2013</v>
      </c>
      <c r="B46" s="3263"/>
      <c r="C46" s="3263"/>
      <c r="D46" s="3263"/>
      <c r="E46" s="3263"/>
      <c r="F46" s="3263"/>
      <c r="G46" s="3264"/>
      <c r="H46" s="1993"/>
      <c r="I46" s="164"/>
      <c r="J46" s="3054">
        <v>1</v>
      </c>
      <c r="K46" s="3183" t="s">
        <v>2014</v>
      </c>
      <c r="L46" s="3183"/>
      <c r="M46" s="3184"/>
      <c r="N46" s="3184"/>
      <c r="O46" s="3184"/>
    </row>
    <row r="47" spans="1:15" ht="12" customHeight="1">
      <c r="A47" s="165" t="s">
        <v>2015</v>
      </c>
      <c r="B47" s="166"/>
      <c r="C47" s="167"/>
      <c r="D47" s="1246" t="s">
        <v>2016</v>
      </c>
      <c r="E47" s="308" t="s">
        <v>2017</v>
      </c>
      <c r="F47" s="168" t="s">
        <v>2018</v>
      </c>
      <c r="G47" s="2773" t="s">
        <v>2019</v>
      </c>
      <c r="H47" s="2774"/>
      <c r="I47" s="164"/>
      <c r="J47" s="3054">
        <v>2</v>
      </c>
      <c r="K47" s="3183" t="s">
        <v>2020</v>
      </c>
      <c r="L47" s="3183"/>
      <c r="M47" s="3185">
        <f>'数据-取费表'!B2</f>
        <v>44222</v>
      </c>
      <c r="N47" s="3185"/>
      <c r="O47" s="3185"/>
    </row>
    <row r="48" spans="1:15" ht="25.5">
      <c r="A48" s="3248" t="s">
        <v>2021</v>
      </c>
      <c r="B48" s="3249"/>
      <c r="C48" s="3249"/>
      <c r="D48" s="3049" t="b">
        <f>IF(H48="情况1",0,IF(H48="情况2",D52,IF(H48="情况3",D53,IF(H48="情况4",D54))))</f>
        <v>0</v>
      </c>
      <c r="E48" s="3064" t="str">
        <f>IF(H48="情况4","(销售额-原购置价)×税（费）率","销售额×税（费）率")</f>
        <v>销售额×税（费）率</v>
      </c>
      <c r="F48" s="2775">
        <f>IF(H48="情况1","免征",'数据-取费表'!B41)</f>
        <v>5.6000000000000001E-2</v>
      </c>
      <c r="G48" s="2776" t="s">
        <v>2022</v>
      </c>
      <c r="H48" s="2777"/>
      <c r="I48" s="1993"/>
      <c r="J48" s="3054">
        <v>3</v>
      </c>
      <c r="K48" s="3183" t="s">
        <v>2023</v>
      </c>
      <c r="L48" s="3183"/>
      <c r="M48" s="3186" t="e">
        <f ca="1">H101</f>
        <v>#REF!</v>
      </c>
      <c r="N48" s="3186"/>
      <c r="O48" s="3186"/>
    </row>
    <row r="49" spans="1:35" ht="25.5" customHeight="1">
      <c r="A49" s="3063" t="s">
        <v>2024</v>
      </c>
      <c r="B49" s="3231" t="s">
        <v>2025</v>
      </c>
      <c r="C49" s="3231"/>
      <c r="D49" s="1776">
        <v>0</v>
      </c>
      <c r="E49" s="330" t="s">
        <v>2026</v>
      </c>
      <c r="F49" s="3047" t="s">
        <v>34</v>
      </c>
      <c r="G49" s="3214"/>
      <c r="H49" s="2529" t="s">
        <v>2872</v>
      </c>
      <c r="I49" s="2530"/>
      <c r="J49" s="3054">
        <v>4</v>
      </c>
      <c r="K49" s="3183" t="str">
        <f>IF(项目基本情况!E8="房地产抵押价值","房地产抵押价值","抵押担保权已注销时的房地产抵押价值")</f>
        <v>房地产抵押价值</v>
      </c>
      <c r="L49" s="3183"/>
      <c r="M49" s="3186" t="str">
        <f ca="1">IF(项目基本情况!E8="房地产抵押价值",H107,H109)</f>
        <v>——</v>
      </c>
      <c r="N49" s="3186"/>
      <c r="O49" s="3186"/>
    </row>
    <row r="50" spans="1:35" ht="25.5" customHeight="1">
      <c r="A50" s="2778"/>
      <c r="B50" s="3231" t="s">
        <v>2027</v>
      </c>
      <c r="C50" s="3231"/>
      <c r="D50" s="2779"/>
      <c r="E50" s="338"/>
      <c r="F50" s="3047"/>
      <c r="G50" s="3215"/>
      <c r="H50" s="2531" t="s">
        <v>2873</v>
      </c>
      <c r="I50" s="2530"/>
      <c r="J50" s="3182" t="s">
        <v>2028</v>
      </c>
      <c r="K50" s="3182"/>
      <c r="L50" s="3182"/>
      <c r="M50" s="3182"/>
      <c r="N50" s="3182"/>
      <c r="O50" s="3182"/>
    </row>
    <row r="51" spans="1:35" ht="20.45" customHeight="1">
      <c r="A51" s="2780"/>
      <c r="B51" s="3231" t="s">
        <v>2029</v>
      </c>
      <c r="C51" s="3231"/>
      <c r="D51" s="1246"/>
      <c r="E51" s="333"/>
      <c r="F51" s="3047"/>
      <c r="G51" s="3216"/>
      <c r="H51" s="2531" t="s">
        <v>2874</v>
      </c>
      <c r="I51" s="2530"/>
      <c r="J51" s="3048" t="s">
        <v>2030</v>
      </c>
      <c r="K51" s="3183" t="s">
        <v>2031</v>
      </c>
      <c r="L51" s="3183"/>
      <c r="M51" s="3048" t="s">
        <v>2032</v>
      </c>
      <c r="N51" s="3048" t="s">
        <v>2033</v>
      </c>
      <c r="O51" s="3048" t="s">
        <v>2034</v>
      </c>
    </row>
    <row r="52" spans="1:35" ht="24" customHeight="1">
      <c r="A52" s="3066" t="s">
        <v>2035</v>
      </c>
      <c r="B52" s="3231" t="s">
        <v>2036</v>
      </c>
      <c r="C52" s="3231"/>
      <c r="D52" s="1246" t="e">
        <f ca="1">ROUND(D45*'数据-取费表'!B41/(1+'数据-取费表'!C42),0)</f>
        <v>#REF!</v>
      </c>
      <c r="E52" s="3064" t="s">
        <v>2037</v>
      </c>
      <c r="F52" s="2781">
        <f>'数据-取费表'!B41</f>
        <v>5.6000000000000001E-2</v>
      </c>
      <c r="G52" s="2782"/>
      <c r="H52" s="2771"/>
      <c r="I52" s="1994"/>
      <c r="J52" s="3054">
        <v>1</v>
      </c>
      <c r="K52" s="3208" t="s">
        <v>2038</v>
      </c>
      <c r="L52" s="3208"/>
      <c r="M52" s="2752" t="b">
        <f>D48</f>
        <v>0</v>
      </c>
      <c r="N52" s="3054" t="str">
        <f>E48</f>
        <v>销售额×税（费）率</v>
      </c>
      <c r="O52" s="2753">
        <f>F48</f>
        <v>5.6000000000000001E-2</v>
      </c>
    </row>
    <row r="53" spans="1:35" ht="12" customHeight="1">
      <c r="A53" s="3066" t="s">
        <v>2039</v>
      </c>
      <c r="B53" s="3232" t="s">
        <v>3033</v>
      </c>
      <c r="C53" s="3233"/>
      <c r="D53" s="1246" t="e">
        <f ca="1">ROUND(D45*'数据-取费表'!B41/(1+'数据-取费表'!C42),0)</f>
        <v>#REF!</v>
      </c>
      <c r="E53" s="3064" t="s">
        <v>2037</v>
      </c>
      <c r="F53" s="2781">
        <f>'数据-取费表'!B41</f>
        <v>5.6000000000000001E-2</v>
      </c>
      <c r="G53" s="2782"/>
      <c r="H53" s="2771"/>
      <c r="I53" s="1994"/>
      <c r="J53" s="3054">
        <v>2</v>
      </c>
      <c r="K53" s="3208" t="s">
        <v>2040</v>
      </c>
      <c r="L53" s="3208"/>
      <c r="M53" s="2752" t="e">
        <f t="shared" ref="M53:O54" ca="1" si="0">D55</f>
        <v>#REF!</v>
      </c>
      <c r="N53" s="3054" t="str">
        <f t="shared" si="0"/>
        <v>销售额×税（费）率</v>
      </c>
      <c r="O53" s="2753" t="str">
        <f t="shared" si="0"/>
        <v>免征</v>
      </c>
    </row>
    <row r="54" spans="1:35" ht="12" customHeight="1">
      <c r="A54" s="3066" t="s">
        <v>2041</v>
      </c>
      <c r="B54" s="3232" t="s">
        <v>3034</v>
      </c>
      <c r="C54" s="3233"/>
      <c r="D54" s="1246" t="e">
        <f ca="1">C68</f>
        <v>#REF!</v>
      </c>
      <c r="E54" s="333" t="s">
        <v>2042</v>
      </c>
      <c r="F54" s="2781">
        <f>'数据-取费表'!B41</f>
        <v>5.6000000000000001E-2</v>
      </c>
      <c r="G54" s="2782"/>
      <c r="H54" s="2783"/>
      <c r="I54" s="1994"/>
      <c r="J54" s="3054">
        <v>3</v>
      </c>
      <c r="K54" s="3208" t="s">
        <v>2043</v>
      </c>
      <c r="L54" s="3208"/>
      <c r="M54" s="2752" t="e">
        <f t="shared" ca="1" si="0"/>
        <v>#REF!</v>
      </c>
      <c r="N54" s="3054" t="str">
        <f t="shared" si="0"/>
        <v>增值额×税（费）率</v>
      </c>
      <c r="O54" s="2754" t="str">
        <f t="shared" si="0"/>
        <v>免征</v>
      </c>
    </row>
    <row r="55" spans="1:35" ht="24" customHeight="1">
      <c r="A55" s="3271" t="s">
        <v>2044</v>
      </c>
      <c r="B55" s="3249"/>
      <c r="C55" s="3249"/>
      <c r="D55" s="3049" t="e">
        <f ca="1">IF(H55="个人住宅",0,ROUND(D45*I55,0))</f>
        <v>#REF!</v>
      </c>
      <c r="E55" s="3064" t="s">
        <v>2045</v>
      </c>
      <c r="F55" s="2781" t="str">
        <f>IF(H55="正常",I55,"免征")</f>
        <v>免征</v>
      </c>
      <c r="G55" s="2782"/>
      <c r="H55" s="2777"/>
      <c r="I55" s="170">
        <f>'数据-取费表'!B49</f>
        <v>5.0000000000000001E-4</v>
      </c>
      <c r="J55" s="3054">
        <f>IF(H59="非个人房产","",4)</f>
        <v>4</v>
      </c>
      <c r="K55" s="3208" t="str">
        <f>IF(H59="非个人房产","——","个人所得税")</f>
        <v>个人所得税</v>
      </c>
      <c r="L55" s="3208"/>
      <c r="M55" s="2755" t="e">
        <f ca="1">D59</f>
        <v>#REF!</v>
      </c>
      <c r="N55" s="3055" t="str">
        <f>E59</f>
        <v>差额计税</v>
      </c>
      <c r="O55" s="2756">
        <f>F59</f>
        <v>0.01</v>
      </c>
    </row>
    <row r="56" spans="1:35" ht="24.75">
      <c r="A56" s="3271" t="s">
        <v>2046</v>
      </c>
      <c r="B56" s="3249"/>
      <c r="C56" s="3249"/>
      <c r="D56" s="3049" t="e">
        <f ca="1">IF(H56="个人住宅",D57,D58)</f>
        <v>#REF!</v>
      </c>
      <c r="E56" s="3064" t="s">
        <v>2047</v>
      </c>
      <c r="F56" s="2781" t="str">
        <f>IF(H56="正常",F58,"免征")</f>
        <v>免征</v>
      </c>
      <c r="G56" s="2784" t="s">
        <v>2048</v>
      </c>
      <c r="H56" s="2785"/>
      <c r="I56" s="1995"/>
      <c r="J56" s="3054" t="str">
        <f>IF(项目基本情况!K6="上海银行",IF(J55="",4,J55+1),"")</f>
        <v/>
      </c>
      <c r="K56" s="3189" t="str">
        <f>IF(项目基本情况!K6="上海银行","其他处置费用","")</f>
        <v/>
      </c>
      <c r="L56" s="3190"/>
      <c r="M56" s="2752" t="str">
        <f>IF(项目基本情况!K6="上海银行",M69,"")</f>
        <v/>
      </c>
      <c r="N56" s="3189" t="str">
        <f>IF(项目基本情况!K6="上海银行","包含处置中涉及的律师、诉讼、拍卖、评估等费用","")</f>
        <v/>
      </c>
      <c r="O56" s="3192"/>
    </row>
    <row r="57" spans="1:35" ht="12.75">
      <c r="A57" s="3066" t="s">
        <v>2024</v>
      </c>
      <c r="B57" s="3232" t="s">
        <v>2049</v>
      </c>
      <c r="C57" s="3233"/>
      <c r="D57" s="1776">
        <v>0</v>
      </c>
      <c r="E57" s="330" t="s">
        <v>2026</v>
      </c>
      <c r="F57" s="308"/>
      <c r="G57" s="2782"/>
      <c r="H57" s="2786"/>
      <c r="I57" s="1995"/>
      <c r="J57" s="3208">
        <f>IF(AND(J55="",J56=""),4,IF(项目基本情况!K6="上海银行",'结果表-基准'!J56+1,'结果表-基准'!J55+1))</f>
        <v>5</v>
      </c>
      <c r="K57" s="3208" t="s">
        <v>2050</v>
      </c>
      <c r="L57" s="2757" t="s">
        <v>2051</v>
      </c>
      <c r="M57" s="2758"/>
      <c r="N57" s="2759">
        <f ca="1">SUMIF(M52:M56,"&lt;9e307")</f>
        <v>0</v>
      </c>
      <c r="O57" s="2760"/>
      <c r="P57" s="2920" t="e">
        <f ca="1">N57/M49</f>
        <v>#VALUE!</v>
      </c>
    </row>
    <row r="58" spans="1:35" ht="24.75">
      <c r="A58" s="3066" t="s">
        <v>2035</v>
      </c>
      <c r="B58" s="3232" t="s">
        <v>2052</v>
      </c>
      <c r="C58" s="3231"/>
      <c r="D58" s="3049" t="e">
        <f ca="1">IF(H58="转让取得",C81,C97)</f>
        <v>#REF!</v>
      </c>
      <c r="E58" s="3064" t="s">
        <v>2047</v>
      </c>
      <c r="F58" s="308" t="s">
        <v>34</v>
      </c>
      <c r="G58" s="2782"/>
      <c r="H58" s="2785"/>
      <c r="I58" s="1995"/>
      <c r="J58" s="3208"/>
      <c r="K58" s="3208"/>
      <c r="L58" s="2757" t="s">
        <v>2053</v>
      </c>
      <c r="M58" s="2761"/>
      <c r="N58" s="2762" t="str">
        <f ca="1">NUMBERSTRING(INT(N57*10000),2)&amp;"元整"</f>
        <v>零元整</v>
      </c>
      <c r="O58" s="2763"/>
    </row>
    <row r="59" spans="1:35" ht="24.75" thickBot="1">
      <c r="A59" s="3212" t="s">
        <v>2054</v>
      </c>
      <c r="B59" s="3213"/>
      <c r="C59" s="3213"/>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2048</v>
      </c>
      <c r="H59" s="2533"/>
      <c r="I59" s="2532" t="s">
        <v>2875</v>
      </c>
      <c r="J59" s="3210">
        <f>J57+1</f>
        <v>6</v>
      </c>
      <c r="K59" s="3208" t="s">
        <v>2055</v>
      </c>
      <c r="L59" s="3054" t="s">
        <v>2051</v>
      </c>
      <c r="M59" s="2764"/>
      <c r="N59" s="2765" t="e">
        <f ca="1">M49-N57</f>
        <v>#VALUE!</v>
      </c>
      <c r="O59" s="2766"/>
    </row>
    <row r="60" spans="1:35" ht="12" customHeight="1">
      <c r="A60" s="1996"/>
      <c r="B60" s="1934"/>
      <c r="C60" s="1934"/>
      <c r="D60" s="1934"/>
      <c r="E60" s="1764"/>
      <c r="F60" s="1995"/>
      <c r="G60" s="1995"/>
      <c r="H60" s="1997"/>
      <c r="I60" s="134"/>
      <c r="J60" s="3211"/>
      <c r="K60" s="3208"/>
      <c r="L60" s="2757" t="s">
        <v>2053</v>
      </c>
      <c r="M60" s="2761"/>
      <c r="N60" s="2762" t="e">
        <f ca="1">NUMBERSTRING(INT(N59*10000),2)&amp;"元整"</f>
        <v>#VALUE!</v>
      </c>
      <c r="O60" s="2763"/>
    </row>
    <row r="61" spans="1:35" ht="13.5" thickBot="1">
      <c r="A61" s="3270" t="s">
        <v>2056</v>
      </c>
      <c r="B61" s="3270"/>
      <c r="C61" s="3270"/>
      <c r="D61" s="3270"/>
      <c r="E61" s="3270"/>
      <c r="F61" s="1995"/>
      <c r="G61" s="1995"/>
      <c r="H61" s="1997"/>
      <c r="I61" s="134"/>
      <c r="J61" s="3054">
        <f>J59+1</f>
        <v>7</v>
      </c>
      <c r="K61" s="3208" t="s">
        <v>2057</v>
      </c>
      <c r="L61" s="3208"/>
      <c r="M61" s="2767"/>
      <c r="N61" s="2768" t="e">
        <f ca="1">ROUND(N59*10000/'数据-汇总表'!E3,0)</f>
        <v>#VALUE!</v>
      </c>
      <c r="O61" s="2769"/>
    </row>
    <row r="62" spans="1:35" ht="12.75">
      <c r="A62" s="3227" t="s">
        <v>2058</v>
      </c>
      <c r="B62" s="3228"/>
      <c r="C62" s="3059"/>
      <c r="D62" s="3059" t="s">
        <v>2059</v>
      </c>
      <c r="E62" s="171" t="s">
        <v>2060</v>
      </c>
      <c r="F62" s="1995"/>
      <c r="G62" s="1995"/>
      <c r="H62" s="1997"/>
      <c r="I62" s="134"/>
    </row>
    <row r="63" spans="1:35" ht="12.75">
      <c r="A63" s="178" t="s">
        <v>775</v>
      </c>
      <c r="B63" s="172" t="s">
        <v>2061</v>
      </c>
      <c r="C63" s="2791" t="e">
        <f ca="1">ROUND((C64+C65)/(1+'数据-取费表'!C42),0)</f>
        <v>#REF!</v>
      </c>
      <c r="D63" s="172"/>
      <c r="E63" s="173"/>
      <c r="F63" s="1995"/>
      <c r="G63" s="1995"/>
      <c r="H63" s="1997"/>
      <c r="I63" s="134"/>
      <c r="J63" s="3191" t="s">
        <v>2062</v>
      </c>
      <c r="K63" s="3050" t="s">
        <v>2063</v>
      </c>
      <c r="L63" s="3050" t="e">
        <f ca="1">IF(M49&gt;10000,M49*0.5%,IF(AND(M49&gt;1000,M49&lt;=10000),M49*1%,IF(AND(M49&gt;100,M49&lt;=1000),M49*3%,IF(AND(M49&gt;10,M49&lt;=100),M49*5%,M49*8%))))</f>
        <v>#VALUE!</v>
      </c>
      <c r="M63" s="308" t="e">
        <f ca="1">ROUND(L63,1)</f>
        <v>#VALUE!</v>
      </c>
      <c r="N63" s="2770"/>
      <c r="Z63" s="1939"/>
      <c r="AI63" s="1940"/>
    </row>
    <row r="64" spans="1:35" ht="14.25" customHeight="1">
      <c r="A64" s="174" t="s">
        <v>770</v>
      </c>
      <c r="B64" s="175" t="s">
        <v>2064</v>
      </c>
      <c r="C64" s="2792" t="e">
        <f ca="1">D45</f>
        <v>#REF!</v>
      </c>
      <c r="D64" s="175" t="s">
        <v>32</v>
      </c>
      <c r="E64" s="177"/>
      <c r="F64" s="1995"/>
      <c r="G64" s="1995"/>
      <c r="H64" s="1997"/>
      <c r="I64" s="134"/>
      <c r="J64" s="3191"/>
      <c r="K64" s="3050" t="s">
        <v>2065</v>
      </c>
      <c r="L64" s="30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1" t="s">
        <v>2066</v>
      </c>
      <c r="Z64" s="1939"/>
      <c r="AI64" s="1940"/>
    </row>
    <row r="65" spans="1:35" ht="14.25" customHeight="1">
      <c r="A65" s="174" t="s">
        <v>771</v>
      </c>
      <c r="B65" s="175" t="s">
        <v>2067</v>
      </c>
      <c r="C65" s="2793"/>
      <c r="D65" s="175"/>
      <c r="E65" s="177"/>
      <c r="F65" s="1995"/>
      <c r="G65" s="1995"/>
      <c r="H65" s="1997"/>
      <c r="I65" s="134"/>
      <c r="J65" s="3191"/>
      <c r="K65" s="3050" t="s">
        <v>2068</v>
      </c>
      <c r="L65" s="3050" t="e">
        <f ca="1">IF(M49&gt;1000,M49*0.1%,IF(AND(M49&gt;500,M49&lt;=1000),M49*0.5%,IF(AND(M49&gt;50,M49&lt;=500),M49*1%,IF(AND(M49&gt;1,M49&lt;=50),M49*1.5%))))</f>
        <v>#VALUE!</v>
      </c>
      <c r="M65" s="308" t="e">
        <f t="shared" ca="1" si="1"/>
        <v>#VALUE!</v>
      </c>
      <c r="N65" s="2771" t="s">
        <v>2066</v>
      </c>
      <c r="Z65" s="1939"/>
      <c r="AI65" s="1940"/>
    </row>
    <row r="66" spans="1:35" ht="14.25" customHeight="1">
      <c r="A66" s="178" t="s">
        <v>772</v>
      </c>
      <c r="B66" s="179" t="s">
        <v>2069</v>
      </c>
      <c r="C66" s="2794"/>
      <c r="D66" s="179" t="s">
        <v>32</v>
      </c>
      <c r="E66" s="1510" t="s">
        <v>1333</v>
      </c>
      <c r="F66" s="1995"/>
      <c r="G66" s="1995"/>
      <c r="H66" s="1997"/>
      <c r="I66" s="134"/>
      <c r="J66" s="3191"/>
      <c r="K66" s="3050" t="s">
        <v>2070</v>
      </c>
      <c r="L66" s="3050" t="e">
        <f ca="1">M49*0.5%</f>
        <v>#VALUE!</v>
      </c>
      <c r="M66" s="308" t="e">
        <f ca="1">IF(L66&gt;0.5,0.5,ROUND(L66,0))</f>
        <v>#VALUE!</v>
      </c>
      <c r="N66" s="2771" t="s">
        <v>2071</v>
      </c>
      <c r="Z66" s="1939"/>
      <c r="AI66" s="1940"/>
    </row>
    <row r="67" spans="1:35" ht="14.25" customHeight="1">
      <c r="A67" s="178" t="s">
        <v>773</v>
      </c>
      <c r="B67" s="179" t="s">
        <v>2072</v>
      </c>
      <c r="C67" s="2795" t="e">
        <f ca="1">C63-C66</f>
        <v>#REF!</v>
      </c>
      <c r="D67" s="175" t="s">
        <v>32</v>
      </c>
      <c r="E67" s="177"/>
      <c r="F67" s="1995"/>
      <c r="G67" s="1995"/>
      <c r="H67" s="1997"/>
      <c r="I67" s="134"/>
      <c r="J67" s="3191"/>
      <c r="K67" s="3050" t="s">
        <v>2073</v>
      </c>
      <c r="L67" s="30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0"/>
      <c r="Z67" s="1939"/>
      <c r="AI67" s="1940"/>
    </row>
    <row r="68" spans="1:35" ht="14.25" customHeight="1" thickBot="1">
      <c r="A68" s="181" t="s">
        <v>774</v>
      </c>
      <c r="B68" s="182" t="s">
        <v>2074</v>
      </c>
      <c r="C68" s="2796" t="e">
        <f ca="1">IF(C67&lt;=0,0,ROUND(C67*D68,0))</f>
        <v>#REF!</v>
      </c>
      <c r="D68" s="2797">
        <f>'数据-取费表'!B41</f>
        <v>5.6000000000000001E-2</v>
      </c>
      <c r="E68" s="184"/>
      <c r="F68" s="1995"/>
      <c r="G68" s="1995"/>
      <c r="H68" s="1997"/>
      <c r="I68" s="134"/>
      <c r="J68" s="3191"/>
      <c r="K68" s="3050" t="s">
        <v>2075</v>
      </c>
      <c r="L68" s="3050" t="e">
        <f ca="1">IF(M49&gt;10000,M49*0.5%,IF(AND(M49&gt;5000,M49&lt;=10000),M49*1%,IF(AND(M49&gt;1000,M49&lt;=5000),M49*2%,IF(AND(M49&gt;200,M49&lt;=1000),M49*3%,M49*5%))))</f>
        <v>#VALUE!</v>
      </c>
      <c r="M68" s="308" t="e">
        <f ca="1">ROUND(L68,1)</f>
        <v>#VALUE!</v>
      </c>
      <c r="N68" s="2770"/>
      <c r="Z68" s="1939"/>
      <c r="AI68" s="1940"/>
    </row>
    <row r="69" spans="1:35" s="1959" customFormat="1" ht="16.5" customHeight="1">
      <c r="A69" s="1998"/>
      <c r="B69" s="1999"/>
      <c r="C69" s="2000"/>
      <c r="D69" s="2001"/>
      <c r="E69" s="2002"/>
      <c r="F69" s="1764"/>
      <c r="G69" s="1764"/>
      <c r="H69" s="1763"/>
      <c r="I69" s="1934"/>
      <c r="J69" s="3191"/>
      <c r="K69" s="3050" t="s">
        <v>2076</v>
      </c>
      <c r="L69" s="3050"/>
      <c r="M69" s="308" t="e">
        <f ca="1">ROUND(SUM(M63:M68),0)</f>
        <v>#VALUE!</v>
      </c>
      <c r="N69" s="2772" t="e">
        <f ca="1">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5" t="s">
        <v>2077</v>
      </c>
      <c r="B70" s="3236"/>
      <c r="C70" s="3236"/>
      <c r="D70" s="3236"/>
      <c r="E70" s="3236"/>
      <c r="F70" s="3236"/>
      <c r="G70" s="3236"/>
      <c r="H70" s="3236"/>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7" t="s">
        <v>2058</v>
      </c>
      <c r="B71" s="3228"/>
      <c r="C71" s="3059"/>
      <c r="D71" s="3059" t="s">
        <v>2059</v>
      </c>
      <c r="E71" s="185" t="s">
        <v>2060</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2078</v>
      </c>
      <c r="C72" s="2795" t="e">
        <f ca="1">ROUND(D45/(1+'数据-取费表'!C42),0)</f>
        <v>#REF!</v>
      </c>
      <c r="D72" s="175" t="s">
        <v>32</v>
      </c>
      <c r="E72" s="3061"/>
      <c r="F72" s="3060"/>
      <c r="G72" s="3060"/>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2079</v>
      </c>
      <c r="C73" s="2795" t="e">
        <f ca="1">C74+C78</f>
        <v>#REF!</v>
      </c>
      <c r="D73" s="175" t="s">
        <v>32</v>
      </c>
      <c r="E73" s="3061"/>
      <c r="F73" s="3060"/>
      <c r="G73" s="3060"/>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2080</v>
      </c>
      <c r="C74" s="175">
        <f>ROUND(IF(G77="2016年5月1日后购买",C75/(1+'数据-取费表'!C42)+C76+C77,C75+C76+C77),0)</f>
        <v>0</v>
      </c>
      <c r="D74" s="175" t="s">
        <v>32</v>
      </c>
      <c r="E74" s="3061"/>
      <c r="F74" s="3060"/>
      <c r="G74" s="3060"/>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2081</v>
      </c>
      <c r="C75" s="2798"/>
      <c r="D75" s="175" t="s">
        <v>32</v>
      </c>
      <c r="E75" s="190" t="s">
        <v>2082</v>
      </c>
      <c r="F75" s="2799"/>
      <c r="G75" s="190" t="s">
        <v>2083</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2084</v>
      </c>
      <c r="C76" s="175">
        <f>IF(F75="购房发票",ROUND(C75*H75*D76,0),0)</f>
        <v>0</v>
      </c>
      <c r="D76" s="2801">
        <v>0.05</v>
      </c>
      <c r="E76" s="3232" t="s">
        <v>2085</v>
      </c>
      <c r="F76" s="3231"/>
      <c r="G76" s="3231"/>
      <c r="H76" s="3234"/>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2086</v>
      </c>
      <c r="C77" s="175">
        <f>ROUND(IF(G77="个人住宅",0,IF(G77="2016年5月1日前购买",C75*D77,C75*D77/(1+'数据-取费表'!C42))),0)</f>
        <v>0</v>
      </c>
      <c r="D77" s="2802">
        <f>'数据-取费表'!B48+'数据-取费表'!B49</f>
        <v>3.0499999999999999E-2</v>
      </c>
      <c r="E77" s="3049" t="s">
        <v>2087</v>
      </c>
      <c r="F77" s="192"/>
      <c r="G77" s="2009"/>
      <c r="H77" s="3062"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2088</v>
      </c>
      <c r="C78" s="2803" t="e">
        <f ca="1">ROUND(D45*D78/(1+'数据-取费表'!C42),0)</f>
        <v>#REF!</v>
      </c>
      <c r="D78" s="2804">
        <f>'数据-取费表'!B43</f>
        <v>6.000000000000001E-3</v>
      </c>
      <c r="E78" s="3224" t="s">
        <v>2089</v>
      </c>
      <c r="F78" s="3225"/>
      <c r="G78" s="3225"/>
      <c r="H78" s="3226"/>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2090</v>
      </c>
      <c r="C79" s="2795" t="e">
        <f ca="1">C72-C73</f>
        <v>#REF!</v>
      </c>
      <c r="D79" s="175" t="s">
        <v>32</v>
      </c>
      <c r="E79" s="3061"/>
      <c r="F79" s="3060"/>
      <c r="G79" s="3060"/>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2091</v>
      </c>
      <c r="C80" s="2805" t="e">
        <f ca="1">IF(C79&lt;=0,0,C79/C73)</f>
        <v>#REF!</v>
      </c>
      <c r="D80" s="175" t="s">
        <v>32</v>
      </c>
      <c r="E80" s="3049" t="e">
        <f ca="1">IF(C80&gt;=200%,"增值额超过扣除项目金额200%",IF(C80&gt;=100%,"增值额超过扣除项目金额100%，未超过200%",IF(C80&gt;=50%,"增值额超过扣除项目金额50%，未超过100%",IF(C80&lt;50%,"增值额未超过扣除项目金额50%"))))</f>
        <v>#REF!</v>
      </c>
      <c r="F80" s="3060"/>
      <c r="G80" s="3060"/>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2092</v>
      </c>
      <c r="C81" s="2806" t="e">
        <f ca="1">ROUND(IF(C79&lt;=0,0,IF(C80&gt;=200%,C79*60%-C73*35%,IF(C80&gt;=100%,C79*50%-C73*15%,IF(C80&gt;=50%,C79*40%-C73*5%,IF(C80&lt;50%,C79*30%,0))))),0)</f>
        <v>#REF!</v>
      </c>
      <c r="D81" s="280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5" t="s">
        <v>2093</v>
      </c>
      <c r="B83" s="3236"/>
      <c r="C83" s="3236"/>
      <c r="D83" s="3236"/>
      <c r="E83" s="3236"/>
      <c r="F83" s="3236"/>
      <c r="G83" s="3236"/>
      <c r="H83" s="3236"/>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7" t="s">
        <v>2058</v>
      </c>
      <c r="B84" s="3228"/>
      <c r="C84" s="3059"/>
      <c r="D84" s="3059" t="s">
        <v>2059</v>
      </c>
      <c r="E84" s="185" t="s">
        <v>2060</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2078</v>
      </c>
      <c r="C85" s="2795" t="e">
        <f ca="1">ROUND(D45/(1+'数据-取费表'!C42),0)</f>
        <v>#REF!</v>
      </c>
      <c r="D85" s="175" t="s">
        <v>32</v>
      </c>
      <c r="E85" s="3061"/>
      <c r="F85" s="3060"/>
      <c r="G85" s="3060"/>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2079</v>
      </c>
      <c r="C86" s="2795" t="e">
        <f ca="1">IF(H88="仅含出让金",C87+C90+C91+C92+C93+C94,C87+C91+C92+C93+C94)</f>
        <v>#REF!</v>
      </c>
      <c r="D86" s="2808"/>
      <c r="E86" s="3061"/>
      <c r="F86" s="3060"/>
      <c r="G86" s="3060"/>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2094</v>
      </c>
      <c r="C87" s="2803">
        <f>C88+C89</f>
        <v>0</v>
      </c>
      <c r="D87" s="2804"/>
      <c r="E87" s="3056"/>
      <c r="F87" s="3057"/>
      <c r="G87" s="3057"/>
      <c r="H87" s="3058"/>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2095</v>
      </c>
      <c r="C88" s="2809"/>
      <c r="D88" s="2804"/>
      <c r="E88" s="199" t="s">
        <v>2096</v>
      </c>
      <c r="F88" s="3057"/>
      <c r="G88" s="200" t="s">
        <v>2097</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2086</v>
      </c>
      <c r="C89" s="2803">
        <f>ROUND(C88*D89,0)</f>
        <v>0</v>
      </c>
      <c r="D89" s="2804">
        <f>'数据-取费表'!B48+'数据-取费表'!B49</f>
        <v>3.0499999999999999E-2</v>
      </c>
      <c r="E89" s="199" t="s">
        <v>2098</v>
      </c>
      <c r="F89" s="3057"/>
      <c r="G89" s="3057"/>
      <c r="H89" s="3058"/>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2099</v>
      </c>
      <c r="C90" s="2809"/>
      <c r="D90" s="2804"/>
      <c r="E90" s="199" t="str">
        <f>IF(H88="-","土地取得成本中已包含该笔费用"," ")</f>
        <v xml:space="preserve"> </v>
      </c>
      <c r="F90" s="3057"/>
      <c r="G90" s="3193" t="s">
        <v>2867</v>
      </c>
      <c r="H90" s="3194"/>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2100</v>
      </c>
      <c r="B91" s="175" t="s">
        <v>2101</v>
      </c>
      <c r="C91" s="2803">
        <f>IF(H91="——",成本法!C33,I91)</f>
        <v>0</v>
      </c>
      <c r="D91" s="2804"/>
      <c r="E91" s="3224" t="s">
        <v>2102</v>
      </c>
      <c r="F91" s="3225"/>
      <c r="G91" s="3225"/>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2103</v>
      </c>
      <c r="B92" s="175" t="s">
        <v>2104</v>
      </c>
      <c r="C92" s="2803">
        <f>ROUND((C87+C90+C91)*D92,0)</f>
        <v>0</v>
      </c>
      <c r="D92" s="2810"/>
      <c r="E92" s="3224" t="s">
        <v>2105</v>
      </c>
      <c r="F92" s="3225"/>
      <c r="G92" s="3225"/>
      <c r="H92" s="3226"/>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2106</v>
      </c>
      <c r="B93" s="175" t="s">
        <v>2088</v>
      </c>
      <c r="C93" s="2803" t="e">
        <f ca="1">ROUND(D45*D93/(1+'数据-取费表'!C42),0)</f>
        <v>#REF!</v>
      </c>
      <c r="D93" s="2804">
        <f>'数据-取费表'!B43</f>
        <v>6.000000000000001E-3</v>
      </c>
      <c r="E93" s="3224" t="s">
        <v>2089</v>
      </c>
      <c r="F93" s="3225"/>
      <c r="G93" s="3225"/>
      <c r="H93" s="3226"/>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2107</v>
      </c>
      <c r="B94" s="175" t="s">
        <v>2108</v>
      </c>
      <c r="C94" s="2809">
        <f>ROUND((C87+C90+C91)*D94,0)</f>
        <v>0</v>
      </c>
      <c r="D94" s="2804">
        <v>0.2</v>
      </c>
      <c r="E94" s="3272" t="s">
        <v>2109</v>
      </c>
      <c r="F94" s="3273"/>
      <c r="G94" s="3273"/>
      <c r="H94" s="327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2090</v>
      </c>
      <c r="C95" s="2795" t="e">
        <f ca="1">ROUND(C85-C86,0)</f>
        <v>#REF!</v>
      </c>
      <c r="D95" s="175" t="s">
        <v>32</v>
      </c>
      <c r="E95" s="3061"/>
      <c r="F95" s="3060"/>
      <c r="G95" s="3060"/>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2091</v>
      </c>
      <c r="C96" s="2805" t="e">
        <f ca="1">IF(C95&lt;=0,0,C95/C86)</f>
        <v>#REF!</v>
      </c>
      <c r="D96" s="175" t="s">
        <v>32</v>
      </c>
      <c r="E96" s="3049" t="e">
        <f ca="1">IF(C96&gt;=200%,"增值额超过扣除项目金额200%",IF(C96&gt;=100%,"增值额超过扣除项目金额100%，未超过200%",IF(C96&gt;=50%,"增值额超过扣除项目金额50%，未超过100%",IF(C96&lt;50%,"增值额未超过扣除项目金额50%"))))</f>
        <v>#REF!</v>
      </c>
      <c r="F96" s="3060"/>
      <c r="G96" s="3060"/>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2092</v>
      </c>
      <c r="C97" s="2806" t="e">
        <f ca="1">ROUND(IF(C95&lt;=0,0,IF(C96&gt;=200%,C95*60%-C86*35%,IF(C96&gt;=100%,C95*50%-C86*15%,IF(C96&gt;=50%,C95*40%-C86*5%,IF(C96&lt;50%,C95*30%,0))))),0)</f>
        <v>#REF!</v>
      </c>
      <c r="D97" s="280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2110</v>
      </c>
      <c r="B99" s="1934"/>
      <c r="C99" s="1934"/>
      <c r="D99" s="1934"/>
      <c r="E99" s="1764"/>
      <c r="F99" s="1764"/>
      <c r="G99" s="1764"/>
      <c r="H99" s="1763"/>
      <c r="I99" s="134"/>
    </row>
    <row r="100" spans="1:35" ht="18.75" customHeight="1">
      <c r="A100" s="3174" t="s">
        <v>2111</v>
      </c>
      <c r="B100" s="3175"/>
      <c r="C100" s="3175"/>
      <c r="D100" s="3209"/>
      <c r="E100" s="3175" t="s">
        <v>2112</v>
      </c>
      <c r="F100" s="3175"/>
      <c r="G100" s="3175"/>
      <c r="H100" s="3209"/>
      <c r="I100" s="134"/>
    </row>
    <row r="101" spans="1:35" ht="18.75" customHeight="1">
      <c r="A101" s="3217" t="s">
        <v>2113</v>
      </c>
      <c r="B101" s="3218"/>
      <c r="C101" s="2812" t="str">
        <f>C4</f>
        <v>成本法 (元)</v>
      </c>
      <c r="D101" s="2813" t="str">
        <f>D4</f>
        <v>收益法 (元)</v>
      </c>
      <c r="E101" s="3187" t="s">
        <v>2114</v>
      </c>
      <c r="F101" s="3188"/>
      <c r="G101" s="2014" t="s">
        <v>2115</v>
      </c>
      <c r="H101" s="2822" t="e">
        <f ca="1">H118</f>
        <v>#REF!</v>
      </c>
      <c r="I101" s="134"/>
    </row>
    <row r="102" spans="1:35" ht="18.75" customHeight="1">
      <c r="A102" s="3219" t="s">
        <v>2116</v>
      </c>
      <c r="B102" s="2811" t="s">
        <v>2115</v>
      </c>
      <c r="C102" s="2812">
        <f ca="1">C19</f>
        <v>881</v>
      </c>
      <c r="D102" s="2813">
        <f ca="1">D19</f>
        <v>1372</v>
      </c>
      <c r="E102" s="3187"/>
      <c r="F102" s="3188"/>
      <c r="G102" s="2014" t="s">
        <v>2117</v>
      </c>
      <c r="H102" s="2782" t="e">
        <f ca="1">I118</f>
        <v>#REF!</v>
      </c>
      <c r="I102" s="134"/>
    </row>
    <row r="103" spans="1:35" ht="42.75" customHeight="1">
      <c r="A103" s="3219"/>
      <c r="B103" s="2811" t="s">
        <v>2117</v>
      </c>
      <c r="C103" s="2814">
        <f ca="1">C20</f>
        <v>36646</v>
      </c>
      <c r="D103" s="2815">
        <f ca="1">D20</f>
        <v>57068</v>
      </c>
      <c r="E103" s="3180" t="s">
        <v>2118</v>
      </c>
      <c r="F103" s="3181"/>
      <c r="G103" s="2015" t="s">
        <v>2119</v>
      </c>
      <c r="H103" s="2822">
        <f>IF(D36="正常操作",H104+H105+H106,H105+H106)</f>
        <v>0</v>
      </c>
      <c r="I103" s="134"/>
    </row>
    <row r="104" spans="1:35" ht="18.75" customHeight="1">
      <c r="A104" s="3219" t="s">
        <v>2120</v>
      </c>
      <c r="B104" s="2816" t="s">
        <v>2115</v>
      </c>
      <c r="C104" s="2817" t="e">
        <f ca="1">H118</f>
        <v>#REF!</v>
      </c>
      <c r="D104" s="2818"/>
      <c r="E104" s="1861" t="s">
        <v>2121</v>
      </c>
      <c r="F104" s="1852"/>
      <c r="G104" s="2015" t="s">
        <v>2119</v>
      </c>
      <c r="H104" s="2823">
        <f>IF(D36="同一抵押权人同一抵押物续贷",C36&amp;"（续贷，未扣减，详见特别提示）",C36)</f>
        <v>0</v>
      </c>
      <c r="I104" s="134"/>
    </row>
    <row r="105" spans="1:35" ht="18.75" customHeight="1" thickBot="1">
      <c r="A105" s="3229"/>
      <c r="B105" s="2819" t="s">
        <v>2117</v>
      </c>
      <c r="C105" s="2820" t="e">
        <f ca="1">I118</f>
        <v>#REF!</v>
      </c>
      <c r="D105" s="2821"/>
      <c r="E105" s="1861" t="s">
        <v>2122</v>
      </c>
      <c r="F105" s="1852"/>
      <c r="G105" s="2015" t="s">
        <v>2119</v>
      </c>
      <c r="H105" s="2824">
        <f>C37</f>
        <v>0</v>
      </c>
      <c r="I105" s="134"/>
    </row>
    <row r="106" spans="1:35" ht="18.75" customHeight="1">
      <c r="A106" s="1934" t="s">
        <v>2123</v>
      </c>
      <c r="B106" s="1934"/>
      <c r="C106" s="1934"/>
      <c r="D106" s="1934"/>
      <c r="E106" s="2016" t="s">
        <v>2124</v>
      </c>
      <c r="F106" s="1852"/>
      <c r="G106" s="2015" t="s">
        <v>2119</v>
      </c>
      <c r="H106" s="2824">
        <f>C38</f>
        <v>0</v>
      </c>
      <c r="I106" s="134"/>
    </row>
    <row r="107" spans="1:35" ht="18.75" customHeight="1">
      <c r="A107" s="134"/>
      <c r="B107" s="134"/>
      <c r="C107" s="134"/>
      <c r="D107" s="134"/>
      <c r="E107" s="3220" t="str">
        <f>IF(项目基本情况!E8="已注销","——","3.房地产抵押价值")</f>
        <v>3.房地产抵押价值</v>
      </c>
      <c r="F107" s="3188"/>
      <c r="G107" s="2014" t="s">
        <v>2115</v>
      </c>
      <c r="H107" s="2822" t="e">
        <f ca="1">IF(E107="——","——",H101-H103)</f>
        <v>#REF!</v>
      </c>
      <c r="I107" s="134"/>
    </row>
    <row r="108" spans="1:35" ht="18.75" customHeight="1">
      <c r="A108" s="134"/>
      <c r="B108" s="134"/>
      <c r="C108" s="134"/>
      <c r="D108" s="134"/>
      <c r="E108" s="3220"/>
      <c r="F108" s="3188"/>
      <c r="G108" s="2014" t="s">
        <v>2117</v>
      </c>
      <c r="H108" s="2782" t="e">
        <f ca="1">ROUND(H107*10000/'数据-汇总表'!E3,0)</f>
        <v>#REF!</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14" t="s">
        <v>2115</v>
      </c>
      <c r="H109" s="2825" t="str">
        <f>IF(E109="——","——",H101-H105-H106)</f>
        <v>——</v>
      </c>
      <c r="I109" s="134"/>
    </row>
    <row r="110" spans="1:35" ht="18.75" customHeight="1">
      <c r="A110" s="134"/>
      <c r="B110" s="134"/>
      <c r="C110" s="134"/>
      <c r="D110" s="134"/>
      <c r="E110" s="3220"/>
      <c r="F110" s="3188"/>
      <c r="G110" s="2014" t="s">
        <v>2117</v>
      </c>
      <c r="H110" s="2782"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14" t="s">
        <v>2115</v>
      </c>
      <c r="H111" s="2822" t="str">
        <f>IF(E111="——","——",N59)</f>
        <v>——</v>
      </c>
      <c r="I111" s="134"/>
    </row>
    <row r="112" spans="1:35" ht="18.75" customHeight="1" thickBot="1">
      <c r="A112" s="134"/>
      <c r="B112" s="134"/>
      <c r="C112" s="134"/>
      <c r="D112" s="134"/>
      <c r="E112" s="3222"/>
      <c r="F112" s="3223"/>
      <c r="G112" s="2017" t="s">
        <v>2117</v>
      </c>
      <c r="H112" s="2826" t="str">
        <f>IF(E111="——","——",N61)</f>
        <v>——</v>
      </c>
      <c r="I112" s="134"/>
    </row>
    <row r="113" spans="1:27" ht="18.75" customHeight="1">
      <c r="A113" s="134"/>
      <c r="B113" s="134"/>
      <c r="C113" s="134"/>
      <c r="D113" s="134"/>
      <c r="E113" s="3230" t="s">
        <v>2123</v>
      </c>
      <c r="F113" s="3230"/>
      <c r="G113" s="3230"/>
      <c r="H113" s="3230"/>
      <c r="I113" s="134"/>
    </row>
    <row r="114" spans="1:27" ht="3.75" customHeight="1">
      <c r="A114" s="1934"/>
      <c r="B114" s="1934"/>
      <c r="C114" s="1934"/>
      <c r="D114" s="1934"/>
      <c r="E114" s="1996"/>
      <c r="F114" s="1996"/>
      <c r="G114" s="1996"/>
      <c r="H114" s="1996"/>
      <c r="I114" s="1934"/>
    </row>
    <row r="115" spans="1:27" ht="18.75" customHeight="1">
      <c r="A115" s="3241" t="s">
        <v>2125</v>
      </c>
      <c r="B115" s="3242"/>
      <c r="C115" s="3242"/>
      <c r="D115" s="3242"/>
      <c r="E115" s="3242"/>
      <c r="F115" s="3242"/>
      <c r="G115" s="3242"/>
      <c r="H115" s="3242"/>
      <c r="I115" s="3243"/>
    </row>
    <row r="116" spans="1:27" ht="27" customHeight="1">
      <c r="A116" s="3195" t="s">
        <v>2126</v>
      </c>
      <c r="B116" s="3199" t="s">
        <v>2127</v>
      </c>
      <c r="C116" s="3199" t="s">
        <v>2128</v>
      </c>
      <c r="D116" s="3205" t="s">
        <v>2129</v>
      </c>
      <c r="E116" s="3206"/>
      <c r="F116" s="3237" t="s">
        <v>2130</v>
      </c>
      <c r="G116" s="3237"/>
      <c r="H116" s="3195" t="s">
        <v>2131</v>
      </c>
      <c r="I116" s="3195"/>
    </row>
    <row r="117" spans="1:27" ht="18.75" customHeight="1">
      <c r="A117" s="3195"/>
      <c r="B117" s="3200"/>
      <c r="C117" s="3200"/>
      <c r="D117" s="3052" t="s">
        <v>2132</v>
      </c>
      <c r="E117" s="3052" t="s">
        <v>2133</v>
      </c>
      <c r="F117" s="3052" t="s">
        <v>2132</v>
      </c>
      <c r="G117" s="3052" t="s">
        <v>2134</v>
      </c>
      <c r="H117" s="3052" t="s">
        <v>2132</v>
      </c>
      <c r="I117" s="3052" t="s">
        <v>2134</v>
      </c>
    </row>
    <row r="118" spans="1:27" ht="24.75" customHeight="1">
      <c r="A118" s="2827" t="str">
        <f>项目基本情况!S2</f>
        <v>北京市房地产</v>
      </c>
      <c r="B118" s="3052">
        <f>M18</f>
        <v>240.41</v>
      </c>
      <c r="C118" s="3052">
        <f>M19</f>
        <v>11.65</v>
      </c>
      <c r="D118" s="3052" t="e">
        <f ca="1">ROUND(IF(D32="总价",C34,E118*B118/10000),0)</f>
        <v>#REF!</v>
      </c>
      <c r="E118" s="3052" t="e">
        <f ca="1">ROUND(IF(C33="自定义",IF(D32="楼面单价",C34,D118*10000/B118),I118-G118),0)</f>
        <v>#REF!</v>
      </c>
      <c r="F118" s="3052" t="e">
        <f ca="1">ROUND(IF(D32="总价",C35,G118*B118/10000),0)</f>
        <v>#REF!</v>
      </c>
      <c r="G118" s="3052" t="e">
        <f ca="1">ROUND(IF(D32="楼面单价",C35,F118*10000/B118),0)</f>
        <v>#REF!</v>
      </c>
      <c r="H118" s="3052" t="e">
        <f ca="1">ROUND(IF(D32="总价",C32,I118*B118/10000),0)</f>
        <v>#REF!</v>
      </c>
      <c r="I118" s="3052" t="e">
        <f ca="1">ROUND(IF(D32="楼面单价",C32,H118*10000/B118),0)</f>
        <v>#REF!</v>
      </c>
    </row>
    <row r="119" spans="1:27" ht="18.75" customHeight="1">
      <c r="A119" s="3195" t="s">
        <v>2135</v>
      </c>
      <c r="B119" s="3195"/>
      <c r="C119" s="3195"/>
      <c r="D119" s="3201" t="e">
        <f ca="1">NUMBERSTRING(INT(D118*10000),2)&amp;"元整"</f>
        <v>#REF!</v>
      </c>
      <c r="E119" s="3202"/>
      <c r="F119" s="3201" t="e">
        <f ca="1">NUMBERSTRING(INT(F118*10000),2)&amp;"元整"</f>
        <v>#REF!</v>
      </c>
      <c r="G119" s="3202"/>
      <c r="H119" s="3201" t="e">
        <f ca="1">NUMBERSTRING(INT(H118*10000),2)&amp;"元整"</f>
        <v>#REF!</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8" t="s">
        <v>2135</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t="e">
        <f ca="1">H107</f>
        <v>#REF!</v>
      </c>
      <c r="E122" s="3197"/>
      <c r="F122" s="3197"/>
      <c r="G122" s="3197"/>
      <c r="H122" s="3197"/>
      <c r="I122" s="3198"/>
      <c r="AA122" s="734"/>
    </row>
    <row r="123" spans="1:27" ht="18.75" customHeight="1">
      <c r="A123" s="3195" t="s">
        <v>2135</v>
      </c>
      <c r="B123" s="3195"/>
      <c r="C123" s="3195"/>
      <c r="D123" s="3201" t="e">
        <f ca="1">NUMBERSTRING(INT(D122*10000),2)&amp;"元整"</f>
        <v>#REF!</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2135</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2135</v>
      </c>
      <c r="B127" s="3195"/>
      <c r="C127" s="3195"/>
      <c r="D127" s="3201" t="e">
        <f>NUMBERSTRING(INT(D126*10000),2)&amp;"元整"</f>
        <v>#VALUE!</v>
      </c>
      <c r="E127" s="3203"/>
      <c r="F127" s="3203"/>
      <c r="G127" s="3203"/>
      <c r="H127" s="3203"/>
      <c r="I127" s="3202"/>
      <c r="AA127" s="734"/>
    </row>
    <row r="128" spans="1:27" ht="21.75" customHeight="1">
      <c r="A128" s="3204" t="s">
        <v>2136</v>
      </c>
      <c r="B128" s="3204"/>
      <c r="C128" s="3204"/>
      <c r="D128" s="3204"/>
      <c r="E128" s="3204"/>
      <c r="F128" s="3204"/>
      <c r="G128" s="3204"/>
      <c r="H128" s="3204"/>
      <c r="I128" s="3204"/>
      <c r="AA128" s="734"/>
    </row>
    <row r="129" spans="1:35" ht="21.75" customHeight="1">
      <c r="A129" s="2018" t="s">
        <v>2137</v>
      </c>
      <c r="B129" s="2019"/>
      <c r="C129" s="2020" t="s">
        <v>2138</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2139</v>
      </c>
      <c r="G135" s="2035"/>
      <c r="H135" s="2035"/>
      <c r="I135" s="2036" t="s">
        <v>2140</v>
      </c>
    </row>
    <row r="136" spans="1:35" ht="21.75" customHeight="1">
      <c r="A136" s="734"/>
      <c r="B136" s="2037"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2142</v>
      </c>
    </row>
    <row r="139" spans="1:35" ht="21.75" customHeight="1">
      <c r="A139" s="734"/>
      <c r="B139" s="2037" t="s">
        <v>2143</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2142</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8" sqref="J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5"/>
      <c r="C1" s="2046" t="s">
        <v>2246</v>
      </c>
      <c r="D1" s="204"/>
      <c r="E1" s="204"/>
      <c r="F1" s="204"/>
      <c r="G1" s="1287">
        <f>MATCH(B1,'数据-取费表'!A6:A16,0)+5</f>
        <v>8</v>
      </c>
      <c r="H1" s="1191" t="str">
        <f>IF(ISERROR(FIND("住宅",B1)),"非住宅","住宅")</f>
        <v>非住宅</v>
      </c>
    </row>
    <row r="2" spans="1:8" s="206" customFormat="1" ht="18" customHeight="1">
      <c r="A2" s="207" t="s">
        <v>2145</v>
      </c>
      <c r="B2" s="208">
        <f ca="1">ROUND(IF(D2="——",C52/10000,C52/10000-E2),0)</f>
        <v>881</v>
      </c>
      <c r="C2" s="205" t="s">
        <v>2146</v>
      </c>
      <c r="D2" s="2040" t="s">
        <v>70</v>
      </c>
      <c r="E2" s="1330" t="e">
        <f ca="1">SUMIF(INDIRECT("'"&amp;G2&amp;"'"&amp;"!A:A"),"承租人权益价值",INDIRECT("'"&amp;G2&amp;"'"&amp;"!c:c"))</f>
        <v>#REF!</v>
      </c>
      <c r="F2" s="2041" t="s">
        <v>2146</v>
      </c>
      <c r="G2" s="2042"/>
    </row>
    <row r="3" spans="1:8" s="206" customFormat="1" ht="18" customHeight="1" thickBot="1">
      <c r="A3" s="209" t="s">
        <v>2147</v>
      </c>
      <c r="B3" s="210">
        <f ca="1">ROUND(B2*10000/(IF(B1="",'数据-汇总表'!E3,INDIRECT("'数据-取费表'!k"&amp;$G$1))),0)</f>
        <v>36646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4942979</v>
      </c>
      <c r="D5" s="217" t="s">
        <v>2152</v>
      </c>
      <c r="E5" s="218" t="s">
        <v>2153</v>
      </c>
      <c r="F5" s="218" t="s">
        <v>2154</v>
      </c>
      <c r="G5" s="219"/>
    </row>
    <row r="6" spans="1:8" s="220" customFormat="1" ht="13.5" customHeight="1">
      <c r="A6" s="886" t="s">
        <v>2155</v>
      </c>
      <c r="B6" s="221" t="s">
        <v>2156</v>
      </c>
      <c r="C6" s="222">
        <f ca="1">ROUND(基准地价修正!B3*D10,0)</f>
        <v>4750021</v>
      </c>
      <c r="D6" s="223"/>
      <c r="E6" s="224"/>
      <c r="F6" s="224"/>
      <c r="G6" s="225"/>
    </row>
    <row r="7" spans="1:8" s="220" customFormat="1" ht="13.5" customHeight="1">
      <c r="A7" s="886" t="s">
        <v>2157</v>
      </c>
      <c r="B7" s="221" t="s">
        <v>2158</v>
      </c>
      <c r="C7" s="226">
        <f ca="1">ROUND(C6*F7,0)</f>
        <v>144876</v>
      </c>
      <c r="D7" s="226"/>
      <c r="E7" s="224"/>
      <c r="F7" s="227">
        <f>IF(项目基本情况!B8="出让",0,'数据-取费表'!B48+'数据-取费表'!B49)</f>
        <v>3.0499999999999999E-2</v>
      </c>
      <c r="G7" s="225"/>
    </row>
    <row r="8" spans="1:8" s="229" customFormat="1">
      <c r="A8" s="886" t="s">
        <v>2159</v>
      </c>
      <c r="B8" s="221" t="s">
        <v>2160</v>
      </c>
      <c r="C8" s="226">
        <f ca="1">IF(G8="已包含在土地购买价格中",0,C9+C10)</f>
        <v>48082</v>
      </c>
      <c r="D8" s="228"/>
      <c r="E8" s="226"/>
      <c r="F8" s="227"/>
      <c r="G8" s="2043" t="s">
        <v>3237</v>
      </c>
    </row>
    <row r="9" spans="1:8" s="220" customFormat="1" ht="13.5" customHeight="1">
      <c r="A9" s="887" t="s">
        <v>800</v>
      </c>
      <c r="B9" s="230" t="s">
        <v>2161</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2163</v>
      </c>
      <c r="C10" s="231">
        <f ca="1">ROUND(D10*E10,0)</f>
        <v>48082</v>
      </c>
      <c r="D10" s="954">
        <f ca="1">IF(B1="",'数据-汇总表'!E6,IF(INDIRECT("'数据-取费表'!c"&amp;$G$1)="住宅",INDIRECT("'数据-取费表'!s"&amp;$G$1),INDIRECT("'数据-取费表'!k"&amp;$G$1)+INDIRECT("'数据-取费表'!s"&amp;$G$1)))</f>
        <v>240.41</v>
      </c>
      <c r="E10" s="231">
        <f>'数据-取费表'!B28</f>
        <v>200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2247</v>
      </c>
      <c r="C12" s="217">
        <v>0</v>
      </c>
      <c r="D12" s="956"/>
      <c r="E12" s="234"/>
      <c r="F12" s="227">
        <v>3.0499999999999999E-2</v>
      </c>
      <c r="G12" s="225"/>
    </row>
    <row r="13" spans="1:8" s="220" customFormat="1" ht="13.5" hidden="1" customHeight="1">
      <c r="A13" s="233" t="s">
        <v>9</v>
      </c>
      <c r="B13" s="221" t="s">
        <v>2248</v>
      </c>
      <c r="C13" s="217"/>
      <c r="D13" s="956"/>
      <c r="E13" s="224"/>
      <c r="F13" s="224"/>
      <c r="G13" s="225"/>
    </row>
    <row r="14" spans="1:8" s="220" customFormat="1" ht="13.5" hidden="1" customHeight="1">
      <c r="A14" s="233" t="s">
        <v>10</v>
      </c>
      <c r="B14" s="221" t="s">
        <v>2160</v>
      </c>
      <c r="C14" s="217"/>
      <c r="D14" s="956"/>
      <c r="E14" s="224"/>
      <c r="F14" s="224"/>
      <c r="G14" s="225" t="s">
        <v>2249</v>
      </c>
    </row>
    <row r="15" spans="1:8" s="220" customFormat="1" ht="13.5" hidden="1" customHeight="1">
      <c r="A15" s="233" t="s">
        <v>11</v>
      </c>
      <c r="B15" s="221" t="s">
        <v>2250</v>
      </c>
      <c r="C15" s="226"/>
      <c r="D15" s="956"/>
      <c r="E15" s="224"/>
      <c r="F15" s="224"/>
      <c r="G15" s="225" t="s">
        <v>2251</v>
      </c>
    </row>
    <row r="16" spans="1:8" s="220" customFormat="1" ht="13.5" hidden="1" customHeight="1">
      <c r="A16" s="233" t="s">
        <v>12</v>
      </c>
      <c r="B16" s="221" t="s">
        <v>2160</v>
      </c>
      <c r="C16" s="226"/>
      <c r="D16" s="956"/>
      <c r="E16" s="224"/>
      <c r="F16" s="224"/>
      <c r="G16" s="225"/>
    </row>
    <row r="17" spans="1:7" s="220" customFormat="1" ht="13.5" hidden="1" customHeight="1">
      <c r="A17" s="233" t="s">
        <v>13</v>
      </c>
      <c r="B17" s="221" t="s">
        <v>2252</v>
      </c>
      <c r="C17" s="235"/>
      <c r="D17" s="957"/>
      <c r="E17" s="235"/>
      <c r="F17" s="235"/>
      <c r="G17" s="225" t="s">
        <v>2251</v>
      </c>
    </row>
    <row r="18" spans="1:7" s="220" customFormat="1" ht="13.5" hidden="1" customHeight="1">
      <c r="A18" s="233" t="s">
        <v>14</v>
      </c>
      <c r="B18" s="221" t="s">
        <v>2253</v>
      </c>
      <c r="C18" s="226">
        <v>0</v>
      </c>
      <c r="D18" s="956"/>
      <c r="E18" s="224"/>
      <c r="F18" s="227">
        <v>3.0499999999999999E-2</v>
      </c>
      <c r="G18" s="225" t="s">
        <v>2254</v>
      </c>
    </row>
    <row r="19" spans="1:7" s="229" customFormat="1" ht="13.5" customHeight="1">
      <c r="A19" s="261" t="s">
        <v>2255</v>
      </c>
      <c r="B19" s="216" t="s">
        <v>2256</v>
      </c>
      <c r="C19" s="217" t="str">
        <f>IF(G19="已包含在土地取得成本中","0",ROUND(D19*E19,0))</f>
        <v>0</v>
      </c>
      <c r="D19" s="958">
        <f ca="1">D9+D10</f>
        <v>240.41</v>
      </c>
      <c r="E19" s="217">
        <f>'数据-取费表'!B31</f>
        <v>200</v>
      </c>
      <c r="F19" s="237"/>
      <c r="G19" s="2043" t="s">
        <v>3239</v>
      </c>
    </row>
    <row r="20" spans="1:7" s="220" customFormat="1" ht="13.5" customHeight="1">
      <c r="A20" s="261" t="s">
        <v>2257</v>
      </c>
      <c r="B20" s="216" t="s">
        <v>2258</v>
      </c>
      <c r="C20" s="238">
        <f ca="1">ROUND((C5+C19)*F20,0)</f>
        <v>98860</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8">
        <f ca="1">ROUND(SUM(C23:C25),0)</f>
        <v>745489</v>
      </c>
      <c r="D22" s="241">
        <f ca="1">C26</f>
        <v>1.4E-3</v>
      </c>
      <c r="E22" s="242" t="s">
        <v>2262</v>
      </c>
      <c r="F22" s="243">
        <f ca="1">'数据-取费表'!B40</f>
        <v>4.7500000000000001E-2</v>
      </c>
      <c r="G22" s="240" t="str">
        <f>IF('数据-取费表'!B22&lt;=1,"单利计息","复利计息")</f>
        <v>复利计息</v>
      </c>
    </row>
    <row r="23" spans="1:7" s="220" customFormat="1" ht="13.5" customHeight="1">
      <c r="A23" s="888" t="s">
        <v>2155</v>
      </c>
      <c r="B23" s="221" t="s">
        <v>2266</v>
      </c>
      <c r="C23" s="1289">
        <f ca="1">ROUND(IF('数据-取费表'!B22&lt;=1,C5*F22*'数据-取费表'!B22,C5*(POWER((1+F22),'数据-取费表'!B22)-1)),0)</f>
        <v>738362</v>
      </c>
      <c r="D23" s="244"/>
      <c r="E23" s="244"/>
      <c r="F23" s="245"/>
      <c r="G23" s="246" t="s">
        <v>2267</v>
      </c>
    </row>
    <row r="24" spans="1:7" s="220" customFormat="1" ht="13.5" customHeight="1">
      <c r="A24" s="888" t="s">
        <v>2157</v>
      </c>
      <c r="B24" s="221" t="s">
        <v>2268</v>
      </c>
      <c r="C24" s="1289">
        <f ca="1">ROUND(IF('数据-取费表'!B22&lt;=1,C19*F22*('数据-取费表'!B19/2+'数据-取费表'!B20),C19*(POWER((1+F22),('数据-取费表'!B19/2+'数据-取费表'!B20))-1)),0)</f>
        <v>0</v>
      </c>
      <c r="D24" s="244"/>
      <c r="E24" s="244"/>
      <c r="F24" s="245"/>
      <c r="G24" s="246" t="s">
        <v>2269</v>
      </c>
    </row>
    <row r="25" spans="1:7" s="220" customFormat="1" ht="24">
      <c r="A25" s="888" t="s">
        <v>2159</v>
      </c>
      <c r="B25" s="221" t="s">
        <v>2270</v>
      </c>
      <c r="C25" s="1289">
        <f ca="1">ROUND(IF('数据-取费表'!B22&lt;=1,C20*F22*'数据-取费表'!B22/2,C20*(POWER((1+F22),'数据-取费表'!B22/2)-1)),0)</f>
        <v>7127</v>
      </c>
      <c r="D25" s="244"/>
      <c r="E25" s="247"/>
      <c r="F25" s="245"/>
      <c r="G25" s="248" t="s">
        <v>2271</v>
      </c>
    </row>
    <row r="26" spans="1:7" s="220" customFormat="1">
      <c r="A26" s="888"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1008368</v>
      </c>
      <c r="D27" s="241">
        <f ca="1">C29</f>
        <v>4.0000000000000001E-3</v>
      </c>
      <c r="E27" s="242" t="s">
        <v>2197</v>
      </c>
      <c r="F27" s="252">
        <f ca="1">IF(B1="",'数据-取费表'!Q16,INDIRECT("'数据-取费表'!q"&amp;$G$1))</f>
        <v>0.2</v>
      </c>
      <c r="G27" s="253" t="s">
        <v>2198</v>
      </c>
    </row>
    <row r="28" spans="1:7" s="220" customFormat="1" ht="13.5" customHeight="1">
      <c r="A28" s="888" t="s">
        <v>791</v>
      </c>
      <c r="B28" s="254" t="s">
        <v>2199</v>
      </c>
      <c r="C28" s="255">
        <f ca="1">ROUND((C5+C19+C20)*F27,0)</f>
        <v>1008368</v>
      </c>
      <c r="D28" s="241"/>
      <c r="E28" s="242"/>
      <c r="F28" s="252"/>
      <c r="G28" s="253"/>
    </row>
    <row r="29" spans="1:7" s="220" customFormat="1" ht="13.5" customHeight="1">
      <c r="A29" s="888"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7376203</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1304225</v>
      </c>
      <c r="D33" s="238"/>
      <c r="E33" s="218"/>
      <c r="F33" s="247"/>
      <c r="G33" s="240"/>
    </row>
    <row r="34" spans="1:7" s="264" customFormat="1" ht="13.5" customHeight="1">
      <c r="A34" s="888" t="s">
        <v>791</v>
      </c>
      <c r="B34" s="221" t="s">
        <v>2208</v>
      </c>
      <c r="C34" s="226">
        <f ca="1">ROUND(IF(B1="",SUMPRODUCT('数据-取费表'!K6:K14,'数据-取费表'!L6:L14),INDIRECT("'数据-取费表'!l"&amp;$G$1)*INDIRECT("'数据-取费表'!k"&amp;$G$1)+'数据-取费表'!L14*INDIRECT("'数据-取费表'!S"&amp;$G$1)),0)</f>
        <v>1202050</v>
      </c>
      <c r="D34" s="223"/>
      <c r="E34" s="226"/>
      <c r="F34" s="263"/>
      <c r="G34" s="225"/>
    </row>
    <row r="35" spans="1:7" ht="13.5" customHeight="1">
      <c r="A35" s="888" t="s">
        <v>796</v>
      </c>
      <c r="B35" s="221" t="s">
        <v>2210</v>
      </c>
      <c r="C35" s="226">
        <f ca="1">ROUND(C34*F35,0)</f>
        <v>36062</v>
      </c>
      <c r="D35" s="226"/>
      <c r="E35" s="226"/>
      <c r="F35" s="265">
        <f>'数据-取费表'!B33</f>
        <v>0.03</v>
      </c>
      <c r="G35" s="225" t="s">
        <v>2211</v>
      </c>
    </row>
    <row r="36" spans="1:7" ht="24">
      <c r="A36" s="888"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8" t="s">
        <v>798</v>
      </c>
      <c r="B37" s="221" t="s">
        <v>2214</v>
      </c>
      <c r="C37" s="255">
        <f ca="1">ROUND(E37*D37,0)</f>
        <v>48082</v>
      </c>
      <c r="D37" s="223">
        <f ca="1">D19</f>
        <v>240.41</v>
      </c>
      <c r="E37" s="255">
        <f>'数据-取费表'!B35</f>
        <v>200</v>
      </c>
      <c r="F37" s="265"/>
      <c r="G37" s="267"/>
    </row>
    <row r="38" spans="1:7" ht="13.5" customHeight="1">
      <c r="A38" s="888" t="s">
        <v>799</v>
      </c>
      <c r="B38" s="221" t="s">
        <v>2216</v>
      </c>
      <c r="C38" s="226">
        <f ca="1">ROUND(C34*F38,0)</f>
        <v>18031</v>
      </c>
      <c r="D38" s="226"/>
      <c r="E38" s="226"/>
      <c r="F38" s="265">
        <f>'数据-取费表'!B36</f>
        <v>1.4999999999999999E-2</v>
      </c>
      <c r="G38" s="225" t="s">
        <v>2211</v>
      </c>
    </row>
    <row r="39" spans="1:7" s="220" customFormat="1" ht="13.5" customHeight="1">
      <c r="A39" s="261" t="s">
        <v>2217</v>
      </c>
      <c r="B39" s="216" t="s">
        <v>2218</v>
      </c>
      <c r="C39" s="238">
        <f ca="1">ROUND(C33*F20,0)</f>
        <v>26085</v>
      </c>
      <c r="D39" s="238"/>
      <c r="E39" s="238"/>
      <c r="F39" s="2536">
        <f>F20</f>
        <v>0.02</v>
      </c>
      <c r="G39" s="240" t="s">
        <v>2219</v>
      </c>
    </row>
    <row r="40" spans="1:7" s="220" customFormat="1" ht="13.5" customHeight="1">
      <c r="A40" s="261" t="s">
        <v>2220</v>
      </c>
      <c r="B40" s="216" t="s">
        <v>2221</v>
      </c>
      <c r="C40" s="1496">
        <f>F21</f>
        <v>0.02</v>
      </c>
      <c r="D40" s="242" t="s">
        <v>2222</v>
      </c>
      <c r="E40" s="238"/>
      <c r="F40" s="2536">
        <f>F21</f>
        <v>0.02</v>
      </c>
      <c r="G40" s="240" t="s">
        <v>2223</v>
      </c>
    </row>
    <row r="41" spans="1:7" s="220" customFormat="1" ht="13.5" customHeight="1">
      <c r="A41" s="261" t="s">
        <v>2224</v>
      </c>
      <c r="B41" s="216" t="s">
        <v>2225</v>
      </c>
      <c r="C41" s="238">
        <f ca="1">ROUND(SUM(C42:C43),0)</f>
        <v>95901</v>
      </c>
      <c r="D41" s="241">
        <f ca="1">C44</f>
        <v>1.4E-3</v>
      </c>
      <c r="E41" s="242" t="s">
        <v>2222</v>
      </c>
      <c r="F41" s="2537">
        <f ca="1">F22</f>
        <v>4.7500000000000001E-2</v>
      </c>
      <c r="G41" s="240" t="str">
        <f>IF('数据-取费表'!B22&lt;=1,"单利计息","复利计息")</f>
        <v>复利计息</v>
      </c>
    </row>
    <row r="42" spans="1:7" ht="13.5" customHeight="1">
      <c r="A42" s="888" t="s">
        <v>791</v>
      </c>
      <c r="B42" s="221" t="s">
        <v>2226</v>
      </c>
      <c r="C42" s="244">
        <f ca="1">ROUND(IF('数据-取费表'!B22&lt;=1,C33*F22*'数据-取费表'!B20/2,C33*(POWER((1+F22),'数据-取费表'!B20/2)-1)),0)</f>
        <v>94021</v>
      </c>
      <c r="D42" s="244"/>
      <c r="E42" s="244"/>
      <c r="F42" s="245"/>
      <c r="G42" s="3277" t="s">
        <v>2274</v>
      </c>
    </row>
    <row r="43" spans="1:7" ht="13.5" customHeight="1">
      <c r="A43" s="888" t="s">
        <v>792</v>
      </c>
      <c r="B43" s="221" t="s">
        <v>2228</v>
      </c>
      <c r="C43" s="244">
        <f ca="1">ROUND(IF('数据-取费表'!B22&lt;=1,C39*F22*'数据-取费表'!B20/2,C39*(POWER((1+F22),'数据-取费表'!B20/2)-1)),0)</f>
        <v>1880</v>
      </c>
      <c r="D43" s="244"/>
      <c r="E43" s="244"/>
      <c r="F43" s="245"/>
      <c r="G43" s="3278"/>
    </row>
    <row r="44" spans="1:7" ht="13.5" customHeight="1">
      <c r="A44" s="888" t="s">
        <v>793</v>
      </c>
      <c r="B44" s="221" t="s">
        <v>2229</v>
      </c>
      <c r="C44" s="244">
        <f ca="1">ROUND(IF('数据-取费表'!B22&lt;=1,C40*F22*'数据-取费表'!B20/2,C40*(POWER((1+F22),'数据-取费表'!B20/2)-1)),4)</f>
        <v>1.4E-3</v>
      </c>
      <c r="D44" s="244"/>
      <c r="E44" s="244"/>
      <c r="F44" s="245"/>
      <c r="G44" s="3279"/>
    </row>
    <row r="45" spans="1:7" s="220" customFormat="1" ht="13.5" customHeight="1">
      <c r="A45" s="261" t="s">
        <v>2230</v>
      </c>
      <c r="B45" s="250" t="s">
        <v>2196</v>
      </c>
      <c r="C45" s="251">
        <f ca="1">C46</f>
        <v>266062</v>
      </c>
      <c r="D45" s="241">
        <f ca="1">C47</f>
        <v>4.0000000000000001E-3</v>
      </c>
      <c r="E45" s="242" t="s">
        <v>2222</v>
      </c>
      <c r="F45" s="2538">
        <f ca="1">F27</f>
        <v>0.2</v>
      </c>
      <c r="G45" s="253" t="s">
        <v>2231</v>
      </c>
    </row>
    <row r="46" spans="1:7" s="220" customFormat="1" ht="13.5" customHeight="1">
      <c r="A46" s="888" t="s">
        <v>791</v>
      </c>
      <c r="B46" s="254" t="s">
        <v>2232</v>
      </c>
      <c r="C46" s="255">
        <f ca="1">ROUND((C33+C39)*F27,0)</f>
        <v>266062</v>
      </c>
      <c r="D46" s="269"/>
      <c r="E46" s="242"/>
      <c r="F46" s="252"/>
      <c r="G46" s="253"/>
    </row>
    <row r="47" spans="1:7" s="220" customFormat="1" ht="13.5" customHeight="1">
      <c r="A47" s="888"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7">
        <f>F30</f>
        <v>5.6000000000000001E-2</v>
      </c>
      <c r="G48" s="240" t="s">
        <v>2235</v>
      </c>
    </row>
    <row r="49" spans="1:7" ht="16.5" customHeight="1">
      <c r="A49" s="261" t="s">
        <v>2201</v>
      </c>
      <c r="B49" s="216" t="s">
        <v>2275</v>
      </c>
      <c r="C49" s="238">
        <f ca="1">ROUND((C33+C39+C41+C45)/(1-C40-D41-D45-C48),0)</f>
        <v>1836832</v>
      </c>
      <c r="D49" s="238"/>
      <c r="E49" s="238"/>
      <c r="F49" s="270"/>
      <c r="G49" s="240" t="s">
        <v>2237</v>
      </c>
    </row>
    <row r="50" spans="1:7" s="264" customFormat="1">
      <c r="A50" s="261" t="s">
        <v>2238</v>
      </c>
      <c r="B50" s="216" t="s">
        <v>2239</v>
      </c>
      <c r="C50" s="238"/>
      <c r="D50" s="238"/>
      <c r="E50" s="238"/>
      <c r="F50" s="270">
        <f>IF('数据-取费表'!B24=0,'数据-取费表'!N16,1)</f>
        <v>0.78</v>
      </c>
      <c r="G50" s="253"/>
    </row>
    <row r="51" spans="1:7" ht="16.5" customHeight="1">
      <c r="A51" s="261" t="s">
        <v>2241</v>
      </c>
      <c r="B51" s="216" t="s">
        <v>2276</v>
      </c>
      <c r="C51" s="238">
        <f ca="1">ROUND(C49*F50,0)</f>
        <v>1432729</v>
      </c>
      <c r="D51" s="238"/>
      <c r="E51" s="238"/>
      <c r="F51" s="270"/>
      <c r="G51" s="240" t="s">
        <v>2243</v>
      </c>
    </row>
    <row r="52" spans="1:7" s="214" customFormat="1" ht="16.5" thickBot="1">
      <c r="A52" s="271" t="s">
        <v>2244</v>
      </c>
      <c r="B52" s="272"/>
      <c r="C52" s="273">
        <f ca="1">C31+C51</f>
        <v>8808932</v>
      </c>
      <c r="D52" s="272"/>
      <c r="E52" s="272"/>
      <c r="F52" s="272"/>
      <c r="G52" s="274"/>
    </row>
    <row r="55" spans="1:7" ht="15">
      <c r="B55" s="276" t="s">
        <v>2245</v>
      </c>
      <c r="C55" s="277"/>
    </row>
    <row r="56" spans="1:7">
      <c r="B56" s="279" t="s">
        <v>1474</v>
      </c>
      <c r="C56" s="281">
        <f ca="1">1-C57</f>
        <v>0.83699999999999997</v>
      </c>
    </row>
    <row r="57" spans="1:7">
      <c r="B57" s="279" t="s">
        <v>1475</v>
      </c>
      <c r="C57" s="280">
        <f ca="1">ROUND(C51/C52,3)</f>
        <v>0.16300000000000001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2277</v>
      </c>
      <c r="B1" s="1352"/>
      <c r="C1" s="1353"/>
      <c r="D1" s="1351"/>
      <c r="E1" s="3038"/>
      <c r="F1" s="3038"/>
      <c r="G1" s="2901"/>
      <c r="H1" s="3038"/>
      <c r="I1" s="3038"/>
      <c r="J1" s="3038"/>
      <c r="K1" s="3039">
        <f>MATCH(C1,'数据-取费表'!A6:A16,0)+5</f>
        <v>8</v>
      </c>
    </row>
    <row r="2" spans="1:33" ht="18" customHeight="1">
      <c r="A2" s="207" t="s">
        <v>2145</v>
      </c>
      <c r="B2" s="210">
        <f ca="1">C32</f>
        <v>-6</v>
      </c>
      <c r="C2" s="282" t="s">
        <v>2278</v>
      </c>
      <c r="D2" s="282"/>
      <c r="E2" s="3038"/>
      <c r="F2" s="3038"/>
      <c r="G2" s="3038"/>
      <c r="H2" s="3038"/>
      <c r="I2" s="3038"/>
      <c r="J2" s="3038"/>
      <c r="K2" s="3038"/>
    </row>
    <row r="3" spans="1:33" ht="18" customHeight="1" thickBot="1">
      <c r="A3" s="209" t="s">
        <v>2147</v>
      </c>
      <c r="B3" s="210">
        <f ca="1">ROUND(B2*10000/IF(C1="",'数据-汇总表'!E3,INDIRECT("'数据-取费表'!K"&amp;$K$1)),0)</f>
        <v>-250</v>
      </c>
      <c r="C3" s="282" t="s">
        <v>2279</v>
      </c>
      <c r="D3" s="282"/>
      <c r="E3" s="3038"/>
      <c r="F3" s="3038"/>
      <c r="G3" s="3038"/>
      <c r="H3" s="3038"/>
      <c r="I3" s="3038"/>
      <c r="J3" s="3038"/>
      <c r="K3" s="3038"/>
    </row>
    <row r="4" spans="1:33" s="893" customFormat="1" ht="16.5" customHeight="1">
      <c r="A4" s="890" t="s">
        <v>2280</v>
      </c>
      <c r="B4" s="891"/>
      <c r="C4" s="933">
        <f>SUM(C8:K8)</f>
        <v>0</v>
      </c>
      <c r="D4" s="891"/>
      <c r="E4" s="891"/>
      <c r="F4" s="891"/>
      <c r="G4" s="891"/>
      <c r="H4" s="891"/>
      <c r="I4" s="891"/>
      <c r="J4" s="891"/>
      <c r="K4" s="892"/>
    </row>
    <row r="5" spans="1:33" s="897" customFormat="1" ht="24.75">
      <c r="A5" s="894" t="s">
        <v>2281</v>
      </c>
      <c r="B5" s="895" t="s">
        <v>2282</v>
      </c>
      <c r="C5" s="2047" t="s">
        <v>2283</v>
      </c>
      <c r="D5" s="2047" t="s">
        <v>2284</v>
      </c>
      <c r="E5" s="2047" t="s">
        <v>2285</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2289</v>
      </c>
      <c r="B8" s="169" t="s">
        <v>2290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f ca="1">ROUND(C11*F12,0)</f>
        <v>0</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0.05</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240.41</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0</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240.41</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5</v>
      </c>
      <c r="D18" s="955"/>
      <c r="E18" s="24"/>
      <c r="F18" s="913"/>
      <c r="G18" s="2049"/>
      <c r="H18" s="1348"/>
      <c r="I18" s="2050"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5</v>
      </c>
      <c r="D20" s="955">
        <f ca="1">IF(C1="",'数据-汇总表'!E6,IF(INDIRECT("'数据-取费表'!c"&amp;$K$1)="住宅",INDIRECT("'数据-取费表'!s"&amp;$K$1),INDIRECT("'数据-取费表'!k"&amp;$K$1)+INDIRECT("'数据-取费表'!s"&amp;$K$1)))</f>
        <v>240.41</v>
      </c>
      <c r="E20" s="24">
        <f>'数据-取费表'!B28</f>
        <v>200</v>
      </c>
      <c r="F20" s="913"/>
      <c r="G20" s="15"/>
      <c r="H20" s="918"/>
      <c r="I20" s="918"/>
      <c r="J20" s="918"/>
      <c r="K20" s="919"/>
    </row>
    <row r="21" spans="1:33" s="912" customFormat="1" ht="13.5" customHeight="1">
      <c r="A21" s="898" t="s">
        <v>802</v>
      </c>
      <c r="B21" s="922" t="s">
        <v>2314</v>
      </c>
      <c r="C21" s="923">
        <f ca="1">C16+C17+C18</f>
        <v>5</v>
      </c>
      <c r="D21" s="924"/>
      <c r="E21" s="287"/>
      <c r="F21" s="287"/>
      <c r="G21" s="136" t="s">
        <v>2315</v>
      </c>
      <c r="H21" s="916"/>
      <c r="I21" s="916"/>
      <c r="J21" s="916"/>
      <c r="K21" s="917"/>
    </row>
    <row r="22" spans="1:33" s="912" customFormat="1" ht="13.5" customHeight="1">
      <c r="A22" s="898" t="s">
        <v>2287</v>
      </c>
      <c r="B22" s="922" t="s">
        <v>2316</v>
      </c>
      <c r="C22" s="923">
        <f ca="1">ROUND(C21*F22,0)</f>
        <v>0</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2327</v>
      </c>
      <c r="B28" s="2052" t="s">
        <v>2328</v>
      </c>
      <c r="C28" s="293">
        <f ca="1">C30</f>
        <v>1</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f ca="1">ROUND((C21+C22+C23)*F28,0)</f>
        <v>1</v>
      </c>
      <c r="D30" s="290"/>
      <c r="E30" s="291"/>
      <c r="F30" s="296"/>
      <c r="G30" s="136"/>
      <c r="H30" s="916"/>
      <c r="I30" s="916"/>
      <c r="J30" s="916"/>
      <c r="K30" s="917"/>
    </row>
    <row r="31" spans="1:33" s="912" customFormat="1" ht="13.5" customHeight="1" thickBot="1">
      <c r="A31" s="2053" t="s">
        <v>2332</v>
      </c>
      <c r="B31" s="942" t="s">
        <v>2333</v>
      </c>
      <c r="C31" s="943">
        <f>ROUND(C4*F31/(1+'数据-取费表'!C42),0)</f>
        <v>0</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-6</v>
      </c>
      <c r="D32" s="938"/>
      <c r="E32" s="938"/>
      <c r="F32" s="938"/>
      <c r="G32" s="940" t="s">
        <v>2336</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14" sqref="K1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2622</v>
      </c>
      <c r="B1" s="203"/>
      <c r="C1" s="207" t="s">
        <v>2623</v>
      </c>
      <c r="D1" s="348">
        <f>SUM(D29:D30,D33:D39)</f>
        <v>240.41</v>
      </c>
      <c r="E1" s="2182"/>
      <c r="F1" s="2182"/>
      <c r="G1" s="2182"/>
      <c r="H1" s="2182"/>
      <c r="I1" s="2182"/>
      <c r="J1" s="2182"/>
      <c r="K1" s="1279"/>
      <c r="L1" s="2183" t="s">
        <v>2624</v>
      </c>
      <c r="M1" s="994">
        <f>SUMPRODUCT((区片价!B5:B9=I2)*(区片价!C3:F3=E2)*(区片价!C5:F9))</f>
        <v>0</v>
      </c>
      <c r="N1" s="997">
        <f>SUMPRODUCT((因素修正幅度!B5:B9=I2)*(因素修正幅度!C3:F3=E2)*(因素修正幅度!C5:F9))</f>
        <v>0</v>
      </c>
      <c r="O1" s="2184"/>
      <c r="P1" s="2184"/>
      <c r="Q1" s="1279"/>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f ca="1">C26</f>
        <v>475</v>
      </c>
      <c r="C2" s="2186" t="s">
        <v>2631</v>
      </c>
      <c r="D2" s="2187" t="s">
        <v>2632</v>
      </c>
      <c r="E2" s="2188" t="s">
        <v>27</v>
      </c>
      <c r="F2" s="2187" t="s">
        <v>2633</v>
      </c>
      <c r="G2" s="2189" t="str">
        <f>IF(E2="商业",项目基本情况!B37,IF(E2="办公",项目基本情况!C37,IF(E2="住宅",项目基本情况!D37,项目基本情况!E37)))</f>
        <v>二级</v>
      </c>
      <c r="H2" s="2187" t="s">
        <v>2634</v>
      </c>
      <c r="I2" s="2189" t="str">
        <f>IF(E2="商业",项目基本情况!B38,IF(E2="办公",项目基本情况!C38,IF(E2="住宅",项目基本情况!D38,项目基本情况!E38)))</f>
        <v>Ⅱ—17</v>
      </c>
      <c r="J2" s="2190"/>
      <c r="K2" s="1279"/>
      <c r="L2" s="2191" t="s">
        <v>2635</v>
      </c>
      <c r="M2" s="995">
        <f>SUMPRODUCT((区片价!B10:B28=I2)*(区片价!C3:F3=E2)*(区片价!C10:F28))</f>
        <v>23900</v>
      </c>
      <c r="N2" s="997">
        <f>SUMPRODUCT((因素修正幅度!B10:B28=I2)*(因素修正幅度!C3:F3=E2)*(因素修正幅度!C10:F28))</f>
        <v>9.6000000000000002E-2</v>
      </c>
      <c r="O2" s="1279"/>
      <c r="P2" s="1279"/>
      <c r="Q2" s="1279"/>
      <c r="R2" s="1373">
        <v>1</v>
      </c>
      <c r="S2" s="1373">
        <f>ROUND(IF(G3&gt;1,IF(R2&lt;7,SUMPRODUCT((B93:B98=R2)*(C92:N92=G2)*(C93:N98)),SUMIF(C92:N92,G2,C100:N100)),IF(R2&lt;7,SUMPRODUCT((B102:B107=R2)*(C92:N92=G2)*(C102:N107)),SUMIF(C92:N92,G2,C109:N109))),4)</f>
        <v>1.9361999999999999</v>
      </c>
      <c r="T2" s="1373">
        <f ca="1">ROUND($C$5*$C$18*$C$19*$C$20*S2*$C$24,0)</f>
        <v>54523</v>
      </c>
      <c r="U2" s="1374"/>
      <c r="V2" s="1373">
        <f ca="1">ROUND(T2*U2/10000,0)</f>
        <v>0</v>
      </c>
      <c r="W2" s="1377"/>
      <c r="X2" s="1377"/>
      <c r="Y2" s="1377"/>
      <c r="Z2" s="1377"/>
      <c r="AA2" s="1377"/>
      <c r="AB2" s="1377"/>
      <c r="AC2" s="1378"/>
      <c r="AD2" s="1379"/>
      <c r="AE2" s="1379"/>
      <c r="AF2" s="1379"/>
      <c r="AG2" s="1379"/>
      <c r="AH2" s="1379"/>
      <c r="AI2" s="1379"/>
      <c r="AJ2" s="1380"/>
    </row>
    <row r="3" spans="1:36" ht="25.5">
      <c r="A3" s="209" t="s">
        <v>2636</v>
      </c>
      <c r="B3" s="210">
        <f ca="1">ROUND(B2*10000/D1,0)</f>
        <v>19758</v>
      </c>
      <c r="C3" s="2186" t="s">
        <v>2637</v>
      </c>
      <c r="D3" s="2187" t="s">
        <v>2638</v>
      </c>
      <c r="E3" s="2192" t="s">
        <v>3222</v>
      </c>
      <c r="F3" s="2193" t="s">
        <v>2639</v>
      </c>
      <c r="G3" s="855">
        <f>IF(F3="宗地容积率",'数据-汇总表'!I4,IF(F3="估价对象容积率",'数据-汇总表'!I6,'数据-汇总表'!I7))</f>
        <v>20.64</v>
      </c>
      <c r="H3" s="175" t="s">
        <v>2640</v>
      </c>
      <c r="I3" s="881"/>
      <c r="J3" s="2190" t="s">
        <v>2641</v>
      </c>
      <c r="K3" s="1279"/>
      <c r="L3" s="2191" t="s">
        <v>2642</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39981</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299"/>
      <c r="B4" s="3300"/>
      <c r="C4" s="3300"/>
      <c r="D4" s="3301"/>
      <c r="E4" s="3301"/>
      <c r="F4" s="3301"/>
      <c r="G4" s="3301"/>
      <c r="H4" s="3301"/>
      <c r="I4" s="3301"/>
      <c r="J4" s="3302"/>
      <c r="K4" s="1279"/>
      <c r="L4" s="2191" t="s">
        <v>2643</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32648</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2644</v>
      </c>
      <c r="C5" s="856">
        <f>ROUND(IF(E2="商业",C6*C7+C16,(IF(E2="住宅",C6*C12+C16,C6+C16))),0)</f>
        <v>23883</v>
      </c>
      <c r="D5" s="1524">
        <f>ROUND(C6+C16,0)</f>
        <v>23883</v>
      </c>
      <c r="E5" s="1524"/>
      <c r="F5" s="2196"/>
      <c r="G5" s="2197"/>
      <c r="H5" s="2197"/>
      <c r="I5" s="2197"/>
      <c r="J5" s="2198"/>
      <c r="K5" s="2199"/>
      <c r="L5" s="2191" t="s">
        <v>2645</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27095</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2646</v>
      </c>
      <c r="B6" s="2205" t="s">
        <v>2647</v>
      </c>
      <c r="C6" s="857">
        <f>SUMIF(L1:L12,G2,M1:M12)</f>
        <v>23900</v>
      </c>
      <c r="D6" s="2206" t="s">
        <v>2648</v>
      </c>
      <c r="E6" s="2207"/>
      <c r="F6" s="2207"/>
      <c r="G6" s="2208"/>
      <c r="H6" s="2208"/>
      <c r="I6" s="2208"/>
      <c r="J6" s="2209"/>
      <c r="K6" s="1569"/>
      <c r="L6" s="2191" t="s">
        <v>2649</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23702</v>
      </c>
      <c r="U6" s="1374"/>
      <c r="V6" s="1373">
        <f t="shared" ca="1" si="1"/>
        <v>0</v>
      </c>
      <c r="W6" s="1377"/>
      <c r="X6" s="1377"/>
      <c r="Y6" s="1377"/>
      <c r="Z6" s="1377"/>
      <c r="AA6" s="1377"/>
      <c r="AB6" s="1377"/>
      <c r="AC6" s="2200"/>
      <c r="AD6" s="2201"/>
      <c r="AE6" s="2201"/>
      <c r="AF6" s="2201"/>
      <c r="AG6" s="2201"/>
      <c r="AH6" s="2201"/>
      <c r="AI6" s="2201"/>
      <c r="AJ6" s="2202"/>
    </row>
    <row r="7" spans="1:36" ht="24">
      <c r="A7" s="3280" t="str">
        <f>IF(E2="商业",IF(C8="不临58条商业街","",2),"")</f>
        <v/>
      </c>
      <c r="B7" s="2210" t="s">
        <v>2650</v>
      </c>
      <c r="C7" s="858" t="e">
        <f>IF(C8="不临58条商业街",1,ROUND(1+(1.6*E8+1.2*E9+0.8*E10+0.4*E11)*C9,4))</f>
        <v>#DIV/0!</v>
      </c>
      <c r="D7" s="2211" t="s">
        <v>2651</v>
      </c>
      <c r="E7" s="882"/>
      <c r="F7" s="2212"/>
      <c r="G7" s="2213"/>
      <c r="H7" s="2213"/>
      <c r="I7" s="2213"/>
      <c r="J7" s="2214"/>
      <c r="K7" s="1569"/>
      <c r="L7" s="2191" t="s">
        <v>2652</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21424</v>
      </c>
      <c r="U7" s="1374"/>
      <c r="V7" s="1373">
        <f t="shared" ca="1" si="1"/>
        <v>0</v>
      </c>
      <c r="W7" s="1543" t="s">
        <v>2653</v>
      </c>
      <c r="X7" s="1375" t="str">
        <f>G2</f>
        <v>二级</v>
      </c>
      <c r="Y7" s="1375" t="s">
        <v>2654</v>
      </c>
      <c r="Z7" s="1376">
        <f>G3</f>
        <v>20.64</v>
      </c>
      <c r="AA7" s="1377"/>
      <c r="AB7" s="1377"/>
      <c r="AC7" s="1378"/>
      <c r="AD7" s="1379"/>
      <c r="AE7" s="1379"/>
      <c r="AF7" s="1379"/>
      <c r="AG7" s="1379"/>
      <c r="AH7" s="1379"/>
      <c r="AI7" s="1379"/>
      <c r="AJ7" s="1380"/>
    </row>
    <row r="8" spans="1:36" ht="15">
      <c r="A8" s="3303"/>
      <c r="B8" s="175" t="s">
        <v>2655</v>
      </c>
      <c r="C8" s="2215"/>
      <c r="D8" s="859" t="s">
        <v>139</v>
      </c>
      <c r="E8" s="860" t="e">
        <f>ROUND(C11/E7,4)</f>
        <v>#DIV/0!</v>
      </c>
      <c r="F8" s="2216" t="s">
        <v>2656</v>
      </c>
      <c r="G8" s="2217"/>
      <c r="H8" s="2217"/>
      <c r="I8" s="2217"/>
      <c r="J8" s="2218"/>
      <c r="K8" s="1279"/>
      <c r="L8" s="2191" t="s">
        <v>2657</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296" t="s">
        <v>2658</v>
      </c>
      <c r="X8" s="3297"/>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03"/>
      <c r="B9" s="175" t="s">
        <v>2671</v>
      </c>
      <c r="C9" s="861">
        <f>SUMIF(修正!C59:C119,C8,修正!E59:E119)</f>
        <v>0</v>
      </c>
      <c r="D9" s="176" t="s">
        <v>140</v>
      </c>
      <c r="E9" s="176" t="e">
        <f>ROUND(C11/E7,4)</f>
        <v>#DIV/0!</v>
      </c>
      <c r="F9" s="2216" t="s">
        <v>2672</v>
      </c>
      <c r="G9" s="2217"/>
      <c r="H9" s="2217"/>
      <c r="I9" s="2217"/>
      <c r="J9" s="2218"/>
      <c r="K9" s="1279"/>
      <c r="L9" s="2191" t="s">
        <v>2673</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298" t="s">
        <v>2674</v>
      </c>
      <c r="X9" s="1382" t="s">
        <v>2675</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3"/>
      <c r="B10" s="175" t="s">
        <v>2676</v>
      </c>
      <c r="C10" s="176">
        <f>SUMIF(修正!C59:C119,C8,修正!F59:F119)</f>
        <v>0</v>
      </c>
      <c r="D10" s="176" t="s">
        <v>141</v>
      </c>
      <c r="E10" s="176" t="e">
        <f>ROUND(C11/E7,4)</f>
        <v>#DIV/0!</v>
      </c>
      <c r="F10" s="2216" t="s">
        <v>2677</v>
      </c>
      <c r="G10" s="2217"/>
      <c r="H10" s="2217"/>
      <c r="I10" s="2217"/>
      <c r="J10" s="2218"/>
      <c r="K10" s="1279"/>
      <c r="L10" s="2191" t="s">
        <v>2678</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29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3"/>
      <c r="B11" s="2219" t="s">
        <v>2679</v>
      </c>
      <c r="C11" s="862">
        <f>C10/4</f>
        <v>0</v>
      </c>
      <c r="D11" s="862" t="s">
        <v>142</v>
      </c>
      <c r="E11" s="862" t="e">
        <f>ROUND(C11/E7,4)</f>
        <v>#DIV/0!</v>
      </c>
      <c r="F11" s="2220" t="s">
        <v>2680</v>
      </c>
      <c r="G11" s="2221"/>
      <c r="H11" s="2221"/>
      <c r="I11" s="2221"/>
      <c r="J11" s="2222"/>
      <c r="K11" s="1279"/>
      <c r="L11" s="2191" t="s">
        <v>2681</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298" t="s">
        <v>2682</v>
      </c>
      <c r="X11" s="1385" t="s">
        <v>2683</v>
      </c>
      <c r="Y11" s="1386">
        <f>$G$3</f>
        <v>20.64</v>
      </c>
      <c r="Z11" s="1386">
        <f t="shared" ref="Z11:AJ11" si="3">$G$3</f>
        <v>20.64</v>
      </c>
      <c r="AA11" s="1386">
        <f t="shared" si="3"/>
        <v>20.64</v>
      </c>
      <c r="AB11" s="1386">
        <f t="shared" si="3"/>
        <v>20.64</v>
      </c>
      <c r="AC11" s="1386">
        <f t="shared" si="3"/>
        <v>20.64</v>
      </c>
      <c r="AD11" s="1386">
        <f t="shared" si="3"/>
        <v>20.64</v>
      </c>
      <c r="AE11" s="1386">
        <f t="shared" si="3"/>
        <v>20.64</v>
      </c>
      <c r="AF11" s="1386">
        <f t="shared" si="3"/>
        <v>20.64</v>
      </c>
      <c r="AG11" s="1386">
        <f t="shared" si="3"/>
        <v>20.64</v>
      </c>
      <c r="AH11" s="1386">
        <f t="shared" si="3"/>
        <v>20.64</v>
      </c>
      <c r="AI11" s="1386">
        <f t="shared" si="3"/>
        <v>20.64</v>
      </c>
      <c r="AJ11" s="1386">
        <f t="shared" si="3"/>
        <v>20.64</v>
      </c>
    </row>
    <row r="12" spans="1:36" ht="25.5" thickBot="1">
      <c r="A12" s="3280" t="s">
        <v>2684</v>
      </c>
      <c r="B12" s="2223" t="s">
        <v>2685</v>
      </c>
      <c r="C12" s="858">
        <f>ROUND(C15*D15*E15*F15*G15*H15*I15*J15,4)</f>
        <v>1</v>
      </c>
      <c r="D12" s="2224" t="s">
        <v>2686</v>
      </c>
      <c r="E12" s="2225"/>
      <c r="F12" s="2225"/>
      <c r="G12" s="2226"/>
      <c r="H12" s="2226"/>
      <c r="I12" s="2226"/>
      <c r="J12" s="2227"/>
      <c r="K12" s="1279"/>
      <c r="L12" s="2228" t="s">
        <v>2687</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298"/>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4"/>
      <c r="B13" s="2229" t="s">
        <v>2689</v>
      </c>
      <c r="C13" s="2230" t="s">
        <v>2690</v>
      </c>
      <c r="D13" s="1535" t="s">
        <v>2691</v>
      </c>
      <c r="E13" s="1535" t="s">
        <v>2692</v>
      </c>
      <c r="F13" s="30" t="s">
        <v>2693</v>
      </c>
      <c r="G13" s="2231" t="s">
        <v>2694</v>
      </c>
      <c r="H13" s="2231" t="s">
        <v>2694</v>
      </c>
      <c r="I13" s="2231" t="s">
        <v>2694</v>
      </c>
      <c r="J13" s="2232" t="s">
        <v>2694</v>
      </c>
      <c r="K13" s="1279"/>
      <c r="L13" s="1279"/>
      <c r="M13" s="1279"/>
      <c r="N13" s="1279"/>
      <c r="O13" s="1279"/>
      <c r="P13" s="1279"/>
      <c r="Q13" s="1279"/>
      <c r="R13" s="1373">
        <v>12</v>
      </c>
      <c r="S13" s="1374"/>
      <c r="T13" s="1373">
        <f t="shared" ca="1" si="0"/>
        <v>0</v>
      </c>
      <c r="U13" s="1374"/>
      <c r="V13" s="1373">
        <f t="shared" ca="1" si="1"/>
        <v>0</v>
      </c>
      <c r="W13" s="3298"/>
      <c r="X13" s="1387"/>
      <c r="Y13" s="1384">
        <f>(-0.163*(Y12^2)-0.59*Y12+7617)*(10^(-4))/Y11</f>
        <v>3.6904069767441865E-2</v>
      </c>
      <c r="Z13" s="1384">
        <f t="shared" ref="Z13:AJ13" si="5">(-0.163*(Z12^2)-0.59*Z12+7617)*(10^(-4))/Z11</f>
        <v>3.6904069767441865E-2</v>
      </c>
      <c r="AA13" s="1384">
        <f t="shared" si="5"/>
        <v>3.6904069767441865E-2</v>
      </c>
      <c r="AB13" s="1384">
        <f t="shared" si="5"/>
        <v>3.6904069767441865E-2</v>
      </c>
      <c r="AC13" s="1384">
        <f t="shared" si="5"/>
        <v>3.6904069767441865E-2</v>
      </c>
      <c r="AD13" s="1384">
        <f t="shared" si="5"/>
        <v>3.6904069767441865E-2</v>
      </c>
      <c r="AE13" s="1384">
        <f t="shared" si="5"/>
        <v>3.6904069767441865E-2</v>
      </c>
      <c r="AF13" s="1384">
        <f t="shared" si="5"/>
        <v>3.6904069767441865E-2</v>
      </c>
      <c r="AG13" s="1384">
        <f t="shared" si="5"/>
        <v>3.6904069767441865E-2</v>
      </c>
      <c r="AH13" s="1384">
        <f t="shared" si="5"/>
        <v>3.6904069767441865E-2</v>
      </c>
      <c r="AI13" s="1384">
        <f t="shared" si="5"/>
        <v>3.6904069767441865E-2</v>
      </c>
      <c r="AJ13" s="1384">
        <f t="shared" si="5"/>
        <v>3.6904069767441865E-2</v>
      </c>
    </row>
    <row r="14" spans="1:36" ht="15">
      <c r="A14" s="3304"/>
      <c r="B14" s="2233"/>
      <c r="C14" s="2234"/>
      <c r="D14" s="2235"/>
      <c r="E14" s="2235"/>
      <c r="F14" s="2236"/>
      <c r="G14" s="2237" t="s">
        <v>2695</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thickBot="1">
      <c r="A15" s="3305"/>
      <c r="B15" s="2241" t="s">
        <v>2696</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280" t="s">
        <v>2701</v>
      </c>
      <c r="B16" s="2210" t="s">
        <v>2702</v>
      </c>
      <c r="C16" s="2372">
        <f>ROUND(IF(F17="与级别开发程度一致",0,(G17-E17)/C17),0)</f>
        <v>-17</v>
      </c>
      <c r="D16" s="3293" t="s">
        <v>2706</v>
      </c>
      <c r="E16" s="3294"/>
      <c r="F16" s="3293" t="s">
        <v>2703</v>
      </c>
      <c r="G16" s="3294"/>
      <c r="H16" s="2242" t="s">
        <v>3223</v>
      </c>
      <c r="I16" s="2242" t="s">
        <v>3224</v>
      </c>
      <c r="J16" s="2376" t="s">
        <v>3225</v>
      </c>
      <c r="K16" s="2242" t="s">
        <v>3226</v>
      </c>
      <c r="L16" s="2242" t="s">
        <v>3227</v>
      </c>
      <c r="M16" s="2242" t="s">
        <v>3228</v>
      </c>
      <c r="N16" s="2242" t="s">
        <v>3229</v>
      </c>
      <c r="O16" s="2243"/>
      <c r="P16" s="2184"/>
      <c r="Q16" s="1279"/>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281"/>
      <c r="B17" s="2383" t="s">
        <v>2705</v>
      </c>
      <c r="C17" s="2384">
        <f>SUMPRODUCT((修正!A2:A5=E2)*(修正!B1:M1=G2)*(修正!B2:M5))</f>
        <v>3.5</v>
      </c>
      <c r="D17" s="193" t="str">
        <f>IF(OR(G2="八级",G2="九级",G2="十级",G2="十一级",G2="十二级"),"五通一平","七通一平")</f>
        <v>七通一平</v>
      </c>
      <c r="E17" s="2373">
        <f>SUMPRODUCT((修正!B1:M1=G2)*(修正!B15:M15))</f>
        <v>375</v>
      </c>
      <c r="F17" s="2374" t="s">
        <v>3230</v>
      </c>
      <c r="G17" s="2375">
        <f>SUM(H17:O17)</f>
        <v>315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50</v>
      </c>
      <c r="N17" s="2384">
        <f>SUMPRODUCT((七通一平=N16)*(修正!B1:M1=G2)*(修正!B6:M14))</f>
        <v>20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2708</v>
      </c>
      <c r="C18" s="2379">
        <f>SUMIF(修正!C18:C39,E3,修正!E18:E39)</f>
        <v>1</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2709</v>
      </c>
      <c r="C19" s="863">
        <f>ROUND(IF(H19="按公示增长率计算",SUMPRODUCT((地价!A3:A33=YEAR(G19)&amp;"-"&amp;ROUNDUP(MONTH(G19)/3,0))*(地价!X2:AB2=E2)*(地价!X3:AB33)),IF(H19="地价指数",M20/M19,(1+I19)^O19)),4)</f>
        <v>1.345</v>
      </c>
      <c r="D19" s="2252" t="s">
        <v>2710</v>
      </c>
      <c r="E19" s="864">
        <v>41640</v>
      </c>
      <c r="F19" s="2252" t="s">
        <v>2711</v>
      </c>
      <c r="G19" s="865">
        <f>'数据-取费表'!B2</f>
        <v>44222</v>
      </c>
      <c r="H19" s="2253" t="s">
        <v>3231</v>
      </c>
      <c r="I19" s="866" t="str">
        <f>IF(H19="季度增幅（自定义）",SUMIF(N21:N24,E2,O21:O24),"")</f>
        <v/>
      </c>
      <c r="J19" s="2250"/>
      <c r="K19" s="1286"/>
      <c r="L19" s="2254" t="s">
        <v>2712</v>
      </c>
      <c r="M19" s="1497">
        <f>ROUND(SUMIF(地价!B2:F2,E2,地价!B33:F33),0)</f>
        <v>258</v>
      </c>
      <c r="N19" s="2255" t="s">
        <v>2713</v>
      </c>
      <c r="O19" s="867">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2714</v>
      </c>
      <c r="C20" s="868">
        <f ca="1">ROUND(POWER(1+G20,J20-I20)*(POWER(1+G20,I20)-1)/(POWER(1+G20,J20)-1),4)</f>
        <v>0.83599999999999997</v>
      </c>
      <c r="D20" s="2259" t="s">
        <v>2715</v>
      </c>
      <c r="E20" s="1506">
        <f ca="1">存贷款利率!D4/100</f>
        <v>4.3499999999999997E-2</v>
      </c>
      <c r="F20" s="2259" t="s">
        <v>2707</v>
      </c>
      <c r="G20" s="873">
        <f ca="1">SUMIF(M26:P26,E2,M28:P28)</f>
        <v>5.1999999999999998E-2</v>
      </c>
      <c r="H20" s="2259" t="s">
        <v>2716</v>
      </c>
      <c r="I20" s="874">
        <f>SUMIF('数据-取费表'!C6:C15,E2,'数据-取费表'!F6:F15)/COUNTIF('数据-取费表'!C6:C15,E2)</f>
        <v>28.97</v>
      </c>
      <c r="J20" s="875">
        <f>IF(E2="住宅",70,IF(E2="商业",40,50))</f>
        <v>50</v>
      </c>
      <c r="K20" s="1286"/>
      <c r="L20" s="2260" t="s">
        <v>2717</v>
      </c>
      <c r="M20" s="1498">
        <f>ROUND(SUMPRODUCT((地价!A4:A33=YEAR(G19)&amp;"-"&amp;ROUNDUP(MONTH(G19)/3,0))*(地价!B2:F2=E2)*(地价!B4:F33)),0)</f>
        <v>347</v>
      </c>
      <c r="N20" s="2261" t="s">
        <v>2718</v>
      </c>
      <c r="O20" s="2262" t="s">
        <v>2719</v>
      </c>
      <c r="P20" s="2263" t="s">
        <v>2720</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3236</v>
      </c>
      <c r="C21" s="876">
        <f>IF(B21="容积率修正",IF(G3&lt;=10,D22,J22),C23)</f>
        <v>0.70130000000000003</v>
      </c>
      <c r="D21" s="2266"/>
      <c r="E21" s="2266"/>
      <c r="F21" s="2266"/>
      <c r="G21" s="2266"/>
      <c r="H21" s="2266"/>
      <c r="I21" s="2266"/>
      <c r="J21" s="2267"/>
      <c r="K21" s="1286"/>
      <c r="L21" s="3020"/>
      <c r="M21" s="3020"/>
      <c r="N21" s="2268" t="s">
        <v>2721</v>
      </c>
      <c r="O21" s="1334"/>
      <c r="P21" s="1335">
        <f>SUMPRODUCT((地价!A3:A33=YEAR(G19)&amp;"-"&amp;ROUNDUP(MONTH(G19)/3,0))*(地价!AD2:AH2=N21)*(地价!AD3:AH33))</f>
        <v>1.12E-2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2722</v>
      </c>
      <c r="B22" s="2269" t="s">
        <v>2723</v>
      </c>
      <c r="C22" s="1537" t="s">
        <v>2724</v>
      </c>
      <c r="D22" s="1537" t="str">
        <f>IF(E22=G22,F22,IF(G3&lt;=10,ROUND(F22+(H22-F22)*(G3-E22)/(G22-E22),4),"——"))</f>
        <v>——</v>
      </c>
      <c r="E22" s="855">
        <f>ROUNDDOWN(G3,1)</f>
        <v>20.6</v>
      </c>
      <c r="F22" s="153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20.700000000000003</v>
      </c>
      <c r="H22" s="153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7" t="s">
        <v>155</v>
      </c>
      <c r="J22" s="877">
        <f>IF(G3&gt;10,D113,"——")</f>
        <v>0.70130000000000003</v>
      </c>
      <c r="K22" s="1286"/>
      <c r="L22" s="3020"/>
      <c r="M22" s="3020"/>
      <c r="N22" s="2268" t="s">
        <v>2725</v>
      </c>
      <c r="O22" s="1334"/>
      <c r="P22" s="1335">
        <f>SUMPRODUCT((地价!A3:A33=YEAR(G19)&amp;"-"&amp;ROUNDUP(MONTH(G19)/3,0))*(地价!AD2:AH2=N22)*(地价!AD3:AH33))</f>
        <v>1.12E-2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2726</v>
      </c>
      <c r="B23" s="2270" t="s">
        <v>2727</v>
      </c>
      <c r="C23" s="950">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2728</v>
      </c>
      <c r="O23" s="1334"/>
      <c r="P23" s="1335">
        <f>SUMPRODUCT((地价!A3:A33=YEAR(G19)&amp;"-"&amp;ROUNDUP(MONTH(G19)/3,0))*(地价!AD2:AH2=N23)*(地价!AD3:AH33))</f>
        <v>1.9300000000000001E-2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2729</v>
      </c>
      <c r="C24" s="863">
        <f>SUMIF(A45:A88,E2,B45:B88)</f>
        <v>1.0486</v>
      </c>
      <c r="D24" s="2249"/>
      <c r="E24" s="2276"/>
      <c r="F24" s="2276"/>
      <c r="G24" s="2276"/>
      <c r="H24" s="2276"/>
      <c r="I24" s="2276"/>
      <c r="J24" s="2277"/>
      <c r="K24" s="1286"/>
      <c r="L24" s="3020"/>
      <c r="M24" s="3020"/>
      <c r="N24" s="2278" t="s">
        <v>2730</v>
      </c>
      <c r="O24" s="1336"/>
      <c r="P24" s="1337">
        <f>SUMPRODUCT((地价!A3:A33=YEAR(G19)&amp;"-"&amp;ROUNDUP(MONTH(G19)/3,0))*(地价!AD2:AH2=N24)*(地价!AD3:AH33))</f>
        <v>1.2800000000000001E-2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2731</v>
      </c>
      <c r="C25" s="869"/>
      <c r="D25" s="2213"/>
      <c r="E25" s="2213"/>
      <c r="F25" s="2280"/>
      <c r="G25" s="2213"/>
      <c r="H25" s="2213"/>
      <c r="I25" s="2213"/>
      <c r="J25" s="2214"/>
      <c r="K25" s="1279"/>
      <c r="L25" s="2184"/>
      <c r="M25" s="2184"/>
      <c r="N25" s="3015" t="s">
        <v>2732</v>
      </c>
      <c r="O25" s="3016"/>
      <c r="P25" s="3017">
        <f>SUMPRODUCT((地价!A3:A33=YEAR(G19)&amp;"-"&amp;ROUNDUP(MONTH(G19)/3,0))*(地价!AD2:AH2=N25)*(地价!AD3:AH33))</f>
        <v>1.7500000000000002E-2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2733</v>
      </c>
      <c r="C26" s="2543">
        <f ca="1">IF(B21="容积率修正",E29+SUM(E33:E39),SUM(V2:V16)+SUM(E33:E39))</f>
        <v>475</v>
      </c>
      <c r="D26" s="2282"/>
      <c r="E26" s="2238"/>
      <c r="F26" s="2283"/>
      <c r="G26" s="2238"/>
      <c r="H26" s="2238"/>
      <c r="I26" s="2238"/>
      <c r="J26" s="2284"/>
      <c r="K26" s="1279"/>
      <c r="L26" s="3018" t="s">
        <v>2632</v>
      </c>
      <c r="M26" s="2211" t="s">
        <v>2697</v>
      </c>
      <c r="N26" s="2211" t="s">
        <v>2698</v>
      </c>
      <c r="O26" s="2211" t="s">
        <v>2699</v>
      </c>
      <c r="P26" s="3019" t="s">
        <v>2700</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2734</v>
      </c>
      <c r="C27" s="870">
        <f ca="1">E30+SUM(I33:I39)</f>
        <v>0</v>
      </c>
      <c r="D27" s="2286"/>
      <c r="E27" s="2287"/>
      <c r="F27" s="2288"/>
      <c r="G27" s="2287"/>
      <c r="H27" s="2287"/>
      <c r="I27" s="2287"/>
      <c r="J27" s="2289"/>
      <c r="K27" s="1279"/>
      <c r="L27" s="2244" t="s">
        <v>2704</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2735</v>
      </c>
      <c r="C28" s="2292" t="s">
        <v>2736</v>
      </c>
      <c r="D28" s="2292" t="s">
        <v>2737</v>
      </c>
      <c r="E28" s="2293" t="s">
        <v>2738</v>
      </c>
      <c r="F28" s="2294"/>
      <c r="G28" s="2226"/>
      <c r="H28" s="2226"/>
      <c r="I28" s="2226"/>
      <c r="J28" s="2227"/>
      <c r="K28" s="1279"/>
      <c r="L28" s="2245" t="s">
        <v>2707</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2739</v>
      </c>
      <c r="C29" s="180">
        <f ca="1">ROUND(C5*C18*C19*C20*C21*C24,0)</f>
        <v>19748</v>
      </c>
      <c r="D29" s="2297">
        <f>'数据-汇总表'!F19</f>
        <v>240.41</v>
      </c>
      <c r="E29" s="879">
        <f ca="1">ROUND(C29*D29/10000,0)</f>
        <v>475</v>
      </c>
      <c r="F29" s="2298" t="s">
        <v>2740</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2741</v>
      </c>
      <c r="C30" s="193">
        <f ca="1">ROUND(IF(E2="工业",C29*M39,C29*M38),0)</f>
        <v>4937</v>
      </c>
      <c r="D30" s="2303"/>
      <c r="E30" s="879">
        <f ca="1">ROUND(C30*D30/10000,0)</f>
        <v>0</v>
      </c>
      <c r="F30" s="2304" t="s">
        <v>2742</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2743</v>
      </c>
      <c r="C31" s="2309" t="s">
        <v>2744</v>
      </c>
      <c r="D31" s="2226"/>
      <c r="E31" s="2309"/>
      <c r="F31" s="2309"/>
      <c r="G31" s="2224" t="s">
        <v>2745</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2736</v>
      </c>
      <c r="D32" s="455" t="s">
        <v>2737</v>
      </c>
      <c r="E32" s="455" t="s">
        <v>2738</v>
      </c>
      <c r="F32" s="348" t="s">
        <v>2746</v>
      </c>
      <c r="G32" s="2312" t="s">
        <v>2736</v>
      </c>
      <c r="H32" s="2312" t="s">
        <v>2737</v>
      </c>
      <c r="I32" s="2312" t="s">
        <v>2738</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90"/>
      <c r="B33" s="2313" t="s">
        <v>2747</v>
      </c>
      <c r="C33" s="180">
        <f ca="1">ROUND(D5*C19*C20*C24*F33,0)</f>
        <v>22528</v>
      </c>
      <c r="D33" s="2297"/>
      <c r="E33" s="176">
        <f ca="1">ROUND(C33*D33/10000,0)</f>
        <v>0</v>
      </c>
      <c r="F33" s="176">
        <f>SUMIF(修正!A45:A56,G2,修正!B45:B56)</f>
        <v>0.8</v>
      </c>
      <c r="G33" s="176">
        <f t="shared" ref="G33" ca="1" si="6">ROUND(IF(E2="工业",C33*$M$39,C33*$M$38),0)</f>
        <v>5632</v>
      </c>
      <c r="H33" s="176">
        <f>D33</f>
        <v>0</v>
      </c>
      <c r="I33" s="176">
        <f ca="1">ROUND(G33*H33/10000,0)</f>
        <v>0</v>
      </c>
      <c r="J33" s="3295"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91"/>
      <c r="B34" s="2230" t="s">
        <v>2748</v>
      </c>
      <c r="C34" s="180">
        <f ca="1">ROUND(D5*C19*C20*C24*F34,0)</f>
        <v>14080</v>
      </c>
      <c r="D34" s="2297"/>
      <c r="E34" s="176">
        <f t="shared" ref="E34:E39" ca="1" si="7">ROUND(C34*D34/10000,0)</f>
        <v>0</v>
      </c>
      <c r="F34" s="176">
        <f>SUMIF(修正!A45:A56,G2,修正!C45:C56)</f>
        <v>0.5</v>
      </c>
      <c r="G34" s="176">
        <f ca="1">ROUND(IF(E2="工业",C34*$M$39,C34*$M$38),0)</f>
        <v>3520</v>
      </c>
      <c r="H34" s="176">
        <f t="shared" ref="H34:H39" si="8">D34</f>
        <v>0</v>
      </c>
      <c r="I34" s="176">
        <f t="shared" ref="I34:I39" ca="1" si="9">ROUND(G34*H34/10000,0)</f>
        <v>0</v>
      </c>
      <c r="J34" s="329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91"/>
      <c r="B35" s="2230" t="s">
        <v>2749</v>
      </c>
      <c r="C35" s="180">
        <f ca="1">ROUND(D5*C19*C20*C24*F35,0)</f>
        <v>10137</v>
      </c>
      <c r="D35" s="2297"/>
      <c r="E35" s="176">
        <f t="shared" ca="1" si="7"/>
        <v>0</v>
      </c>
      <c r="F35" s="176">
        <f>SUMIF(修正!A45:A56,G2,修正!D45:D56)</f>
        <v>0.36</v>
      </c>
      <c r="G35" s="176">
        <f ca="1">ROUND(IF(E2="工业",C35*$M$39,C35*$M$38),0)</f>
        <v>2534</v>
      </c>
      <c r="H35" s="176">
        <f t="shared" si="8"/>
        <v>0</v>
      </c>
      <c r="I35" s="176">
        <f t="shared" ca="1" si="9"/>
        <v>0</v>
      </c>
      <c r="J35" s="329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92"/>
      <c r="B36" s="2230" t="s">
        <v>2750</v>
      </c>
      <c r="C36" s="180">
        <f ca="1">ROUND(D5*C19*C20*C24*F36,0)</f>
        <v>8448</v>
      </c>
      <c r="D36" s="2297"/>
      <c r="E36" s="176">
        <f t="shared" ca="1" si="7"/>
        <v>0</v>
      </c>
      <c r="F36" s="176">
        <f>SUMIF(修正!A45:A56,G2,修正!E45:E56)</f>
        <v>0.3</v>
      </c>
      <c r="G36" s="176">
        <f ca="1">ROUND(IF(E2="工业",C36*$M$39,C36*$M$38),0)</f>
        <v>2112</v>
      </c>
      <c r="H36" s="176">
        <f t="shared" si="8"/>
        <v>0</v>
      </c>
      <c r="I36" s="176">
        <f t="shared" ca="1" si="9"/>
        <v>0</v>
      </c>
      <c r="J36" s="3292"/>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2751</v>
      </c>
      <c r="C37" s="176">
        <f ca="1">ROUND(D5*C19*C20*C24*F37,0)</f>
        <v>8448</v>
      </c>
      <c r="D37" s="2297"/>
      <c r="E37" s="176">
        <f t="shared" ca="1" si="7"/>
        <v>0</v>
      </c>
      <c r="F37" s="180">
        <f>SUMIF(修正!A45:A56,G2,修正!F45:F56)</f>
        <v>0.3</v>
      </c>
      <c r="G37" s="176">
        <f ca="1">ROUND(IF(E2="工业",C37*$M$39,C37*$M$38),0)</f>
        <v>2112</v>
      </c>
      <c r="H37" s="176">
        <f t="shared" si="8"/>
        <v>0</v>
      </c>
      <c r="I37" s="176">
        <f t="shared" ca="1" si="9"/>
        <v>0</v>
      </c>
      <c r="J37" s="2314"/>
      <c r="K37" s="1279"/>
      <c r="L37" s="2316" t="s">
        <v>2752</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2753</v>
      </c>
      <c r="C38" s="176">
        <f ca="1">ROUND(D5*C19*C41*C24*F38,0)</f>
        <v>8448</v>
      </c>
      <c r="D38" s="2297"/>
      <c r="E38" s="176">
        <f t="shared" ca="1" si="7"/>
        <v>0</v>
      </c>
      <c r="F38" s="180">
        <f>SUMIF(修正!A45:A56,G2,修正!G45:G56)</f>
        <v>0.3</v>
      </c>
      <c r="G38" s="176">
        <f ca="1">ROUND(IF(E2="工业",C38*$M$39,C38*$M$38),0)</f>
        <v>2112</v>
      </c>
      <c r="H38" s="176">
        <f t="shared" si="8"/>
        <v>0</v>
      </c>
      <c r="I38" s="176">
        <f t="shared" ca="1" si="9"/>
        <v>0</v>
      </c>
      <c r="J38" s="2314"/>
      <c r="K38" s="1279"/>
      <c r="L38" s="1606" t="s">
        <v>2754</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2755</v>
      </c>
      <c r="C39" s="193">
        <f ca="1">ROUND(D5*C19*C41*C24*F39,0)</f>
        <v>7040</v>
      </c>
      <c r="D39" s="2303">
        <f>'数据-汇总表'!G20</f>
        <v>0</v>
      </c>
      <c r="E39" s="193">
        <f t="shared" ca="1" si="7"/>
        <v>0</v>
      </c>
      <c r="F39" s="871">
        <f>SUMIF(修正!A45:A56,G2,修正!H45:H56)</f>
        <v>0.25</v>
      </c>
      <c r="G39" s="193">
        <f ca="1">ROUND(IF(E2="工业",C39*$M$39,C39*$M$38),0)</f>
        <v>1760</v>
      </c>
      <c r="H39" s="193">
        <f t="shared" si="8"/>
        <v>0</v>
      </c>
      <c r="I39" s="193">
        <f t="shared" ca="1" si="9"/>
        <v>0</v>
      </c>
      <c r="J39" s="2320"/>
      <c r="K39" s="1279"/>
      <c r="L39" s="2321" t="s">
        <v>2700</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2859</v>
      </c>
      <c r="C41" s="348">
        <f ca="1">ROUND(POWER(1+E41,H41-G41)*(POWER(1+E41,G41)-1)/(POWER(1+E41,H41)-1),4)</f>
        <v>0.83599999999999997</v>
      </c>
      <c r="D41" s="176" t="s">
        <v>2707</v>
      </c>
      <c r="E41" s="2370">
        <f ca="1">G20</f>
        <v>5.1999999999999998E-2</v>
      </c>
      <c r="F41" s="176" t="s">
        <v>2716</v>
      </c>
      <c r="G41" s="189">
        <f>项目基本情况!G15</f>
        <v>28.97</v>
      </c>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2756</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2757</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2758</v>
      </c>
      <c r="B47" s="1536" t="s">
        <v>2759</v>
      </c>
      <c r="C47" s="1536" t="s">
        <v>2760</v>
      </c>
      <c r="D47" s="1536" t="s">
        <v>2761</v>
      </c>
      <c r="E47" s="758" t="s">
        <v>2762</v>
      </c>
      <c r="F47" s="2331" t="s">
        <v>2763</v>
      </c>
      <c r="G47" s="1536" t="s">
        <v>754</v>
      </c>
      <c r="H47" s="2332" t="s">
        <v>2764</v>
      </c>
      <c r="I47" s="1536" t="s">
        <v>2765</v>
      </c>
      <c r="J47" s="560" t="s">
        <v>2415</v>
      </c>
      <c r="K47" s="560" t="s">
        <v>2416</v>
      </c>
      <c r="L47" s="560" t="s">
        <v>2417</v>
      </c>
      <c r="M47" s="560" t="s">
        <v>2418</v>
      </c>
      <c r="N47" s="560" t="s">
        <v>2419</v>
      </c>
      <c r="AA47" s="1280"/>
      <c r="AB47" s="1280"/>
      <c r="AC47" s="1280"/>
      <c r="AD47" s="1280"/>
      <c r="AE47" s="1280"/>
      <c r="AF47" s="1280"/>
      <c r="AG47" s="1280"/>
      <c r="AH47" s="1280"/>
      <c r="AI47" s="1280"/>
      <c r="AJ47" s="1280"/>
      <c r="AK47" s="1280"/>
    </row>
    <row r="48" spans="1:37" s="1279" customFormat="1" ht="38.25">
      <c r="A48" s="2330" t="s">
        <v>2766</v>
      </c>
      <c r="B48" s="2333" t="str">
        <f>估价对象房地状况!C4</f>
        <v>估价对象位于XX商圈，周边商业氛围成熟，人流量大，商业繁华度好</v>
      </c>
      <c r="C48" s="2235"/>
      <c r="D48" s="1195">
        <f t="shared" ref="D48:D56" si="10">SUMIF($J$47:$N$47,C48,J48:N48)</f>
        <v>0</v>
      </c>
      <c r="E48" s="760">
        <f>ROUND(SUM(D48:D56),4)</f>
        <v>0</v>
      </c>
      <c r="F48" s="2001"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2767</v>
      </c>
      <c r="B49" s="2334" t="str">
        <f>估价对象房地状况!C18</f>
        <v>估价对象周边道路状况、公共交通通达情况、停车便捷程度，综合评价交通便捷度较好</v>
      </c>
      <c r="C49" s="2235"/>
      <c r="D49" s="1195">
        <f t="shared" si="10"/>
        <v>0</v>
      </c>
      <c r="E49" s="761"/>
      <c r="F49" s="2001"/>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2768</v>
      </c>
      <c r="B50" s="2334">
        <f>估价对象房地状况!C19</f>
        <v>0</v>
      </c>
      <c r="C50" s="2235"/>
      <c r="D50" s="1195">
        <f t="shared" si="10"/>
        <v>0</v>
      </c>
      <c r="E50" s="761"/>
      <c r="F50" s="2001"/>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2769</v>
      </c>
      <c r="B51" s="2335" t="s">
        <v>2770</v>
      </c>
      <c r="C51" s="2235"/>
      <c r="D51" s="1195">
        <f t="shared" si="10"/>
        <v>0</v>
      </c>
      <c r="E51" s="761"/>
      <c r="F51" s="2001"/>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2771</v>
      </c>
      <c r="B52" s="2334">
        <f>估价对象房地状况!C24</f>
        <v>0</v>
      </c>
      <c r="C52" s="2235"/>
      <c r="D52" s="1195">
        <f t="shared" si="10"/>
        <v>0</v>
      </c>
      <c r="E52" s="761"/>
      <c r="F52" s="2001"/>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2772</v>
      </c>
      <c r="B53" s="2336" t="s">
        <v>2773</v>
      </c>
      <c r="C53" s="2235"/>
      <c r="D53" s="1195">
        <f t="shared" si="10"/>
        <v>0</v>
      </c>
      <c r="E53" s="761"/>
      <c r="F53" s="2001"/>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2774</v>
      </c>
      <c r="B54" s="1495" t="str">
        <f>估价对象房地状况!C21</f>
        <v>估价对象所在区域公共配套设施齐备情况</v>
      </c>
      <c r="C54" s="2235"/>
      <c r="D54" s="1195">
        <f t="shared" si="10"/>
        <v>0</v>
      </c>
      <c r="E54" s="761"/>
      <c r="F54" s="2001"/>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2775</v>
      </c>
      <c r="B55" s="2334" t="str">
        <f>估价对象房地状况!C22</f>
        <v>估价对象所在区域基础设施水平</v>
      </c>
      <c r="C55" s="2235"/>
      <c r="D55" s="1195">
        <f t="shared" si="10"/>
        <v>0</v>
      </c>
      <c r="E55" s="761"/>
      <c r="F55" s="2001"/>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2776</v>
      </c>
      <c r="B56" s="2339" t="str">
        <f>估价对象房地状况!C20</f>
        <v>区域自然环境：；人文环境；综合评价环境状况一般</v>
      </c>
      <c r="C56" s="2235"/>
      <c r="D56" s="1195">
        <f t="shared" si="10"/>
        <v>0</v>
      </c>
      <c r="E56" s="764"/>
      <c r="F56" s="2001"/>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2777</v>
      </c>
      <c r="B57" s="2327">
        <f>1+E59</f>
        <v>1.0486</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2758</v>
      </c>
      <c r="B58" s="1536"/>
      <c r="C58" s="1536" t="s">
        <v>2760</v>
      </c>
      <c r="D58" s="1536" t="s">
        <v>2761</v>
      </c>
      <c r="E58" s="758" t="s">
        <v>2762</v>
      </c>
      <c r="F58" s="2331" t="s">
        <v>2778</v>
      </c>
      <c r="G58" s="1536" t="s">
        <v>754</v>
      </c>
      <c r="H58" s="2332" t="s">
        <v>2764</v>
      </c>
      <c r="I58" s="1536" t="s">
        <v>2765</v>
      </c>
      <c r="J58" s="560" t="s">
        <v>2415</v>
      </c>
      <c r="K58" s="560" t="s">
        <v>2416</v>
      </c>
      <c r="L58" s="560" t="s">
        <v>2417</v>
      </c>
      <c r="M58" s="560" t="s">
        <v>2418</v>
      </c>
      <c r="N58" s="560" t="s">
        <v>2419</v>
      </c>
      <c r="AA58" s="1280"/>
      <c r="AB58" s="1280"/>
      <c r="AC58" s="1280"/>
      <c r="AD58" s="1280"/>
      <c r="AE58" s="1280"/>
      <c r="AF58" s="1280"/>
      <c r="AG58" s="1280"/>
      <c r="AH58" s="1280"/>
      <c r="AI58" s="1280"/>
      <c r="AJ58" s="1280"/>
      <c r="AK58" s="1280"/>
    </row>
    <row r="59" spans="1:37" s="1279" customFormat="1" ht="38.25">
      <c r="A59" s="2330" t="s">
        <v>2779</v>
      </c>
      <c r="B59" s="2333" t="str">
        <f>估价对象房地状况!C17</f>
        <v>估价对象位于XX商圈，周边办公楼项目较多，入驻率高，办公集聚程度较好</v>
      </c>
      <c r="C59" s="3072" t="s">
        <v>3232</v>
      </c>
      <c r="D59" s="1195">
        <f t="shared" ref="D59:D67" si="15">SUMIF($J$58:$N$58,C59,J59:N59)</f>
        <v>1.15E-2</v>
      </c>
      <c r="E59" s="760">
        <f>ROUND(SUM(D59:D67),4)</f>
        <v>4.8599999999999997E-2</v>
      </c>
      <c r="F59" s="2001">
        <f>IF(E2="办公",SUMIF(L1:L12,G2,N1:N12),"——")</f>
        <v>9.6000000000000002E-2</v>
      </c>
      <c r="G59" s="1193">
        <f>H59</f>
        <v>1.15E-2</v>
      </c>
      <c r="H59" s="1197">
        <f t="shared" ref="H59:H67" si="16">IFERROR(ROUNDDOWN($F$59*I59/2,4),"——")</f>
        <v>1.15E-2</v>
      </c>
      <c r="I59" s="759">
        <v>0.24</v>
      </c>
      <c r="J59" s="1194">
        <f t="shared" ref="J59:J67" si="17">K59+$G59</f>
        <v>2.3E-2</v>
      </c>
      <c r="K59" s="1194">
        <f t="shared" ref="K59:K67" si="18">$L59+$G59</f>
        <v>1.15E-2</v>
      </c>
      <c r="L59" s="1194">
        <v>0</v>
      </c>
      <c r="M59" s="1194">
        <f t="shared" ref="M59:N67" si="19">L59-$G59</f>
        <v>-1.15E-2</v>
      </c>
      <c r="N59" s="1194">
        <f t="shared" si="19"/>
        <v>-2.3E-2</v>
      </c>
      <c r="AA59" s="1280"/>
      <c r="AB59" s="1280"/>
      <c r="AC59" s="1280"/>
      <c r="AD59" s="1280"/>
      <c r="AE59" s="1280"/>
      <c r="AF59" s="1280"/>
      <c r="AG59" s="1280"/>
      <c r="AH59" s="1280"/>
      <c r="AI59" s="1280"/>
      <c r="AJ59" s="1280"/>
      <c r="AK59" s="1280"/>
    </row>
    <row r="60" spans="1:37" s="1279" customFormat="1" ht="51">
      <c r="A60" s="2330" t="s">
        <v>2767</v>
      </c>
      <c r="B60" s="2334" t="str">
        <f>估价对象房地状况!C18</f>
        <v>估价对象周边道路状况、公共交通通达情况、停车便捷程度，综合评价交通便捷度较好</v>
      </c>
      <c r="C60" s="3072" t="s">
        <v>3232</v>
      </c>
      <c r="D60" s="1195">
        <f t="shared" si="15"/>
        <v>1.44E-2</v>
      </c>
      <c r="E60" s="761"/>
      <c r="F60" s="2001"/>
      <c r="G60" s="1193">
        <f t="shared" ref="G60:G67" si="20">H60</f>
        <v>1.44E-2</v>
      </c>
      <c r="H60" s="1197">
        <f t="shared" si="16"/>
        <v>1.44E-2</v>
      </c>
      <c r="I60" s="759">
        <v>0.3</v>
      </c>
      <c r="J60" s="1194">
        <f t="shared" si="17"/>
        <v>2.8799999999999999E-2</v>
      </c>
      <c r="K60" s="1194">
        <f t="shared" si="18"/>
        <v>1.44E-2</v>
      </c>
      <c r="L60" s="1194">
        <v>0</v>
      </c>
      <c r="M60" s="1194">
        <f t="shared" si="19"/>
        <v>-1.44E-2</v>
      </c>
      <c r="N60" s="1194">
        <f t="shared" si="19"/>
        <v>-2.8799999999999999E-2</v>
      </c>
      <c r="AA60" s="1280"/>
      <c r="AB60" s="1280"/>
      <c r="AC60" s="1280"/>
      <c r="AD60" s="1280"/>
      <c r="AE60" s="1280"/>
      <c r="AF60" s="1280"/>
      <c r="AG60" s="1280"/>
      <c r="AH60" s="1280"/>
      <c r="AI60" s="1280"/>
      <c r="AJ60" s="1280"/>
      <c r="AK60" s="1280"/>
    </row>
    <row r="61" spans="1:37" s="1279" customFormat="1" ht="24">
      <c r="A61" s="2330" t="s">
        <v>2768</v>
      </c>
      <c r="B61" s="2334">
        <f>估价对象房地状况!C19</f>
        <v>0</v>
      </c>
      <c r="C61" s="3072" t="s">
        <v>3233</v>
      </c>
      <c r="D61" s="1195">
        <f t="shared" si="15"/>
        <v>3.8E-3</v>
      </c>
      <c r="E61" s="761"/>
      <c r="F61" s="2001"/>
      <c r="G61" s="1193">
        <f t="shared" si="20"/>
        <v>3.8E-3</v>
      </c>
      <c r="H61" s="1197">
        <f t="shared" si="16"/>
        <v>3.8E-3</v>
      </c>
      <c r="I61" s="759">
        <v>0.08</v>
      </c>
      <c r="J61" s="1194">
        <f t="shared" si="17"/>
        <v>7.6E-3</v>
      </c>
      <c r="K61" s="1194">
        <f t="shared" si="18"/>
        <v>3.8E-3</v>
      </c>
      <c r="L61" s="1194">
        <v>0</v>
      </c>
      <c r="M61" s="1194">
        <f t="shared" si="19"/>
        <v>-3.8E-3</v>
      </c>
      <c r="N61" s="1194">
        <f t="shared" si="19"/>
        <v>-7.6E-3</v>
      </c>
      <c r="AA61" s="1280"/>
      <c r="AB61" s="1280"/>
      <c r="AC61" s="1280"/>
      <c r="AD61" s="1280"/>
      <c r="AE61" s="1280"/>
      <c r="AF61" s="1280"/>
      <c r="AG61" s="1280"/>
      <c r="AH61" s="1280"/>
      <c r="AI61" s="1280"/>
      <c r="AJ61" s="1280"/>
      <c r="AK61" s="1280"/>
    </row>
    <row r="62" spans="1:37" s="1279" customFormat="1" ht="36.75">
      <c r="A62" s="2330" t="s">
        <v>2769</v>
      </c>
      <c r="B62" s="2335" t="s">
        <v>2770</v>
      </c>
      <c r="C62" s="3072" t="s">
        <v>3233</v>
      </c>
      <c r="D62" s="1195">
        <f t="shared" si="15"/>
        <v>1.9E-3</v>
      </c>
      <c r="E62" s="761"/>
      <c r="F62" s="2001"/>
      <c r="G62" s="1193">
        <f t="shared" si="20"/>
        <v>1.9E-3</v>
      </c>
      <c r="H62" s="1197">
        <f t="shared" si="16"/>
        <v>1.9E-3</v>
      </c>
      <c r="I62" s="759">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2771</v>
      </c>
      <c r="B63" s="2334">
        <f>估价对象房地状况!C24</f>
        <v>0</v>
      </c>
      <c r="C63" s="3072" t="s">
        <v>3234</v>
      </c>
      <c r="D63" s="1195">
        <f t="shared" si="15"/>
        <v>-2.3999999999999998E-3</v>
      </c>
      <c r="E63" s="761"/>
      <c r="F63" s="2001"/>
      <c r="G63" s="1193">
        <f t="shared" si="20"/>
        <v>2.3999999999999998E-3</v>
      </c>
      <c r="H63" s="1197">
        <f t="shared" si="16"/>
        <v>2.3999999999999998E-3</v>
      </c>
      <c r="I63" s="759">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2772</v>
      </c>
      <c r="B64" s="2336" t="s">
        <v>2773</v>
      </c>
      <c r="C64" s="3072" t="s">
        <v>3233</v>
      </c>
      <c r="D64" s="1195">
        <f t="shared" si="15"/>
        <v>2.3999999999999998E-3</v>
      </c>
      <c r="E64" s="761"/>
      <c r="F64" s="2001"/>
      <c r="G64" s="1193">
        <f t="shared" si="20"/>
        <v>2.3999999999999998E-3</v>
      </c>
      <c r="H64" s="1197">
        <f t="shared" si="16"/>
        <v>2.3999999999999998E-3</v>
      </c>
      <c r="I64" s="759">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5.5">
      <c r="A65" s="2330" t="s">
        <v>2774</v>
      </c>
      <c r="B65" s="1495" t="str">
        <f>估价对象房地状况!C21</f>
        <v>估价对象所在区域公共配套设施齐备情况</v>
      </c>
      <c r="C65" s="3072" t="s">
        <v>3233</v>
      </c>
      <c r="D65" s="1195">
        <f t="shared" si="15"/>
        <v>2.8E-3</v>
      </c>
      <c r="E65" s="761"/>
      <c r="F65" s="2001"/>
      <c r="G65" s="1193">
        <f t="shared" si="20"/>
        <v>2.8E-3</v>
      </c>
      <c r="H65" s="1197">
        <f t="shared" si="16"/>
        <v>2.8E-3</v>
      </c>
      <c r="I65" s="759">
        <v>0.06</v>
      </c>
      <c r="J65" s="1194">
        <f t="shared" si="17"/>
        <v>5.5999999999999999E-3</v>
      </c>
      <c r="K65" s="1194">
        <f t="shared" si="18"/>
        <v>2.8E-3</v>
      </c>
      <c r="L65" s="1194">
        <v>0</v>
      </c>
      <c r="M65" s="1194">
        <f t="shared" si="19"/>
        <v>-2.8E-3</v>
      </c>
      <c r="N65" s="1194">
        <f t="shared" si="19"/>
        <v>-5.5999999999999999E-3</v>
      </c>
      <c r="AA65" s="1280"/>
      <c r="AB65" s="1280"/>
      <c r="AC65" s="1280"/>
      <c r="AD65" s="1280"/>
      <c r="AE65" s="1280"/>
      <c r="AF65" s="1280"/>
      <c r="AG65" s="1280"/>
      <c r="AH65" s="1280"/>
      <c r="AI65" s="1280"/>
      <c r="AJ65" s="1280"/>
      <c r="AK65" s="1280"/>
    </row>
    <row r="66" spans="1:37" s="1279" customFormat="1" ht="25.5">
      <c r="A66" s="2330" t="s">
        <v>2775</v>
      </c>
      <c r="B66" s="1495" t="str">
        <f>估价对象房地状况!C22</f>
        <v>估价对象所在区域基础设施水平</v>
      </c>
      <c r="C66" s="3072" t="s">
        <v>3235</v>
      </c>
      <c r="D66" s="1195">
        <f t="shared" si="15"/>
        <v>1.14E-2</v>
      </c>
      <c r="E66" s="761"/>
      <c r="F66" s="2001"/>
      <c r="G66" s="1193">
        <f t="shared" si="20"/>
        <v>5.7000000000000002E-3</v>
      </c>
      <c r="H66" s="1197">
        <f t="shared" si="16"/>
        <v>5.7000000000000002E-3</v>
      </c>
      <c r="I66" s="759">
        <v>0.12</v>
      </c>
      <c r="J66" s="1194">
        <f t="shared" si="17"/>
        <v>1.14E-2</v>
      </c>
      <c r="K66" s="1194">
        <f t="shared" si="18"/>
        <v>5.7000000000000002E-3</v>
      </c>
      <c r="L66" s="1194">
        <v>0</v>
      </c>
      <c r="M66" s="1194">
        <f t="shared" si="19"/>
        <v>-5.7000000000000002E-3</v>
      </c>
      <c r="N66" s="1194">
        <f t="shared" si="19"/>
        <v>-1.14E-2</v>
      </c>
      <c r="AA66" s="1280"/>
      <c r="AB66" s="1280"/>
      <c r="AC66" s="1280"/>
      <c r="AD66" s="1280"/>
      <c r="AE66" s="1280"/>
      <c r="AF66" s="1280"/>
      <c r="AG66" s="1280"/>
      <c r="AH66" s="1280"/>
      <c r="AI66" s="1280"/>
      <c r="AJ66" s="1280"/>
      <c r="AK66" s="1280"/>
    </row>
    <row r="67" spans="1:37" s="1279" customFormat="1" ht="39" thickBot="1">
      <c r="A67" s="2338" t="s">
        <v>2776</v>
      </c>
      <c r="B67" s="2340" t="str">
        <f>估价对象房地状况!C20</f>
        <v>区域自然环境：；人文环境；综合评价环境状况一般</v>
      </c>
      <c r="C67" s="3072" t="s">
        <v>3233</v>
      </c>
      <c r="D67" s="1195">
        <f t="shared" si="15"/>
        <v>2.8E-3</v>
      </c>
      <c r="E67" s="764"/>
      <c r="F67" s="2001"/>
      <c r="G67" s="1193">
        <f t="shared" si="20"/>
        <v>2.8E-3</v>
      </c>
      <c r="H67" s="1197">
        <f t="shared" si="16"/>
        <v>2.8E-3</v>
      </c>
      <c r="I67" s="763">
        <v>0.06</v>
      </c>
      <c r="J67" s="1194">
        <f t="shared" si="17"/>
        <v>5.5999999999999999E-3</v>
      </c>
      <c r="K67" s="1194">
        <f t="shared" si="18"/>
        <v>2.8E-3</v>
      </c>
      <c r="L67" s="1194">
        <v>0</v>
      </c>
      <c r="M67" s="1194">
        <f t="shared" si="19"/>
        <v>-2.8E-3</v>
      </c>
      <c r="N67" s="1194">
        <f t="shared" si="19"/>
        <v>-5.5999999999999999E-3</v>
      </c>
      <c r="AA67" s="1280"/>
      <c r="AB67" s="1280"/>
      <c r="AC67" s="1280"/>
      <c r="AD67" s="1280"/>
      <c r="AE67" s="1280"/>
      <c r="AF67" s="1280"/>
      <c r="AG67" s="1280"/>
      <c r="AH67" s="1280"/>
      <c r="AI67" s="1280"/>
      <c r="AJ67" s="1280"/>
      <c r="AK67" s="1280"/>
    </row>
    <row r="68" spans="1:37" s="1279" customFormat="1" ht="15">
      <c r="A68" s="2326" t="s">
        <v>2780</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2758</v>
      </c>
      <c r="B69" s="1536"/>
      <c r="C69" s="1536" t="s">
        <v>2760</v>
      </c>
      <c r="D69" s="1536" t="s">
        <v>2761</v>
      </c>
      <c r="E69" s="758" t="s">
        <v>2762</v>
      </c>
      <c r="F69" s="2331" t="s">
        <v>2778</v>
      </c>
      <c r="G69" s="1536" t="s">
        <v>754</v>
      </c>
      <c r="H69" s="2332" t="s">
        <v>2764</v>
      </c>
      <c r="I69" s="1536" t="s">
        <v>2765</v>
      </c>
      <c r="J69" s="560" t="s">
        <v>2415</v>
      </c>
      <c r="K69" s="560" t="s">
        <v>2416</v>
      </c>
      <c r="L69" s="560" t="s">
        <v>2417</v>
      </c>
      <c r="M69" s="560" t="s">
        <v>2418</v>
      </c>
      <c r="N69" s="560" t="s">
        <v>2419</v>
      </c>
      <c r="AA69" s="1280"/>
      <c r="AB69" s="1280"/>
      <c r="AC69" s="1280"/>
      <c r="AD69" s="1280"/>
      <c r="AE69" s="1280"/>
      <c r="AF69" s="1280"/>
      <c r="AG69" s="1280"/>
      <c r="AH69" s="1280"/>
      <c r="AI69" s="1280"/>
      <c r="AJ69" s="1280"/>
      <c r="AK69" s="1280"/>
    </row>
    <row r="70" spans="1:37" s="1279" customFormat="1" ht="51">
      <c r="A70" s="2330" t="s">
        <v>2781</v>
      </c>
      <c r="B70" s="2333" t="str">
        <f>估价对象房地状况!C15</f>
        <v>估价对象周边居住用地比例、居住小区规模和社区发展完善程度，综合评价居住社区成熟度一般</v>
      </c>
      <c r="C70" s="2235"/>
      <c r="D70" s="1195">
        <f t="shared" ref="D70:D78" si="21">SUMIF($J$69:$N$69,C70,J70:N70)</f>
        <v>0</v>
      </c>
      <c r="E70" s="760">
        <f>ROUND(SUM(D70:D78),4)</f>
        <v>0</v>
      </c>
      <c r="F70" s="2001"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30" t="s">
        <v>2767</v>
      </c>
      <c r="B71" s="2334" t="str">
        <f>估价对象房地状况!C18</f>
        <v>估价对象周边道路状况、公共交通通达情况、停车便捷程度，综合评价交通便捷度较好</v>
      </c>
      <c r="C71" s="2235"/>
      <c r="D71" s="1195">
        <f t="shared" si="21"/>
        <v>0</v>
      </c>
      <c r="E71" s="765"/>
      <c r="F71" s="2001"/>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30" t="s">
        <v>2768</v>
      </c>
      <c r="B72" s="2334">
        <f>估价对象房地状况!C19</f>
        <v>0</v>
      </c>
      <c r="C72" s="2235"/>
      <c r="D72" s="1195">
        <f t="shared" si="21"/>
        <v>0</v>
      </c>
      <c r="E72" s="765"/>
      <c r="F72" s="2001"/>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30" t="s">
        <v>2782</v>
      </c>
      <c r="B73" s="2334">
        <f>估价对象房地状况!C24</f>
        <v>0</v>
      </c>
      <c r="C73" s="2235"/>
      <c r="D73" s="1195">
        <f t="shared" si="21"/>
        <v>0</v>
      </c>
      <c r="E73" s="765"/>
      <c r="F73" s="2001"/>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30" t="s">
        <v>2774</v>
      </c>
      <c r="B74" s="1495" t="str">
        <f>估价对象房地状况!C21</f>
        <v>估价对象所在区域公共配套设施齐备情况</v>
      </c>
      <c r="C74" s="2235"/>
      <c r="D74" s="1195">
        <f t="shared" si="21"/>
        <v>0</v>
      </c>
      <c r="E74" s="765"/>
      <c r="F74" s="2001"/>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30" t="s">
        <v>2775</v>
      </c>
      <c r="B75" s="1495" t="str">
        <f>估价对象房地状况!C22</f>
        <v>估价对象所在区域基础设施水平</v>
      </c>
      <c r="C75" s="2235"/>
      <c r="D75" s="1195">
        <f t="shared" si="21"/>
        <v>0</v>
      </c>
      <c r="E75" s="765"/>
      <c r="F75" s="2001"/>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4" customFormat="1" ht="24">
      <c r="A76" s="2330" t="s">
        <v>2772</v>
      </c>
      <c r="B76" s="2336" t="s">
        <v>2773</v>
      </c>
      <c r="C76" s="2235"/>
      <c r="D76" s="1195">
        <f t="shared" si="21"/>
        <v>0</v>
      </c>
      <c r="E76" s="765"/>
      <c r="F76" s="2001"/>
      <c r="G76" s="1193"/>
      <c r="H76" s="1197" t="str">
        <f t="shared" si="22"/>
        <v>——</v>
      </c>
      <c r="I76" s="759">
        <v>0.05</v>
      </c>
      <c r="J76" s="1194">
        <f t="shared" si="23"/>
        <v>0</v>
      </c>
      <c r="K76" s="1194">
        <f t="shared" si="24"/>
        <v>0</v>
      </c>
      <c r="L76" s="1194">
        <v>0</v>
      </c>
      <c r="M76" s="1194">
        <f t="shared" si="25"/>
        <v>0</v>
      </c>
      <c r="N76" s="1194">
        <f t="shared" si="25"/>
        <v>0</v>
      </c>
      <c r="AA76" s="2341"/>
      <c r="AB76" s="1280"/>
      <c r="AC76" s="1280"/>
      <c r="AD76" s="1280"/>
      <c r="AE76" s="1280"/>
      <c r="AF76" s="1280"/>
      <c r="AG76" s="1280"/>
      <c r="AH76" s="2341"/>
      <c r="AI76" s="2341"/>
      <c r="AJ76" s="2341"/>
      <c r="AK76" s="2341"/>
    </row>
    <row r="77" spans="1:37" ht="38.25">
      <c r="A77" s="2330" t="s">
        <v>2776</v>
      </c>
      <c r="B77" s="2333" t="str">
        <f>估价对象房地状况!C20</f>
        <v>区域自然环境：；人文环境；综合评价环境状况一般</v>
      </c>
      <c r="C77" s="2235"/>
      <c r="D77" s="1195">
        <f t="shared" si="21"/>
        <v>0</v>
      </c>
      <c r="E77" s="765"/>
      <c r="F77" s="2001"/>
      <c r="G77" s="1193"/>
      <c r="H77" s="1197" t="str">
        <f t="shared" si="22"/>
        <v>——</v>
      </c>
      <c r="I77" s="759">
        <v>0.15</v>
      </c>
      <c r="J77" s="1194">
        <f t="shared" si="23"/>
        <v>0</v>
      </c>
      <c r="K77" s="1194">
        <f t="shared" si="24"/>
        <v>0</v>
      </c>
      <c r="L77" s="1194">
        <v>0</v>
      </c>
      <c r="M77" s="1194">
        <f t="shared" si="25"/>
        <v>0</v>
      </c>
      <c r="N77" s="1194">
        <f t="shared" si="25"/>
        <v>0</v>
      </c>
      <c r="Z77" s="2185"/>
      <c r="AA77" s="2251"/>
      <c r="AG77" s="1281"/>
      <c r="AK77" s="2251"/>
    </row>
    <row r="78" spans="1:37" ht="24.75" thickBot="1">
      <c r="A78" s="2338" t="s">
        <v>2783</v>
      </c>
      <c r="B78" s="2342"/>
      <c r="C78" s="2235"/>
      <c r="D78" s="1195">
        <f t="shared" si="21"/>
        <v>0</v>
      </c>
      <c r="E78" s="766"/>
      <c r="F78" s="2001"/>
      <c r="G78" s="1193"/>
      <c r="H78" s="1197" t="str">
        <f t="shared" si="22"/>
        <v>——</v>
      </c>
      <c r="I78" s="763">
        <v>0.04</v>
      </c>
      <c r="J78" s="1194">
        <f t="shared" si="23"/>
        <v>0</v>
      </c>
      <c r="K78" s="1194">
        <f t="shared" si="24"/>
        <v>0</v>
      </c>
      <c r="L78" s="1194">
        <v>0</v>
      </c>
      <c r="M78" s="1194">
        <f t="shared" si="25"/>
        <v>0</v>
      </c>
      <c r="N78" s="1194">
        <f t="shared" si="25"/>
        <v>0</v>
      </c>
      <c r="Z78" s="2185"/>
      <c r="AA78" s="2251"/>
      <c r="AG78" s="1281"/>
      <c r="AK78" s="2251"/>
    </row>
    <row r="79" spans="1:37" ht="15">
      <c r="A79" s="2326" t="s">
        <v>2784</v>
      </c>
      <c r="B79" s="2327">
        <f>1+E81</f>
        <v>1</v>
      </c>
      <c r="C79" s="753"/>
      <c r="D79" s="753"/>
      <c r="E79" s="754"/>
      <c r="F79" s="2329"/>
      <c r="G79" s="6"/>
      <c r="H79" s="6"/>
      <c r="I79" s="6"/>
      <c r="J79" s="7"/>
      <c r="K79" s="7"/>
      <c r="L79" s="7"/>
      <c r="M79" s="7"/>
      <c r="N79" s="7"/>
      <c r="Z79" s="2185"/>
      <c r="AA79" s="2251"/>
      <c r="AG79" s="1281"/>
      <c r="AK79" s="2251"/>
    </row>
    <row r="80" spans="1:37" ht="24.75">
      <c r="A80" s="2330" t="s">
        <v>2758</v>
      </c>
      <c r="B80" s="1536"/>
      <c r="C80" s="1536" t="s">
        <v>2760</v>
      </c>
      <c r="D80" s="1536" t="s">
        <v>2761</v>
      </c>
      <c r="E80" s="758" t="s">
        <v>2762</v>
      </c>
      <c r="F80" s="2331" t="s">
        <v>2778</v>
      </c>
      <c r="G80" s="1536" t="s">
        <v>754</v>
      </c>
      <c r="H80" s="2332" t="s">
        <v>2764</v>
      </c>
      <c r="I80" s="1536" t="s">
        <v>2765</v>
      </c>
      <c r="J80" s="560" t="s">
        <v>2415</v>
      </c>
      <c r="K80" s="560" t="s">
        <v>2416</v>
      </c>
      <c r="L80" s="560" t="s">
        <v>2417</v>
      </c>
      <c r="M80" s="560" t="s">
        <v>2418</v>
      </c>
      <c r="N80" s="560" t="s">
        <v>2419</v>
      </c>
      <c r="Z80" s="2185"/>
      <c r="AA80" s="2251"/>
      <c r="AG80" s="1281"/>
      <c r="AK80" s="2251"/>
    </row>
    <row r="81" spans="1:37" ht="38.25">
      <c r="A81" s="2330" t="s">
        <v>2785</v>
      </c>
      <c r="B81" s="2334" t="str">
        <f>估价对象房地状况!G15</f>
        <v>估价对象位于XX开发区，园区建设成熟度XX，产业集聚程度XX</v>
      </c>
      <c r="C81" s="2235"/>
      <c r="D81" s="1195">
        <f t="shared" ref="D81:D88" si="26">SUMIF($J$80:$N$80,C81,J81:N81)</f>
        <v>0</v>
      </c>
      <c r="E81" s="760">
        <f>ROUND(SUM(D81:D88),4)</f>
        <v>0</v>
      </c>
      <c r="F81" s="2001"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5"/>
      <c r="AA81" s="2251"/>
      <c r="AG81" s="1281"/>
      <c r="AK81" s="2251"/>
    </row>
    <row r="82" spans="1:37" ht="51">
      <c r="A82" s="2330" t="s">
        <v>2767</v>
      </c>
      <c r="B82" s="2334" t="str">
        <f>估价对象房地状况!G16</f>
        <v>估价对象周边道路状况、公共交通通达情况、停车便捷程度，综合评价交通便捷度较好</v>
      </c>
      <c r="C82" s="2235"/>
      <c r="D82" s="1195">
        <f t="shared" si="26"/>
        <v>0</v>
      </c>
      <c r="E82" s="765"/>
      <c r="F82" s="2001"/>
      <c r="G82" s="1193"/>
      <c r="H82" s="1197" t="str">
        <f t="shared" si="27"/>
        <v>——</v>
      </c>
      <c r="I82" s="759">
        <v>0.33</v>
      </c>
      <c r="J82" s="1194">
        <f t="shared" si="28"/>
        <v>0</v>
      </c>
      <c r="K82" s="1194">
        <f t="shared" si="29"/>
        <v>0</v>
      </c>
      <c r="L82" s="1194">
        <v>0</v>
      </c>
      <c r="M82" s="1194">
        <f t="shared" si="30"/>
        <v>0</v>
      </c>
      <c r="N82" s="1194">
        <f t="shared" si="30"/>
        <v>0</v>
      </c>
      <c r="Z82" s="2185"/>
      <c r="AA82" s="2251"/>
      <c r="AG82" s="1281"/>
      <c r="AK82" s="2251"/>
    </row>
    <row r="83" spans="1:37" ht="24">
      <c r="A83" s="2330" t="s">
        <v>2768</v>
      </c>
      <c r="B83" s="2334">
        <f>估价对象房地状况!G17</f>
        <v>0</v>
      </c>
      <c r="C83" s="2235"/>
      <c r="D83" s="1195">
        <f t="shared" si="26"/>
        <v>0</v>
      </c>
      <c r="E83" s="765"/>
      <c r="F83" s="2001"/>
      <c r="G83" s="1193"/>
      <c r="H83" s="1197" t="str">
        <f t="shared" si="27"/>
        <v>——</v>
      </c>
      <c r="I83" s="759">
        <v>0.05</v>
      </c>
      <c r="J83" s="1194">
        <f t="shared" si="28"/>
        <v>0</v>
      </c>
      <c r="K83" s="1194">
        <f t="shared" si="29"/>
        <v>0</v>
      </c>
      <c r="L83" s="1194">
        <v>0</v>
      </c>
      <c r="M83" s="1194">
        <f t="shared" si="30"/>
        <v>0</v>
      </c>
      <c r="N83" s="1194">
        <f t="shared" si="30"/>
        <v>0</v>
      </c>
      <c r="Z83" s="2185"/>
      <c r="AA83" s="2251"/>
      <c r="AG83" s="1281"/>
      <c r="AK83" s="2251"/>
    </row>
    <row r="84" spans="1:37" ht="14.25">
      <c r="A84" s="2330" t="s">
        <v>2782</v>
      </c>
      <c r="B84" s="2334">
        <f>估价对象房地状况!G22</f>
        <v>0</v>
      </c>
      <c r="C84" s="2235"/>
      <c r="D84" s="1195">
        <f t="shared" si="26"/>
        <v>0</v>
      </c>
      <c r="E84" s="765"/>
      <c r="F84" s="2001"/>
      <c r="G84" s="1193"/>
      <c r="H84" s="1197" t="str">
        <f t="shared" si="27"/>
        <v>——</v>
      </c>
      <c r="I84" s="759">
        <v>0.04</v>
      </c>
      <c r="J84" s="1194">
        <f t="shared" si="28"/>
        <v>0</v>
      </c>
      <c r="K84" s="1194">
        <f t="shared" si="29"/>
        <v>0</v>
      </c>
      <c r="L84" s="1194">
        <v>0</v>
      </c>
      <c r="M84" s="1194">
        <f t="shared" si="30"/>
        <v>0</v>
      </c>
      <c r="N84" s="1194">
        <f t="shared" si="30"/>
        <v>0</v>
      </c>
      <c r="Z84" s="2185"/>
      <c r="AA84" s="2251"/>
      <c r="AG84" s="1281"/>
      <c r="AK84" s="2251"/>
    </row>
    <row r="85" spans="1:37" ht="25.5">
      <c r="A85" s="2330" t="s">
        <v>2774</v>
      </c>
      <c r="B85" s="1495" t="str">
        <f>估价对象房地状况!G19</f>
        <v>估价对象所在区域公共配套设施齐备情况</v>
      </c>
      <c r="C85" s="2235"/>
      <c r="D85" s="1195">
        <f t="shared" si="26"/>
        <v>0</v>
      </c>
      <c r="E85" s="765"/>
      <c r="F85" s="2001"/>
      <c r="G85" s="1193"/>
      <c r="H85" s="1197" t="str">
        <f t="shared" si="27"/>
        <v>——</v>
      </c>
      <c r="I85" s="759">
        <v>0.06</v>
      </c>
      <c r="J85" s="1194">
        <f t="shared" si="28"/>
        <v>0</v>
      </c>
      <c r="K85" s="1194">
        <f t="shared" si="29"/>
        <v>0</v>
      </c>
      <c r="L85" s="1194">
        <v>0</v>
      </c>
      <c r="M85" s="1194">
        <f t="shared" si="30"/>
        <v>0</v>
      </c>
      <c r="N85" s="1194">
        <f t="shared" si="30"/>
        <v>0</v>
      </c>
      <c r="Z85" s="2185"/>
      <c r="AA85" s="2251"/>
      <c r="AG85" s="1281"/>
      <c r="AK85" s="2251"/>
    </row>
    <row r="86" spans="1:37" ht="25.5">
      <c r="A86" s="2330" t="s">
        <v>2775</v>
      </c>
      <c r="B86" s="1495" t="str">
        <f>估价对象房地状况!G20</f>
        <v>估价对象所在区域基础设施水平</v>
      </c>
      <c r="C86" s="2235"/>
      <c r="D86" s="1195">
        <f t="shared" si="26"/>
        <v>0</v>
      </c>
      <c r="E86" s="765"/>
      <c r="F86" s="2001"/>
      <c r="G86" s="1193"/>
      <c r="H86" s="1197" t="str">
        <f t="shared" si="27"/>
        <v>——</v>
      </c>
      <c r="I86" s="759">
        <v>0.15</v>
      </c>
      <c r="J86" s="1194">
        <f t="shared" si="28"/>
        <v>0</v>
      </c>
      <c r="K86" s="1194">
        <f t="shared" si="29"/>
        <v>0</v>
      </c>
      <c r="L86" s="1194">
        <v>0</v>
      </c>
      <c r="M86" s="1194">
        <f t="shared" si="30"/>
        <v>0</v>
      </c>
      <c r="N86" s="1194">
        <f t="shared" si="30"/>
        <v>0</v>
      </c>
      <c r="Z86" s="2185"/>
      <c r="AA86" s="2251"/>
      <c r="AG86" s="1281"/>
      <c r="AK86" s="2251"/>
    </row>
    <row r="87" spans="1:37" ht="24">
      <c r="A87" s="2330" t="s">
        <v>2772</v>
      </c>
      <c r="B87" s="2336" t="s">
        <v>2786</v>
      </c>
      <c r="C87" s="2235"/>
      <c r="D87" s="1195">
        <f t="shared" si="26"/>
        <v>0</v>
      </c>
      <c r="E87" s="765"/>
      <c r="F87" s="2001"/>
      <c r="G87" s="1193"/>
      <c r="H87" s="1197" t="str">
        <f t="shared" si="27"/>
        <v>——</v>
      </c>
      <c r="I87" s="759">
        <v>0.05</v>
      </c>
      <c r="J87" s="1194">
        <f t="shared" si="28"/>
        <v>0</v>
      </c>
      <c r="K87" s="1194">
        <f t="shared" si="29"/>
        <v>0</v>
      </c>
      <c r="L87" s="1194">
        <v>0</v>
      </c>
      <c r="M87" s="1194">
        <f t="shared" si="30"/>
        <v>0</v>
      </c>
      <c r="N87" s="1194">
        <f t="shared" si="30"/>
        <v>0</v>
      </c>
      <c r="Z87" s="2185"/>
      <c r="AA87" s="2251"/>
      <c r="AG87" s="1281"/>
      <c r="AK87" s="2251"/>
    </row>
    <row r="88" spans="1:37" ht="39" thickBot="1">
      <c r="A88" s="2338" t="s">
        <v>2787</v>
      </c>
      <c r="B88" s="2343" t="str">
        <f>估价对象房地状况!G18</f>
        <v>该园区内是否有污染型企业，绿化情况，卫生条件，整体环境状况判断</v>
      </c>
      <c r="C88" s="2235"/>
      <c r="D88" s="1195">
        <f t="shared" si="26"/>
        <v>0</v>
      </c>
      <c r="E88" s="766"/>
      <c r="F88" s="2001"/>
      <c r="G88" s="1193"/>
      <c r="H88" s="1197" t="str">
        <f t="shared" si="27"/>
        <v>——</v>
      </c>
      <c r="I88" s="763">
        <v>0.06</v>
      </c>
      <c r="J88" s="1194">
        <f t="shared" si="28"/>
        <v>0</v>
      </c>
      <c r="K88" s="1194">
        <f t="shared" si="29"/>
        <v>0</v>
      </c>
      <c r="L88" s="1194">
        <v>0</v>
      </c>
      <c r="M88" s="1194">
        <f t="shared" si="30"/>
        <v>0</v>
      </c>
      <c r="N88" s="1194">
        <f t="shared" si="30"/>
        <v>0</v>
      </c>
      <c r="Z88" s="2185"/>
      <c r="AA88" s="2251"/>
      <c r="AG88" s="1281"/>
      <c r="AK88" s="2251"/>
    </row>
    <row r="90" spans="1:37">
      <c r="A90" s="3282" t="s">
        <v>2788</v>
      </c>
      <c r="B90" s="3282"/>
      <c r="C90" s="3282"/>
      <c r="D90" s="3282"/>
      <c r="E90" s="3282"/>
      <c r="F90" s="3282"/>
      <c r="G90" s="3282"/>
      <c r="H90" s="3282"/>
      <c r="I90" s="3282"/>
      <c r="J90" s="3282"/>
      <c r="K90" s="2344"/>
      <c r="L90" s="2344"/>
      <c r="M90" s="2344"/>
      <c r="N90" s="2344"/>
    </row>
    <row r="91" spans="1:37">
      <c r="A91" s="3284" t="s">
        <v>2789</v>
      </c>
      <c r="B91" s="3284" t="s">
        <v>2790</v>
      </c>
      <c r="C91" s="2298" t="s">
        <v>2791</v>
      </c>
      <c r="D91" s="2299"/>
      <c r="E91" s="2299"/>
      <c r="F91" s="2299"/>
      <c r="G91" s="2299"/>
      <c r="H91" s="2299"/>
      <c r="I91" s="2299"/>
      <c r="J91" s="2345"/>
      <c r="K91" s="2346"/>
      <c r="L91" s="2346"/>
      <c r="M91" s="2346"/>
      <c r="N91" s="2346"/>
    </row>
    <row r="92" spans="1:37">
      <c r="A92" s="3284"/>
      <c r="B92" s="328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285" t="s">
        <v>2792</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8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8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8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8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8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86"/>
      <c r="B99" s="2347" t="s">
        <v>2675</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8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85" t="s">
        <v>2793</v>
      </c>
      <c r="B101" s="2351" t="s">
        <v>2794</v>
      </c>
      <c r="C101" s="2352">
        <f>$G$3</f>
        <v>20.64</v>
      </c>
      <c r="D101" s="2352">
        <f t="shared" ref="D101:N101" si="32">$G$3</f>
        <v>20.64</v>
      </c>
      <c r="E101" s="2352">
        <f t="shared" si="32"/>
        <v>20.64</v>
      </c>
      <c r="F101" s="2352">
        <f t="shared" si="32"/>
        <v>20.64</v>
      </c>
      <c r="G101" s="2352">
        <f t="shared" si="32"/>
        <v>20.64</v>
      </c>
      <c r="H101" s="2352">
        <f t="shared" si="32"/>
        <v>20.64</v>
      </c>
      <c r="I101" s="2352">
        <f t="shared" si="32"/>
        <v>20.64</v>
      </c>
      <c r="J101" s="2352">
        <f t="shared" si="32"/>
        <v>20.64</v>
      </c>
      <c r="K101" s="2352">
        <f t="shared" si="32"/>
        <v>20.64</v>
      </c>
      <c r="L101" s="2352">
        <f t="shared" si="32"/>
        <v>20.64</v>
      </c>
      <c r="M101" s="2352">
        <f t="shared" si="32"/>
        <v>20.64</v>
      </c>
      <c r="N101" s="2352">
        <f t="shared" si="32"/>
        <v>20.64</v>
      </c>
    </row>
    <row r="102" spans="1:14">
      <c r="A102" s="3286"/>
      <c r="B102" s="2347">
        <v>1</v>
      </c>
      <c r="C102" s="2348">
        <f>1.9362/C101</f>
        <v>9.3808139534883719E-2</v>
      </c>
      <c r="D102" s="2348">
        <f>1.9362/D101</f>
        <v>9.3808139534883719E-2</v>
      </c>
      <c r="E102" s="2348">
        <f>1.8629/E101</f>
        <v>9.0256782945736427E-2</v>
      </c>
      <c r="F102" s="2348">
        <f>1.8629/F101</f>
        <v>9.0256782945736427E-2</v>
      </c>
      <c r="G102" s="2348">
        <f>1.8629/G101</f>
        <v>9.0256782945736427E-2</v>
      </c>
      <c r="H102" s="2348">
        <f>1.8629/H101</f>
        <v>9.0256782945736427E-2</v>
      </c>
      <c r="I102" s="2348">
        <f>1.8629/I101</f>
        <v>9.0256782945736427E-2</v>
      </c>
      <c r="J102" s="2348">
        <f>1.942/J101</f>
        <v>9.4089147286821703E-2</v>
      </c>
      <c r="K102" s="2348">
        <f>1.942/K101</f>
        <v>9.4089147286821703E-2</v>
      </c>
      <c r="L102" s="2348">
        <f>1.942/L101</f>
        <v>9.4089147286821703E-2</v>
      </c>
      <c r="M102" s="2348">
        <f>1.942/M101</f>
        <v>9.4089147286821703E-2</v>
      </c>
      <c r="N102" s="2348">
        <f>1.942/N101</f>
        <v>9.4089147286821703E-2</v>
      </c>
    </row>
    <row r="103" spans="1:14">
      <c r="A103" s="3286"/>
      <c r="B103" s="2347">
        <v>2</v>
      </c>
      <c r="C103" s="2348">
        <f>1.4198/C101</f>
        <v>6.8788759689922471E-2</v>
      </c>
      <c r="D103" s="2348">
        <f>1.4198/D101</f>
        <v>6.8788759689922471E-2</v>
      </c>
      <c r="E103" s="2348">
        <f>1.3372/E101</f>
        <v>6.4786821705426351E-2</v>
      </c>
      <c r="F103" s="2348">
        <f>1.3372/F101</f>
        <v>6.4786821705426351E-2</v>
      </c>
      <c r="G103" s="2348">
        <f>1.3372/G101</f>
        <v>6.4786821705426351E-2</v>
      </c>
      <c r="H103" s="2348">
        <f>1.3372/H101</f>
        <v>6.4786821705426351E-2</v>
      </c>
      <c r="I103" s="2348">
        <f>1.3372/I101</f>
        <v>6.4786821705426351E-2</v>
      </c>
      <c r="J103" s="2348">
        <f>1.2799/J101</f>
        <v>6.2010658914728685E-2</v>
      </c>
      <c r="K103" s="2348">
        <f>1.2799/K101</f>
        <v>6.2010658914728685E-2</v>
      </c>
      <c r="L103" s="2348">
        <f>1.2799/L101</f>
        <v>6.2010658914728685E-2</v>
      </c>
      <c r="M103" s="2348">
        <f>1.2799/M101</f>
        <v>6.2010658914728685E-2</v>
      </c>
      <c r="N103" s="2348">
        <f>1.2799/N101</f>
        <v>6.2010658914728685E-2</v>
      </c>
    </row>
    <row r="104" spans="1:14">
      <c r="A104" s="3286"/>
      <c r="B104" s="2347">
        <v>3</v>
      </c>
      <c r="C104" s="2348">
        <f>1.1594/C101</f>
        <v>5.6172480620155035E-2</v>
      </c>
      <c r="D104" s="2348">
        <f>1.1594/D101</f>
        <v>5.6172480620155035E-2</v>
      </c>
      <c r="E104" s="2348">
        <f>1.0788/E101</f>
        <v>5.2267441860465114E-2</v>
      </c>
      <c r="F104" s="2348">
        <f>1.0788/F101</f>
        <v>5.2267441860465114E-2</v>
      </c>
      <c r="G104" s="2348">
        <f>1.0788/G101</f>
        <v>5.2267441860465114E-2</v>
      </c>
      <c r="H104" s="2348">
        <f>1.0788/H101</f>
        <v>5.2267441860465114E-2</v>
      </c>
      <c r="I104" s="2348">
        <f>1.0788/I101</f>
        <v>5.2267441860465114E-2</v>
      </c>
      <c r="J104" s="2348">
        <f>1.0072/J101</f>
        <v>4.8798449612403101E-2</v>
      </c>
      <c r="K104" s="2348">
        <f>1.0072/K101</f>
        <v>4.8798449612403101E-2</v>
      </c>
      <c r="L104" s="2348">
        <f>1.0072/L101</f>
        <v>4.8798449612403101E-2</v>
      </c>
      <c r="M104" s="2348">
        <f>1.0072/M101</f>
        <v>4.8798449612403101E-2</v>
      </c>
      <c r="N104" s="2348">
        <f>1.0072/N101</f>
        <v>4.8798449612403101E-2</v>
      </c>
    </row>
    <row r="105" spans="1:14">
      <c r="A105" s="3286"/>
      <c r="B105" s="2347">
        <v>4</v>
      </c>
      <c r="C105" s="2348">
        <f>0.9622/C101</f>
        <v>4.6618217054263569E-2</v>
      </c>
      <c r="D105" s="2348">
        <f>0.9622/D101</f>
        <v>4.6618217054263569E-2</v>
      </c>
      <c r="E105" s="2348">
        <f>0.8656/E101</f>
        <v>4.1937984496124028E-2</v>
      </c>
      <c r="F105" s="2348">
        <f>0.8656/F101</f>
        <v>4.1937984496124028E-2</v>
      </c>
      <c r="G105" s="2348">
        <f>0.8656/G101</f>
        <v>4.1937984496124028E-2</v>
      </c>
      <c r="H105" s="2348">
        <f>0.8656/H101</f>
        <v>4.1937984496124028E-2</v>
      </c>
      <c r="I105" s="2348">
        <f>0.8656/I101</f>
        <v>4.1937984496124028E-2</v>
      </c>
      <c r="J105" s="2348">
        <f>0.7525/J101</f>
        <v>3.6458333333333329E-2</v>
      </c>
      <c r="K105" s="2348">
        <f>0.7525/K101</f>
        <v>3.6458333333333329E-2</v>
      </c>
      <c r="L105" s="2348">
        <f>0.7525/L101</f>
        <v>3.6458333333333329E-2</v>
      </c>
      <c r="M105" s="2348">
        <f>0.7525/M101</f>
        <v>3.6458333333333329E-2</v>
      </c>
      <c r="N105" s="2348">
        <f>0.7525/N101</f>
        <v>3.6458333333333329E-2</v>
      </c>
    </row>
    <row r="106" spans="1:14">
      <c r="A106" s="3286"/>
      <c r="B106" s="2347">
        <v>5</v>
      </c>
      <c r="C106" s="2348">
        <f>0.8417/C101</f>
        <v>4.078003875968992E-2</v>
      </c>
      <c r="D106" s="2348">
        <f>0.8417/D101</f>
        <v>4.078003875968992E-2</v>
      </c>
      <c r="E106" s="2348">
        <f>0.7371/E101</f>
        <v>3.5712209302325576E-2</v>
      </c>
      <c r="F106" s="2348">
        <f>0.7371/F101</f>
        <v>3.5712209302325576E-2</v>
      </c>
      <c r="G106" s="2348">
        <f>0.7371/G101</f>
        <v>3.5712209302325576E-2</v>
      </c>
      <c r="H106" s="2348">
        <f>0.7371/H101</f>
        <v>3.5712209302325576E-2</v>
      </c>
      <c r="I106" s="2348">
        <f>0.7371/I101</f>
        <v>3.5712209302325576E-2</v>
      </c>
      <c r="J106" s="2348">
        <f>0.5659/J101</f>
        <v>2.7417635658914728E-2</v>
      </c>
      <c r="K106" s="2348">
        <f>0.5659/K101</f>
        <v>2.7417635658914728E-2</v>
      </c>
      <c r="L106" s="2348">
        <f>0.5659/L101</f>
        <v>2.7417635658914728E-2</v>
      </c>
      <c r="M106" s="2348">
        <f>0.5659/M101</f>
        <v>2.7417635658914728E-2</v>
      </c>
      <c r="N106" s="2348">
        <f>0.5659/N101</f>
        <v>2.7417635658914728E-2</v>
      </c>
    </row>
    <row r="107" spans="1:14">
      <c r="A107" s="3286"/>
      <c r="B107" s="2347">
        <v>6</v>
      </c>
      <c r="C107" s="2348">
        <f>0.7608/C101</f>
        <v>3.6860465116279072E-2</v>
      </c>
      <c r="D107" s="2348">
        <f>0.7608/D101</f>
        <v>3.6860465116279072E-2</v>
      </c>
      <c r="E107" s="2348">
        <f>0.6482/E101</f>
        <v>3.1405038759689918E-2</v>
      </c>
      <c r="F107" s="2348">
        <f>0.6482/F101</f>
        <v>3.1405038759689918E-2</v>
      </c>
      <c r="G107" s="2348">
        <f>0.6482/G101</f>
        <v>3.1405038759689918E-2</v>
      </c>
      <c r="H107" s="2348">
        <f>0.6482/H101</f>
        <v>3.1405038759689918E-2</v>
      </c>
      <c r="I107" s="2348">
        <f>0.6482/I101</f>
        <v>3.1405038759689918E-2</v>
      </c>
      <c r="J107" s="2348">
        <f>0.4525/J101</f>
        <v>2.1923449612403102E-2</v>
      </c>
      <c r="K107" s="2348">
        <f>0.4525/K101</f>
        <v>2.1923449612403102E-2</v>
      </c>
      <c r="L107" s="2348">
        <f>0.4525/L101</f>
        <v>2.1923449612403102E-2</v>
      </c>
      <c r="M107" s="2348">
        <f>0.4525/M101</f>
        <v>2.1923449612403102E-2</v>
      </c>
      <c r="N107" s="2348">
        <f>0.4525/N101</f>
        <v>2.1923449612403102E-2</v>
      </c>
    </row>
    <row r="108" spans="1:14">
      <c r="A108" s="3286"/>
      <c r="B108" s="3288" t="s">
        <v>2795</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87"/>
      <c r="B109" s="3289"/>
      <c r="C109" s="2350">
        <f>(-0.163*(C108^2)-0.59*C108+7617)*(10^(-4))/C101</f>
        <v>3.6904069767441865E-2</v>
      </c>
      <c r="D109" s="2350">
        <f>(-0.163*(D108^2)-0.59*D108+7617)*(10^(-4))/D101</f>
        <v>3.6904069767441865E-2</v>
      </c>
      <c r="E109" s="2350">
        <f>(-0.161*(E108^2)-7.509*E108+6533)*(10^(-4))/E101</f>
        <v>3.1652131782945736E-2</v>
      </c>
      <c r="F109" s="2350">
        <f>(-0.161*(F108^2)-7.509*F108+6533)*(10^(-4))/F101</f>
        <v>3.1652131782945736E-2</v>
      </c>
      <c r="G109" s="2350">
        <f>(-0.161*(G108^2)-7.509*G108+6533)*(10^(-4))/G101</f>
        <v>3.1652131782945736E-2</v>
      </c>
      <c r="H109" s="2350">
        <f>(-0.161*(H108^2)-7.509*H108+6533)*(10^(-4))/H101</f>
        <v>3.1652131782945736E-2</v>
      </c>
      <c r="I109" s="2350">
        <f>(-0.161*(I108^2)-7.509*I108+6533)*(10^(-4))/I101</f>
        <v>3.1652131782945736E-2</v>
      </c>
      <c r="J109" s="2350">
        <f>(-0.214*(J108^2)-21.991*J108+4665)*(10^(-4))/J101</f>
        <v>2.2601744186046512E-2</v>
      </c>
      <c r="K109" s="2350">
        <f>(-0.214*(K108^2)-21.991*K108+4665)*(10^(-4))/K101</f>
        <v>2.2601744186046512E-2</v>
      </c>
      <c r="L109" s="2350">
        <f>(-0.214*(L108^2)-21.991*L108+4665)*(10^(-4))/L101</f>
        <v>2.2601744186046512E-2</v>
      </c>
      <c r="M109" s="2350">
        <f>(-0.214*(M108^2)-21.991*M108+4665)*(10^(-4))/M101</f>
        <v>2.2601744186046512E-2</v>
      </c>
      <c r="N109" s="2350">
        <f>(-0.214*(N108^2)-21.991*N108+4665)*(10^(-4))/N101</f>
        <v>2.2601744186046512E-2</v>
      </c>
    </row>
    <row r="110" spans="1:14">
      <c r="A110" s="3283" t="s">
        <v>2796</v>
      </c>
      <c r="B110" s="3283"/>
      <c r="C110" s="3283"/>
      <c r="D110" s="3283"/>
      <c r="E110" s="3283"/>
      <c r="F110" s="3283"/>
      <c r="G110" s="3283"/>
      <c r="H110" s="3283"/>
      <c r="I110" s="3283"/>
      <c r="J110" s="3283"/>
      <c r="K110" s="2353"/>
      <c r="L110" s="2353"/>
      <c r="M110" s="2353"/>
      <c r="N110" s="2353"/>
    </row>
    <row r="112" spans="1:14" ht="13.5" thickBot="1"/>
    <row r="113" spans="1:13" ht="25.5" thickBot="1">
      <c r="A113" s="842" t="s">
        <v>2797</v>
      </c>
      <c r="B113" s="1196">
        <f>G3</f>
        <v>20.64</v>
      </c>
      <c r="C113" s="843" t="s">
        <v>2798</v>
      </c>
      <c r="D113" s="844">
        <f>SUMPRODUCT((A115:A118=F113)*(B114:M114=H113)*B115:M118)</f>
        <v>0.70130000000000003</v>
      </c>
      <c r="E113" s="2189" t="s">
        <v>2632</v>
      </c>
      <c r="F113" s="2355" t="str">
        <f>E2</f>
        <v>办公</v>
      </c>
      <c r="G113" s="2189" t="s">
        <v>2633</v>
      </c>
      <c r="H113" s="2355" t="str">
        <f>G2</f>
        <v>二级</v>
      </c>
      <c r="I113" s="2189"/>
      <c r="J113" s="2356"/>
      <c r="K113" s="2356"/>
      <c r="L113" s="2356"/>
      <c r="M113" s="2356"/>
    </row>
    <row r="114" spans="1:13">
      <c r="A114" s="847"/>
      <c r="B114" s="2357" t="s">
        <v>2799</v>
      </c>
      <c r="C114" s="2357" t="s">
        <v>2800</v>
      </c>
      <c r="D114" s="2357" t="s">
        <v>2801</v>
      </c>
      <c r="E114" s="2358" t="s">
        <v>2802</v>
      </c>
      <c r="F114" s="2358" t="s">
        <v>2803</v>
      </c>
      <c r="G114" s="2358" t="s">
        <v>2804</v>
      </c>
      <c r="H114" s="2359" t="s">
        <v>2805</v>
      </c>
      <c r="I114" s="2359" t="s">
        <v>2806</v>
      </c>
      <c r="J114" s="2360" t="s">
        <v>2807</v>
      </c>
      <c r="K114" s="2360" t="s">
        <v>2808</v>
      </c>
      <c r="L114" s="2360" t="s">
        <v>2809</v>
      </c>
      <c r="M114" s="2361" t="s">
        <v>2810</v>
      </c>
    </row>
    <row r="115" spans="1:13">
      <c r="A115" s="848" t="s">
        <v>2697</v>
      </c>
      <c r="B115" s="849">
        <f>ROUND(0.9335-0.0094*B113,4)</f>
        <v>0.73950000000000005</v>
      </c>
      <c r="C115" s="849">
        <f>B115</f>
        <v>0.73950000000000005</v>
      </c>
      <c r="D115" s="849">
        <f>ROUND(0.8331-0.0109*B113,4)</f>
        <v>0.60809999999999997</v>
      </c>
      <c r="E115" s="849">
        <f>D115</f>
        <v>0.60809999999999997</v>
      </c>
      <c r="F115" s="849">
        <f>E115</f>
        <v>0.60809999999999997</v>
      </c>
      <c r="G115" s="849">
        <f>F115</f>
        <v>0.60809999999999997</v>
      </c>
      <c r="H115" s="849">
        <f>G115</f>
        <v>0.60809999999999997</v>
      </c>
      <c r="I115" s="849">
        <f>ROUND(0.689-0.0155*B113,4)</f>
        <v>0.36909999999999998</v>
      </c>
      <c r="J115" s="849">
        <f t="shared" ref="J115:M118" si="34">I115</f>
        <v>0.36909999999999998</v>
      </c>
      <c r="K115" s="849">
        <f t="shared" si="34"/>
        <v>0.36909999999999998</v>
      </c>
      <c r="L115" s="849">
        <f t="shared" si="34"/>
        <v>0.36909999999999998</v>
      </c>
      <c r="M115" s="850">
        <f t="shared" si="34"/>
        <v>0.36909999999999998</v>
      </c>
    </row>
    <row r="116" spans="1:13">
      <c r="A116" s="848" t="s">
        <v>2698</v>
      </c>
      <c r="B116" s="849">
        <f>ROUND(0.949-0.012*B113,4)</f>
        <v>0.70130000000000003</v>
      </c>
      <c r="C116" s="849">
        <f>B116</f>
        <v>0.70130000000000003</v>
      </c>
      <c r="D116" s="849">
        <f>ROUND(0.8567-0.013*B113,4)</f>
        <v>0.58840000000000003</v>
      </c>
      <c r="E116" s="849">
        <f t="shared" ref="E116:H117" si="35">D116</f>
        <v>0.58840000000000003</v>
      </c>
      <c r="F116" s="849">
        <f t="shared" si="35"/>
        <v>0.58840000000000003</v>
      </c>
      <c r="G116" s="849">
        <f t="shared" si="35"/>
        <v>0.58840000000000003</v>
      </c>
      <c r="H116" s="849">
        <f t="shared" si="35"/>
        <v>0.58840000000000003</v>
      </c>
      <c r="I116" s="849">
        <f>ROUND(0.7694-0.014*B113,4)</f>
        <v>0.48039999999999999</v>
      </c>
      <c r="J116" s="849">
        <f t="shared" si="34"/>
        <v>0.48039999999999999</v>
      </c>
      <c r="K116" s="849">
        <f t="shared" si="34"/>
        <v>0.48039999999999999</v>
      </c>
      <c r="L116" s="849">
        <f t="shared" si="34"/>
        <v>0.48039999999999999</v>
      </c>
      <c r="M116" s="850">
        <f t="shared" si="34"/>
        <v>0.48039999999999999</v>
      </c>
    </row>
    <row r="117" spans="1:13">
      <c r="A117" s="848" t="s">
        <v>2699</v>
      </c>
      <c r="B117" s="849">
        <f>ROUND(0.8808-0.006*B113,4)</f>
        <v>0.75700000000000001</v>
      </c>
      <c r="C117" s="849">
        <f>B117</f>
        <v>0.75700000000000001</v>
      </c>
      <c r="D117" s="849">
        <f>ROUND(0.8748-0.008*B113,4)</f>
        <v>0.7097</v>
      </c>
      <c r="E117" s="849">
        <f t="shared" si="35"/>
        <v>0.7097</v>
      </c>
      <c r="F117" s="849">
        <f t="shared" si="35"/>
        <v>0.7097</v>
      </c>
      <c r="G117" s="849">
        <f t="shared" si="35"/>
        <v>0.7097</v>
      </c>
      <c r="H117" s="849">
        <f t="shared" si="35"/>
        <v>0.7097</v>
      </c>
      <c r="I117" s="849">
        <f>ROUND(0.7412-0.0095*B113,4)</f>
        <v>0.54510000000000003</v>
      </c>
      <c r="J117" s="849">
        <f t="shared" si="34"/>
        <v>0.54510000000000003</v>
      </c>
      <c r="K117" s="849">
        <f t="shared" si="34"/>
        <v>0.54510000000000003</v>
      </c>
      <c r="L117" s="849">
        <f t="shared" si="34"/>
        <v>0.54510000000000003</v>
      </c>
      <c r="M117" s="850">
        <f t="shared" si="34"/>
        <v>0.54510000000000003</v>
      </c>
    </row>
    <row r="118" spans="1:13" ht="13.5" thickBot="1">
      <c r="A118" s="670" t="s">
        <v>2700</v>
      </c>
      <c r="B118" s="851">
        <f>ROUND(0.7275-0.01*B113,4)</f>
        <v>0.52110000000000001</v>
      </c>
      <c r="C118" s="851">
        <f>B118</f>
        <v>0.52110000000000001</v>
      </c>
      <c r="D118" s="851">
        <f>ROUND(0.7043-0.012*B113,4)</f>
        <v>0.45660000000000001</v>
      </c>
      <c r="E118" s="851">
        <f>D118</f>
        <v>0.45660000000000001</v>
      </c>
      <c r="F118" s="851">
        <f>E118</f>
        <v>0.45660000000000001</v>
      </c>
      <c r="G118" s="851">
        <f>ROUND(0.6299-0.0122*B113,4)</f>
        <v>0.37809999999999999</v>
      </c>
      <c r="H118" s="851">
        <f>G118</f>
        <v>0.37809999999999999</v>
      </c>
      <c r="I118" s="851">
        <f>ROUND(0.5667-0.0136*B113,4)</f>
        <v>0.28599999999999998</v>
      </c>
      <c r="J118" s="851">
        <f t="shared" si="34"/>
        <v>0.28599999999999998</v>
      </c>
      <c r="K118" s="851">
        <f t="shared" si="34"/>
        <v>0.28599999999999998</v>
      </c>
      <c r="L118" s="851">
        <f t="shared" si="34"/>
        <v>0.28599999999999998</v>
      </c>
      <c r="M118" s="852">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1550</v>
      </c>
      <c r="B1" s="722"/>
      <c r="C1" s="1564" t="s">
        <v>27</v>
      </c>
      <c r="D1" s="1547" t="s">
        <v>70</v>
      </c>
      <c r="E1" s="1548" t="s">
        <v>1348</v>
      </c>
      <c r="F1" s="1192">
        <f ca="1">J53</f>
        <v>28.97</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1551</v>
      </c>
      <c r="B2" s="1571">
        <f ca="1">ROUND(D2/10000,0)</f>
        <v>1372</v>
      </c>
      <c r="C2" s="1572" t="s">
        <v>1552</v>
      </c>
      <c r="D2" s="1656">
        <f ca="1">C40+J29+L46</f>
        <v>13719675</v>
      </c>
      <c r="E2" s="1573" t="s">
        <v>1553</v>
      </c>
      <c r="F2" s="1574"/>
      <c r="G2" s="2936"/>
      <c r="H2" s="2925"/>
      <c r="I2" s="2925"/>
      <c r="J2" s="2925"/>
      <c r="K2" s="2926"/>
      <c r="L2" s="2925"/>
      <c r="M2" s="2925"/>
    </row>
    <row r="3" spans="1:37" ht="18" customHeight="1" thickBot="1">
      <c r="A3" s="1575" t="s">
        <v>1554</v>
      </c>
      <c r="B3" s="1576">
        <f ca="1">IF(ISERROR(D2/F43),0,ROUND(D2/F43,0))</f>
        <v>57068</v>
      </c>
      <c r="C3" s="1572" t="s">
        <v>1555</v>
      </c>
      <c r="D3" s="1572"/>
      <c r="E3" s="1573"/>
      <c r="F3" s="1574"/>
      <c r="G3" s="2936"/>
      <c r="H3" s="692" t="s">
        <v>1549</v>
      </c>
      <c r="I3" s="1567"/>
      <c r="J3" s="1567"/>
      <c r="K3" s="1568"/>
      <c r="L3" s="1567"/>
      <c r="M3" s="1567"/>
    </row>
    <row r="4" spans="1:37" ht="18" customHeight="1">
      <c r="A4" s="301" t="s">
        <v>1556</v>
      </c>
      <c r="B4" s="302" t="s">
        <v>1557</v>
      </c>
      <c r="C4" s="302" t="s">
        <v>1558</v>
      </c>
      <c r="D4" s="302" t="s">
        <v>1559</v>
      </c>
      <c r="E4" s="303" t="s">
        <v>1560</v>
      </c>
      <c r="F4" s="304"/>
      <c r="G4" s="1569"/>
      <c r="H4" s="301" t="s">
        <v>1556</v>
      </c>
      <c r="I4" s="302" t="s">
        <v>1557</v>
      </c>
      <c r="J4" s="302" t="s">
        <v>1558</v>
      </c>
      <c r="K4" s="302" t="s">
        <v>1559</v>
      </c>
      <c r="L4" s="303" t="s">
        <v>1560</v>
      </c>
      <c r="M4" s="304"/>
    </row>
    <row r="5" spans="1:37" ht="18" customHeight="1">
      <c r="A5" s="305">
        <v>1</v>
      </c>
      <c r="B5" s="306" t="s">
        <v>1561</v>
      </c>
      <c r="C5" s="1201">
        <f ca="1">C6+C10+C12</f>
        <v>830271</v>
      </c>
      <c r="D5" s="1549" t="s">
        <v>1562</v>
      </c>
      <c r="E5" s="1202"/>
      <c r="F5" s="1203"/>
      <c r="G5" s="1569"/>
      <c r="H5" s="305">
        <v>1</v>
      </c>
      <c r="I5" s="306" t="s">
        <v>1561</v>
      </c>
      <c r="J5" s="1201">
        <f ca="1">J6+J10+J12</f>
        <v>0</v>
      </c>
      <c r="K5" s="1549" t="s">
        <v>1562</v>
      </c>
      <c r="L5" s="1202"/>
      <c r="M5" s="1203"/>
    </row>
    <row r="6" spans="1:37" ht="18" customHeight="1">
      <c r="A6" s="1200" t="s">
        <v>1003</v>
      </c>
      <c r="B6" s="3306" t="s">
        <v>1364</v>
      </c>
      <c r="C6" s="1205">
        <f ca="1">ROUND(F6*F8*F7*(1-F9),0)</f>
        <v>829234</v>
      </c>
      <c r="D6" s="160" t="s">
        <v>2843</v>
      </c>
      <c r="E6" s="308" t="s">
        <v>1366</v>
      </c>
      <c r="F6" s="309">
        <f ca="1">INDIRECT("'数据-取费表'!u"&amp;$G$1)</f>
        <v>10.5</v>
      </c>
      <c r="G6" s="1569"/>
      <c r="H6" s="1200" t="s">
        <v>1003</v>
      </c>
      <c r="I6" s="3306" t="s">
        <v>1364</v>
      </c>
      <c r="J6" s="307">
        <f ca="1">ROUND(M6*M8*M7*(1-M9),0)</f>
        <v>0</v>
      </c>
      <c r="K6" s="1561" t="s">
        <v>2844</v>
      </c>
      <c r="L6" s="308" t="s">
        <v>1366</v>
      </c>
      <c r="M6" s="309">
        <f ca="1">INDIRECT("'数据-取费表'!z"&amp;$G$1)</f>
        <v>0</v>
      </c>
    </row>
    <row r="7" spans="1:37" ht="18" customHeight="1">
      <c r="A7" s="1204"/>
      <c r="B7" s="3307"/>
      <c r="C7" s="1206"/>
      <c r="D7" s="313"/>
      <c r="E7" s="1207" t="s">
        <v>1367</v>
      </c>
      <c r="F7" s="309">
        <f ca="1">IF(INDIRECT("'数据-取费表'!ah"&amp;$G$1)="",INDIRECT("'数据-取费表'!k"&amp;$G$1),INDIRECT("'数据-取费表'!ah"&amp;$G$1))</f>
        <v>240.41</v>
      </c>
      <c r="G7" s="1569"/>
      <c r="H7" s="310"/>
      <c r="I7" s="3307"/>
      <c r="J7" s="312"/>
      <c r="K7" s="313"/>
      <c r="L7" s="308" t="s">
        <v>1367</v>
      </c>
      <c r="M7" s="309">
        <f ca="1">F7</f>
        <v>240.41</v>
      </c>
    </row>
    <row r="8" spans="1:37" ht="18" customHeight="1">
      <c r="A8" s="310"/>
      <c r="B8" s="3307"/>
      <c r="C8" s="312"/>
      <c r="D8" s="313"/>
      <c r="E8" s="308" t="s">
        <v>1368</v>
      </c>
      <c r="F8" s="309">
        <f ca="1">INDIRECT("'数据-取费表'!ai"&amp;$G$1)</f>
        <v>365</v>
      </c>
      <c r="G8" s="1569"/>
      <c r="H8" s="310"/>
      <c r="I8" s="3307"/>
      <c r="J8" s="312"/>
      <c r="K8" s="313"/>
      <c r="L8" s="308" t="s">
        <v>1368</v>
      </c>
      <c r="M8" s="309">
        <f ca="1">INDIRECT("'数据-取费表'!ai"&amp;$G$1)</f>
        <v>365</v>
      </c>
    </row>
    <row r="9" spans="1:37" ht="18" customHeight="1">
      <c r="A9" s="310"/>
      <c r="B9" s="3308"/>
      <c r="C9" s="312"/>
      <c r="D9" s="313"/>
      <c r="E9" s="308" t="s">
        <v>1369</v>
      </c>
      <c r="F9" s="318">
        <f ca="1">INDIRECT("'数据-取费表'!w"&amp;$G$1)</f>
        <v>0.1</v>
      </c>
      <c r="G9" s="1569"/>
      <c r="H9" s="310"/>
      <c r="I9" s="3308"/>
      <c r="J9" s="312"/>
      <c r="K9" s="313"/>
      <c r="L9" s="319" t="s">
        <v>1369</v>
      </c>
      <c r="M9" s="320">
        <f ca="1">INDIRECT("'数据-取费表'!ab"&amp;$G$1)</f>
        <v>0</v>
      </c>
    </row>
    <row r="10" spans="1:37" ht="18" customHeight="1">
      <c r="A10" s="1200" t="s">
        <v>1007</v>
      </c>
      <c r="B10" s="1550" t="s">
        <v>1370</v>
      </c>
      <c r="C10" s="322">
        <f ca="1">ROUND(IF(F10="押一",C6/12*F11,IF(F10="押二",C6/12*2*F11,IF(F10="押三",C6/12*3*F11,C11*F11))),0)</f>
        <v>1037</v>
      </c>
      <c r="D10" s="1551" t="s">
        <v>2853</v>
      </c>
      <c r="E10" s="319" t="s">
        <v>1371</v>
      </c>
      <c r="F10" s="1275" t="s">
        <v>3218</v>
      </c>
      <c r="G10" s="1569"/>
      <c r="H10" s="1200" t="s">
        <v>1007</v>
      </c>
      <c r="I10" s="1550" t="s">
        <v>1370</v>
      </c>
      <c r="J10" s="307">
        <f ca="1">ROUND(IF(M10="押一",J6/12*M11,IF(M10="押二",J6/12*2*M11,IF(M10="押三",J6/12*3*M11,J11*M11))),0)</f>
        <v>0</v>
      </c>
      <c r="K10" s="1562" t="s">
        <v>2855</v>
      </c>
      <c r="L10" s="319" t="s">
        <v>1371</v>
      </c>
      <c r="M10" s="1275"/>
    </row>
    <row r="11" spans="1:37" ht="18" customHeight="1">
      <c r="A11" s="314"/>
      <c r="B11" s="1552" t="s">
        <v>1563</v>
      </c>
      <c r="C11" s="1090"/>
      <c r="D11" s="313"/>
      <c r="E11" s="319" t="s">
        <v>1373</v>
      </c>
      <c r="F11" s="320">
        <f ca="1">'数据-取费表'!B39</f>
        <v>1.4999999999999999E-2</v>
      </c>
      <c r="G11" s="1569"/>
      <c r="H11" s="1208"/>
      <c r="I11" s="1552" t="s">
        <v>1564</v>
      </c>
      <c r="J11" s="1090"/>
      <c r="K11" s="693"/>
      <c r="L11" s="319" t="s">
        <v>1373</v>
      </c>
      <c r="M11" s="971">
        <f ca="1">'数据-取费表'!B39</f>
        <v>1.4999999999999999E-2</v>
      </c>
    </row>
    <row r="12" spans="1:37" ht="18" customHeight="1" thickBot="1">
      <c r="A12" s="1242" t="s">
        <v>1043</v>
      </c>
      <c r="B12" s="1554" t="s">
        <v>1374</v>
      </c>
      <c r="C12" s="1243"/>
      <c r="D12" s="1244"/>
      <c r="E12" s="1249"/>
      <c r="F12" s="1245"/>
      <c r="G12" s="1569"/>
      <c r="H12" s="1242" t="s">
        <v>1043</v>
      </c>
      <c r="I12" s="1554" t="s">
        <v>1374</v>
      </c>
      <c r="J12" s="1243"/>
      <c r="K12" s="1257"/>
      <c r="L12" s="1249"/>
      <c r="M12" s="1258"/>
    </row>
    <row r="13" spans="1:37" ht="18" customHeight="1" thickTop="1">
      <c r="A13" s="1238">
        <v>2</v>
      </c>
      <c r="B13" s="1239" t="s">
        <v>1375</v>
      </c>
      <c r="C13" s="316">
        <f ca="1">ROUND(C29*F13,0)</f>
        <v>1432729</v>
      </c>
      <c r="D13" s="1240" t="s">
        <v>1376</v>
      </c>
      <c r="E13" s="1240" t="s">
        <v>1377</v>
      </c>
      <c r="F13" s="1241">
        <f ca="1">INDIRECT("'数据-取费表'!y"&amp;$G$1)</f>
        <v>0.78</v>
      </c>
      <c r="G13" s="1569"/>
      <c r="H13" s="1238">
        <v>2</v>
      </c>
      <c r="I13" s="1239" t="s">
        <v>1375</v>
      </c>
      <c r="J13" s="1199">
        <f ca="1">ROUND(J14*J15,0)</f>
        <v>0</v>
      </c>
      <c r="K13" s="1246" t="s">
        <v>1376</v>
      </c>
      <c r="L13" s="1577"/>
      <c r="M13" s="1578"/>
    </row>
    <row r="14" spans="1:37" ht="18" customHeight="1">
      <c r="A14" s="1113" t="s">
        <v>1002</v>
      </c>
      <c r="B14" s="308" t="s">
        <v>1378</v>
      </c>
      <c r="C14" s="324">
        <f ca="1">ROUND(INDIRECT("'数据-取费表'!l"&amp;$G$1)*F43+'数据-取费表'!L14*INDIRECT("'数据-取费表'!S"&amp;$G$1),0)</f>
        <v>1202050</v>
      </c>
      <c r="D14" s="1530" t="s">
        <v>1379</v>
      </c>
      <c r="E14" s="1527"/>
      <c r="F14" s="325"/>
      <c r="G14" s="1569"/>
      <c r="H14" s="1113" t="s">
        <v>1003</v>
      </c>
      <c r="I14" s="308" t="s">
        <v>1380</v>
      </c>
      <c r="J14" s="24">
        <f ca="1">C29</f>
        <v>1836832</v>
      </c>
      <c r="K14" s="15"/>
      <c r="L14" s="916"/>
      <c r="M14" s="917"/>
    </row>
    <row r="15" spans="1:37" s="1582" customFormat="1" ht="18" customHeight="1" thickBot="1">
      <c r="A15" s="1113" t="s">
        <v>1004</v>
      </c>
      <c r="B15" s="308" t="s">
        <v>1381</v>
      </c>
      <c r="C15" s="24">
        <f ca="1">ROUND(C14*F15,0)</f>
        <v>36062</v>
      </c>
      <c r="D15" s="326" t="s">
        <v>1382</v>
      </c>
      <c r="E15" s="326" t="s">
        <v>1383</v>
      </c>
      <c r="F15" s="327">
        <f>'数据-取费表'!B33</f>
        <v>0.03</v>
      </c>
      <c r="G15" s="1581"/>
      <c r="H15" s="1248" t="s">
        <v>1007</v>
      </c>
      <c r="I15" s="1249" t="s">
        <v>1377</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1350</v>
      </c>
      <c r="B16" s="308" t="s">
        <v>1384</v>
      </c>
      <c r="C16" s="24">
        <f ca="1">ROUND(INDIRECT("'数据-取费表'!l"&amp;$G$1)*F43*F16,0)</f>
        <v>0</v>
      </c>
      <c r="D16" s="308" t="s">
        <v>1382</v>
      </c>
      <c r="E16" s="308" t="s">
        <v>1383</v>
      </c>
      <c r="F16" s="328">
        <f ca="1">IF(INDIRECT("'数据-取费表'!c"&amp;$G$1)="住宅",'数据-取费表'!B34,0)</f>
        <v>0</v>
      </c>
      <c r="G16" s="1569"/>
      <c r="H16" s="1238" t="s">
        <v>998</v>
      </c>
      <c r="I16" s="1239" t="s">
        <v>1385</v>
      </c>
      <c r="J16" s="316">
        <f ca="1">ROUND(J17+J22+J23+J24,0)</f>
        <v>43261</v>
      </c>
      <c r="K16" s="1246" t="s">
        <v>1386</v>
      </c>
      <c r="L16" s="1247"/>
      <c r="M16" s="1203"/>
    </row>
    <row r="17" spans="1:37" s="1582" customFormat="1" ht="18" customHeight="1">
      <c r="A17" s="1113" t="s">
        <v>1351</v>
      </c>
      <c r="B17" s="308" t="s">
        <v>1387</v>
      </c>
      <c r="C17" s="24">
        <f ca="1">ROUND(F17*(F43+INDIRECT("'数据-取费表'!S"&amp;$G$1)),0)</f>
        <v>48082</v>
      </c>
      <c r="D17" s="308" t="s">
        <v>1388</v>
      </c>
      <c r="E17" s="308" t="s">
        <v>1389</v>
      </c>
      <c r="F17" s="26">
        <f>'数据-取费表'!B35</f>
        <v>200</v>
      </c>
      <c r="G17" s="1581"/>
      <c r="H17" s="1113" t="s">
        <v>1003</v>
      </c>
      <c r="I17" s="308" t="s">
        <v>1390</v>
      </c>
      <c r="J17" s="2535">
        <f ca="1">ROUND(IF(AND(项目基本情况!B11="自然人",项目基本情况!B10="北京市"),J6*M17/(1+'数据-取费表'!C42),J18+J19+J20),0)</f>
        <v>15709</v>
      </c>
      <c r="K17" s="1530" t="s">
        <v>1391</v>
      </c>
      <c r="L17" s="1529" t="s">
        <v>1392</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1352</v>
      </c>
      <c r="B18" s="308" t="s">
        <v>1393</v>
      </c>
      <c r="C18" s="24">
        <f ca="1">ROUND(C14*F18,0)</f>
        <v>18031</v>
      </c>
      <c r="D18" s="308" t="s">
        <v>1382</v>
      </c>
      <c r="E18" s="308" t="s">
        <v>1383</v>
      </c>
      <c r="F18" s="328">
        <f>'数据-取费表'!B36</f>
        <v>1.4999999999999999E-2</v>
      </c>
      <c r="G18" s="1581"/>
      <c r="H18" s="1113" t="s">
        <v>1002</v>
      </c>
      <c r="I18" s="308" t="s">
        <v>1394</v>
      </c>
      <c r="J18" s="24">
        <f ca="1">ROUND(J6*M18/(1+'数据-取费表'!C42),0)</f>
        <v>0</v>
      </c>
      <c r="K18" s="1529" t="s">
        <v>1395</v>
      </c>
      <c r="L18" s="308" t="s">
        <v>1383</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1396</v>
      </c>
      <c r="C19" s="24">
        <f ca="1">SUM(C14:C18)</f>
        <v>1304225</v>
      </c>
      <c r="D19" s="136" t="s">
        <v>1397</v>
      </c>
      <c r="E19" s="1545"/>
      <c r="F19" s="26"/>
      <c r="G19" s="1569"/>
      <c r="H19" s="1113" t="s">
        <v>1004</v>
      </c>
      <c r="I19" s="308" t="s">
        <v>1398</v>
      </c>
      <c r="J19" s="24">
        <f ca="1">IF(K19="按租金收入计税",ROUND(J6*M19/(1+'数据-取费表'!C42),0),ROUND(C29*M19*0.7,0))</f>
        <v>15429</v>
      </c>
      <c r="K19" s="1555" t="s">
        <v>1399</v>
      </c>
      <c r="L19" s="308" t="s">
        <v>1383</v>
      </c>
      <c r="M19" s="328">
        <f>IF(K19="按租金收入计税",'数据-取费表'!B51,'数据-取费表'!B50)</f>
        <v>1.2E-2</v>
      </c>
    </row>
    <row r="20" spans="1:37" s="1582" customFormat="1" ht="18" customHeight="1">
      <c r="A20" s="1113" t="s">
        <v>1007</v>
      </c>
      <c r="B20" s="308" t="s">
        <v>1400</v>
      </c>
      <c r="C20" s="24">
        <f ca="1">ROUND(C19*F20,0)</f>
        <v>26085</v>
      </c>
      <c r="D20" s="329" t="s">
        <v>1401</v>
      </c>
      <c r="E20" s="308" t="s">
        <v>1383</v>
      </c>
      <c r="F20" s="328">
        <f>'数据-取费表'!B37</f>
        <v>0.02</v>
      </c>
      <c r="G20" s="1581"/>
      <c r="H20" s="1113" t="s">
        <v>1350</v>
      </c>
      <c r="I20" s="160" t="s">
        <v>1402</v>
      </c>
      <c r="J20" s="25">
        <f ca="1">ROUND(M20*M21,0)</f>
        <v>280</v>
      </c>
      <c r="K20" s="330" t="s">
        <v>1403</v>
      </c>
      <c r="L20" s="308" t="s">
        <v>1404</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1405</v>
      </c>
      <c r="C21" s="24" t="s">
        <v>1</v>
      </c>
      <c r="D21" s="329" t="s">
        <v>1406</v>
      </c>
      <c r="E21" s="308" t="s">
        <v>1407</v>
      </c>
      <c r="F21" s="328">
        <f>'数据-取费表'!B38</f>
        <v>0.02</v>
      </c>
      <c r="G21" s="1581"/>
      <c r="H21" s="332"/>
      <c r="I21" s="317"/>
      <c r="J21" s="29"/>
      <c r="K21" s="333"/>
      <c r="L21" s="308" t="s">
        <v>1408</v>
      </c>
      <c r="M21" s="309">
        <f ca="1">INDIRECT("'数据-取费表'!r"&amp;$G$1)</f>
        <v>11.65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5"/>
      <c r="F22" s="26"/>
      <c r="G22" s="1569"/>
      <c r="H22" s="1113" t="s">
        <v>1007</v>
      </c>
      <c r="I22" s="308" t="s">
        <v>1410</v>
      </c>
      <c r="J22" s="24">
        <f ca="1">ROUND(J14*M22,0)</f>
        <v>27552</v>
      </c>
      <c r="K22" s="1529" t="s">
        <v>1411</v>
      </c>
      <c r="L22" s="308" t="s">
        <v>1383</v>
      </c>
      <c r="M22" s="334">
        <f ca="1">INDIRECT("'数据-取费表'!Ak"&amp;$G$1)</f>
        <v>1.4999999999999999E-2</v>
      </c>
    </row>
    <row r="23" spans="1:37" s="1582" customFormat="1" ht="18" customHeight="1">
      <c r="A23" s="1113" t="s">
        <v>1002</v>
      </c>
      <c r="B23" s="308" t="s">
        <v>1412</v>
      </c>
      <c r="C23" s="24">
        <f ca="1">IF('数据-取费表'!B22&lt;=1,ROUND(C19*F24*F23/2,0)+ROUND(C20*F24*F23/2,0),ROUND(C19*(POWER((1+F24),F23/2)-1),0)+ROUND(C20*(POWER((1+F24),F23/2)-1),0))</f>
        <v>95901</v>
      </c>
      <c r="D23" s="335" t="str">
        <f>IF(F23&lt;=1,"(建造成本+管理费用)×利率×(建设周期÷2)","(建造成本+管理费用)×((1+利率)^(建设周期÷2)-1)")</f>
        <v>(建造成本+管理费用)×((1+利率)^(建设周期÷2)-1)</v>
      </c>
      <c r="E23" s="308" t="s">
        <v>1413</v>
      </c>
      <c r="F23" s="331">
        <f>'数据-取费表'!B20</f>
        <v>3</v>
      </c>
      <c r="G23" s="1581"/>
      <c r="H23" s="1113" t="s">
        <v>1043</v>
      </c>
      <c r="I23" s="308" t="s">
        <v>1414</v>
      </c>
      <c r="J23" s="24">
        <f ca="1">ROUND(J13*M23,0)</f>
        <v>0</v>
      </c>
      <c r="K23" s="1529" t="s">
        <v>1415</v>
      </c>
      <c r="L23" s="308" t="s">
        <v>1416</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81"/>
      <c r="H24" s="1248" t="s">
        <v>1354</v>
      </c>
      <c r="I24" s="1249" t="s">
        <v>1400</v>
      </c>
      <c r="J24" s="1250">
        <f ca="1">ROUND(J5*M24,0)</f>
        <v>0</v>
      </c>
      <c r="K24" s="1251" t="s">
        <v>1420</v>
      </c>
      <c r="L24" s="1249" t="s">
        <v>1416</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1421</v>
      </c>
      <c r="B25" s="308" t="s">
        <v>1422</v>
      </c>
      <c r="C25" s="24"/>
      <c r="D25" s="136" t="s">
        <v>1423</v>
      </c>
      <c r="E25" s="1545"/>
      <c r="F25" s="26"/>
      <c r="G25" s="1569"/>
      <c r="H25" s="1238" t="s">
        <v>999</v>
      </c>
      <c r="I25" s="1253" t="s">
        <v>1424</v>
      </c>
      <c r="J25" s="316">
        <f ca="1">J5-J16</f>
        <v>-43261</v>
      </c>
      <c r="K25" s="1254" t="s">
        <v>1425</v>
      </c>
      <c r="L25" s="1255"/>
      <c r="M25" s="1256"/>
    </row>
    <row r="26" spans="1:37" ht="18" customHeight="1">
      <c r="A26" s="1113" t="s">
        <v>1002</v>
      </c>
      <c r="B26" s="308" t="s">
        <v>1426</v>
      </c>
      <c r="C26" s="24">
        <f ca="1">ROUND((C19+C20)*F26,0)</f>
        <v>266062</v>
      </c>
      <c r="D26" s="329" t="s">
        <v>1427</v>
      </c>
      <c r="E26" s="319" t="s">
        <v>1428</v>
      </c>
      <c r="F26" s="318">
        <f ca="1">INDIRECT("'数据-取费表'!q"&amp;$G$1)</f>
        <v>0.2</v>
      </c>
      <c r="G26" s="1569"/>
      <c r="H26" s="305" t="s">
        <v>1000</v>
      </c>
      <c r="I26" s="306" t="s">
        <v>1429</v>
      </c>
      <c r="J26" s="307">
        <f ca="1">IF(J5&lt;&gt;0,ROUND(J25*(1-((1+M28)/(1+M26))^M27)/(M26-M28),0),0)</f>
        <v>0</v>
      </c>
      <c r="K26" s="330" t="s">
        <v>1430</v>
      </c>
      <c r="L26" s="308" t="s">
        <v>1431</v>
      </c>
      <c r="M26" s="318">
        <f ca="1">INDIRECT("'数据-取费表'!I"&amp;$G$1)</f>
        <v>5.5E-2</v>
      </c>
    </row>
    <row r="27" spans="1:37" ht="18" customHeight="1">
      <c r="A27" s="1113" t="s">
        <v>1004</v>
      </c>
      <c r="B27" s="308" t="s">
        <v>1432</v>
      </c>
      <c r="C27" s="24">
        <f ca="1">ROUND(F21*F26,4)</f>
        <v>4.0000000000000001E-3</v>
      </c>
      <c r="D27" s="329" t="s">
        <v>1433</v>
      </c>
      <c r="E27" s="326"/>
      <c r="F27" s="327"/>
      <c r="G27" s="1569"/>
      <c r="H27" s="310"/>
      <c r="I27" s="311"/>
      <c r="J27" s="312"/>
      <c r="K27" s="338" t="s">
        <v>1434</v>
      </c>
      <c r="L27" s="308" t="s">
        <v>1435</v>
      </c>
      <c r="M27" s="339">
        <f ca="1">INDIRECT("'数据-取费表'!ag"&amp;$G$1)</f>
        <v>0</v>
      </c>
    </row>
    <row r="28" spans="1:37" s="1582" customFormat="1" ht="18" customHeight="1">
      <c r="A28" s="1113" t="s">
        <v>1005</v>
      </c>
      <c r="B28" s="308" t="s">
        <v>1436</v>
      </c>
      <c r="C28" s="24">
        <f>ROUND(F28/(1+'数据-取费表'!C42),4)</f>
        <v>5.33E-2</v>
      </c>
      <c r="D28" s="329" t="s">
        <v>1437</v>
      </c>
      <c r="E28" s="308" t="s">
        <v>1383</v>
      </c>
      <c r="F28" s="328">
        <f>'数据-取费表'!B41</f>
        <v>5.6000000000000001E-2</v>
      </c>
      <c r="G28" s="1581"/>
      <c r="H28" s="314"/>
      <c r="I28" s="315"/>
      <c r="J28" s="316"/>
      <c r="K28" s="333"/>
      <c r="L28" s="308" t="s">
        <v>1438</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1439</v>
      </c>
      <c r="C29" s="1250">
        <f ca="1">ROUND((C19+C20+C23+C26)/(1-F21-C24-C27-C28),0)</f>
        <v>1836832</v>
      </c>
      <c r="D29" s="1251"/>
      <c r="E29" s="1249"/>
      <c r="F29" s="1252"/>
      <c r="G29" s="1581"/>
      <c r="H29" s="340" t="s">
        <v>1001</v>
      </c>
      <c r="I29" s="341" t="s">
        <v>1440</v>
      </c>
      <c r="J29" s="342">
        <f ca="1">ROUND(J26/(1+F40)^F41,0)</f>
        <v>0</v>
      </c>
      <c r="K29" s="343" t="s">
        <v>1441</v>
      </c>
      <c r="L29" s="344"/>
      <c r="M29" s="345">
        <f ca="1">INDIRECT("'数据-取费表'!k"&amp;$G$1)</f>
        <v>240.41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1385</v>
      </c>
      <c r="C30" s="316">
        <f ca="1">ROUND(C31+C36+C37+C38,0)</f>
        <v>185582</v>
      </c>
      <c r="D30" s="1246" t="s">
        <v>1386</v>
      </c>
      <c r="E30" s="1247"/>
      <c r="F30" s="1203"/>
      <c r="G30" s="1569"/>
      <c r="H30" s="2927"/>
      <c r="I30" s="1583"/>
      <c r="J30" s="1584"/>
      <c r="K30" s="2702"/>
      <c r="L30" s="2928"/>
      <c r="M30" s="2929"/>
    </row>
    <row r="31" spans="1:37" ht="18" customHeight="1">
      <c r="A31" s="1113" t="s">
        <v>1003</v>
      </c>
      <c r="B31" s="308" t="s">
        <v>1390</v>
      </c>
      <c r="C31" s="2535">
        <f ca="1">ROUND(IF(AND(项目基本情况!B11="自然人",项目基本情况!B10="北京市"),C6*F31/(1+'数据-取费表'!C42),C32+C33+C34),0)</f>
        <v>139276</v>
      </c>
      <c r="D31" s="1530" t="s">
        <v>1391</v>
      </c>
      <c r="E31" s="1529" t="s">
        <v>1442</v>
      </c>
      <c r="F31" s="2534" t="str">
        <f>IF(项目基本情况!B11="企业","——",IF('数据-取费表'!B10="住宅",IF(F6*F7*F8/12/(1+'数据-取费表'!F30)&gt;100000,4%,2.5%),IF(F6*F7*F8/12/(1+'数据-取费表'!F30)&gt;100000,12%,7%)))</f>
        <v>——</v>
      </c>
      <c r="G31" s="1569"/>
      <c r="H31" s="3040" t="s">
        <v>3054</v>
      </c>
      <c r="I31" s="1583"/>
      <c r="J31" s="1584"/>
      <c r="K31" s="2702"/>
      <c r="L31" s="2928"/>
      <c r="M31" s="2929"/>
    </row>
    <row r="32" spans="1:37" ht="18" customHeight="1">
      <c r="A32" s="1113" t="s">
        <v>1002</v>
      </c>
      <c r="B32" s="308" t="s">
        <v>1394</v>
      </c>
      <c r="C32" s="24">
        <f ca="1">IF(项目基本情况!B11="自然人","——",ROUND(C6*F32/(1+'数据-取费表'!C42),0))</f>
        <v>44226</v>
      </c>
      <c r="D32" s="1529" t="s">
        <v>1395</v>
      </c>
      <c r="E32" s="308" t="s">
        <v>1383</v>
      </c>
      <c r="F32" s="337">
        <f>'数据-取费表'!B41</f>
        <v>5.6000000000000001E-2</v>
      </c>
      <c r="G32" s="1569"/>
      <c r="H32" s="2927"/>
      <c r="I32" s="1583"/>
      <c r="J32" s="1584"/>
      <c r="K32" s="2702"/>
      <c r="L32" s="2928"/>
      <c r="M32" s="2929"/>
    </row>
    <row r="33" spans="1:18" ht="18" customHeight="1">
      <c r="A33" s="1113" t="s">
        <v>1004</v>
      </c>
      <c r="B33" s="308" t="s">
        <v>1398</v>
      </c>
      <c r="C33" s="24">
        <f ca="1">IF(项目基本情况!B11="自然人","——",IF(D33="按租金收入计税",ROUND(C6*F33/(1+'数据-取费表'!C42),0),IF(D33="按房产原值计税",ROUND(C29*F33*0.7,0),INDIRECT("'数据-取费表'!Aj"&amp;$G$1))))</f>
        <v>94770</v>
      </c>
      <c r="D33" s="1555" t="s">
        <v>3219</v>
      </c>
      <c r="E33" s="308" t="s">
        <v>1383</v>
      </c>
      <c r="F33" s="328">
        <f>IF(D33="按票据","——",IF(D33="按租金收入计税",'数据-取费表'!B51,'数据-取费表'!B50))</f>
        <v>0.12</v>
      </c>
      <c r="G33" s="1569"/>
      <c r="H33" s="2930"/>
      <c r="I33" s="1583"/>
      <c r="J33" s="1584"/>
      <c r="K33" s="2931"/>
      <c r="L33" s="2930"/>
      <c r="M33" s="2930"/>
    </row>
    <row r="34" spans="1:18" ht="18" customHeight="1">
      <c r="A34" s="1200" t="s">
        <v>1350</v>
      </c>
      <c r="B34" s="160" t="s">
        <v>1402</v>
      </c>
      <c r="C34" s="25">
        <f ca="1">IF(项目基本情况!B11="自然人","——",ROUND(F34*F35,))</f>
        <v>280</v>
      </c>
      <c r="D34" s="330" t="s">
        <v>1403</v>
      </c>
      <c r="E34" s="308" t="s">
        <v>1404</v>
      </c>
      <c r="F34" s="331">
        <f>'数据-取费表'!B52</f>
        <v>24</v>
      </c>
      <c r="G34" s="1569"/>
      <c r="H34" s="2927"/>
      <c r="I34" s="1583"/>
      <c r="J34" s="1584"/>
      <c r="K34" s="2932"/>
      <c r="L34" s="2933"/>
      <c r="M34" s="2933"/>
    </row>
    <row r="35" spans="1:18" ht="18" customHeight="1">
      <c r="A35" s="1262"/>
      <c r="B35" s="1260"/>
      <c r="C35" s="29"/>
      <c r="D35" s="333"/>
      <c r="E35" s="308" t="s">
        <v>1408</v>
      </c>
      <c r="F35" s="309">
        <f ca="1">INDIRECT("'数据-取费表'!r"&amp;$G$1)</f>
        <v>11.65</v>
      </c>
      <c r="G35" s="1569"/>
      <c r="H35" s="2927"/>
      <c r="I35" s="1583"/>
      <c r="J35" s="1584"/>
      <c r="K35" s="2931"/>
      <c r="L35" s="2930"/>
      <c r="M35" s="2930"/>
    </row>
    <row r="36" spans="1:18" ht="18" customHeight="1">
      <c r="A36" s="1261" t="s">
        <v>1007</v>
      </c>
      <c r="B36" s="308" t="s">
        <v>1410</v>
      </c>
      <c r="C36" s="24">
        <f ca="1">ROUND(C29*F36,0)</f>
        <v>27552</v>
      </c>
      <c r="D36" s="1529" t="s">
        <v>1443</v>
      </c>
      <c r="E36" s="308" t="s">
        <v>1383</v>
      </c>
      <c r="F36" s="334">
        <f ca="1">INDIRECT("'数据-取费表'!Ak"&amp;$G$1)</f>
        <v>1.4999999999999999E-2</v>
      </c>
      <c r="G36" s="1569"/>
      <c r="H36" s="2930"/>
      <c r="I36" s="1583"/>
      <c r="J36" s="1584"/>
      <c r="K36" s="2771"/>
      <c r="L36" s="2930"/>
      <c r="M36" s="2930"/>
    </row>
    <row r="37" spans="1:18" ht="18" customHeight="1">
      <c r="A37" s="1113" t="s">
        <v>1043</v>
      </c>
      <c r="B37" s="308" t="s">
        <v>1414</v>
      </c>
      <c r="C37" s="24">
        <f ca="1">ROUND(C13*F37,0)</f>
        <v>2149</v>
      </c>
      <c r="D37" s="1529" t="s">
        <v>1415</v>
      </c>
      <c r="E37" s="308" t="s">
        <v>1416</v>
      </c>
      <c r="F37" s="336">
        <f ca="1">INDIRECT("'数据-取费表'!Al"&amp;$G$1)</f>
        <v>1.5E-3</v>
      </c>
      <c r="G37" s="1569"/>
      <c r="H37" s="2930"/>
      <c r="I37" s="1583"/>
      <c r="J37" s="1584"/>
      <c r="K37" s="2771"/>
      <c r="L37" s="2930"/>
      <c r="M37" s="2930"/>
    </row>
    <row r="38" spans="1:18" ht="18" customHeight="1" thickBot="1">
      <c r="A38" s="1248" t="s">
        <v>1354</v>
      </c>
      <c r="B38" s="1249" t="s">
        <v>1400</v>
      </c>
      <c r="C38" s="1250">
        <f ca="1">ROUND(C5*F38,1)</f>
        <v>16605.400000000001</v>
      </c>
      <c r="D38" s="1251" t="s">
        <v>1420</v>
      </c>
      <c r="E38" s="1249" t="s">
        <v>1416</v>
      </c>
      <c r="F38" s="1245">
        <f ca="1">INDIRECT("'数据-取费表'!Am"&amp;$G$1)</f>
        <v>0.02</v>
      </c>
      <c r="G38" s="1569"/>
      <c r="H38" s="2930"/>
      <c r="I38" s="1583"/>
      <c r="J38" s="1584"/>
      <c r="K38" s="2934"/>
      <c r="L38" s="2930"/>
      <c r="M38" s="2930"/>
    </row>
    <row r="39" spans="1:18" ht="24.6" customHeight="1" thickTop="1">
      <c r="A39" s="1238" t="s">
        <v>999</v>
      </c>
      <c r="B39" s="1253" t="s">
        <v>1444</v>
      </c>
      <c r="C39" s="316">
        <f ca="1">C5-C30</f>
        <v>644689</v>
      </c>
      <c r="D39" s="1254" t="s">
        <v>1445</v>
      </c>
      <c r="E39" s="1255"/>
      <c r="F39" s="1256"/>
      <c r="G39" s="1569"/>
      <c r="H39" s="2930"/>
      <c r="I39" s="1583"/>
      <c r="J39" s="1584"/>
      <c r="K39" s="2934"/>
      <c r="L39" s="2930"/>
      <c r="M39" s="2930"/>
    </row>
    <row r="40" spans="1:18" ht="18" customHeight="1">
      <c r="A40" s="305" t="s">
        <v>1000</v>
      </c>
      <c r="B40" s="306" t="s">
        <v>1446</v>
      </c>
      <c r="C40" s="307">
        <f ca="1">ROUND(C39*(1-((1+F42)/(1+F40))^F41)/(F40-F42),0)</f>
        <v>13719675</v>
      </c>
      <c r="D40" s="330" t="s">
        <v>1430</v>
      </c>
      <c r="E40" s="308" t="s">
        <v>1431</v>
      </c>
      <c r="F40" s="318">
        <f ca="1">INDIRECT("'数据-取费表'!I"&amp;$G$1)</f>
        <v>5.5E-2</v>
      </c>
      <c r="G40" s="1569"/>
      <c r="H40" s="1646"/>
      <c r="I40" s="1583"/>
      <c r="J40" s="1584"/>
      <c r="K40" s="2934"/>
      <c r="L40" s="1646"/>
      <c r="M40" s="1646"/>
    </row>
    <row r="41" spans="1:18" ht="18" customHeight="1">
      <c r="A41" s="310"/>
      <c r="B41" s="311"/>
      <c r="C41" s="312"/>
      <c r="D41" s="338" t="s">
        <v>1447</v>
      </c>
      <c r="E41" s="308" t="s">
        <v>1435</v>
      </c>
      <c r="F41" s="339">
        <f ca="1">IF(INDIRECT("'数据-取费表'!af"&amp;$G$1)=0,INDIRECT("'数据-取费表'!ae"&amp;$G$1),INDIRECT("'数据-取费表'!af"&amp;$G$1))</f>
        <v>28.97</v>
      </c>
      <c r="G41" s="1569"/>
      <c r="H41" s="1352"/>
      <c r="I41" s="1583"/>
      <c r="J41" s="1584"/>
      <c r="K41" s="2771"/>
      <c r="L41" s="1352"/>
      <c r="M41" s="1352"/>
    </row>
    <row r="42" spans="1:18" ht="18" customHeight="1">
      <c r="A42" s="314"/>
      <c r="B42" s="315"/>
      <c r="C42" s="316"/>
      <c r="D42" s="333"/>
      <c r="E42" s="308" t="s">
        <v>1438</v>
      </c>
      <c r="F42" s="318">
        <f ca="1">INDIRECT("'数据-取费表'!v"&amp;$G$1)</f>
        <v>3.5000000000000003E-2</v>
      </c>
      <c r="G42" s="1569"/>
      <c r="H42" s="1352"/>
      <c r="I42" s="1583"/>
      <c r="J42" s="1584"/>
      <c r="K42" s="2771"/>
      <c r="L42" s="1352"/>
      <c r="M42" s="1352"/>
    </row>
    <row r="43" spans="1:18" ht="18" customHeight="1" thickBot="1">
      <c r="A43" s="340" t="s">
        <v>1001</v>
      </c>
      <c r="B43" s="341" t="s">
        <v>1448</v>
      </c>
      <c r="C43" s="342">
        <f ca="1">ROUND(C40/F43,0)</f>
        <v>57068</v>
      </c>
      <c r="D43" s="343" t="s">
        <v>1449</v>
      </c>
      <c r="E43" s="344" t="s">
        <v>1450</v>
      </c>
      <c r="F43" s="345">
        <f ca="1">INDIRECT("'数据-取费表'!k"&amp;$G$1)</f>
        <v>240.41</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f ca="1">C68-C40</f>
        <v>-17641245</v>
      </c>
      <c r="D45" s="1658" t="s">
        <v>1565</v>
      </c>
      <c r="E45" s="1585"/>
      <c r="F45" s="1585"/>
      <c r="O45" s="1588" t="s">
        <v>1480</v>
      </c>
      <c r="P45" s="1646"/>
      <c r="Q45" s="1646"/>
      <c r="R45" s="1646"/>
    </row>
    <row r="46" spans="1:18" s="1569" customFormat="1" ht="13.5" thickBot="1">
      <c r="A46" s="1589" t="s">
        <v>1481</v>
      </c>
      <c r="C46" s="1590">
        <f ca="1">ROUND(C45/10000,0)</f>
        <v>-1764</v>
      </c>
      <c r="D46" s="1591" t="str">
        <f>C2</f>
        <v>万元</v>
      </c>
      <c r="I46" s="1592" t="s">
        <v>1482</v>
      </c>
      <c r="J46" s="1593"/>
      <c r="K46" s="1594"/>
      <c r="L46" s="1595" t="str">
        <f ca="1">IF(M47="住宅",0,IF(L48&gt;J51,L60,J60))</f>
        <v>0</v>
      </c>
      <c r="O46" s="1596" t="s">
        <v>1483</v>
      </c>
      <c r="P46" s="1597" t="s">
        <v>1484</v>
      </c>
      <c r="Q46" s="1598" t="s">
        <v>1485</v>
      </c>
      <c r="R46" s="1598" t="s">
        <v>1486</v>
      </c>
    </row>
    <row r="47" spans="1:18" s="1569" customFormat="1" ht="13.5" thickBot="1">
      <c r="A47" s="1077" t="s">
        <v>1357</v>
      </c>
      <c r="B47" s="1109" t="s">
        <v>1358</v>
      </c>
      <c r="C47" s="1109" t="s">
        <v>1359</v>
      </c>
      <c r="D47" s="1109" t="s">
        <v>1360</v>
      </c>
      <c r="E47" s="1188" t="s">
        <v>1361</v>
      </c>
      <c r="F47" s="1189"/>
      <c r="G47" s="731"/>
      <c r="I47" s="1599" t="s">
        <v>1487</v>
      </c>
      <c r="J47" s="1600" t="s">
        <v>3220</v>
      </c>
      <c r="K47" s="1601" t="s">
        <v>1488</v>
      </c>
      <c r="L47" s="1602">
        <f ca="1">INDIRECT("'数据-取费表'!d"&amp;$G$1)</f>
        <v>50</v>
      </c>
      <c r="M47" s="1565" t="str">
        <f>IF(ISNUMBER(FIND("住宅",C1)),"住宅","非住宅")</f>
        <v>非住宅</v>
      </c>
      <c r="O47" s="1603" t="s">
        <v>1008</v>
      </c>
      <c r="P47" s="1604" t="s">
        <v>1489</v>
      </c>
      <c r="Q47" s="1605">
        <f ca="1">C40+J29</f>
        <v>13719675</v>
      </c>
      <c r="R47" s="1605" t="s">
        <v>1490</v>
      </c>
    </row>
    <row r="48" spans="1:18" s="1569" customFormat="1" ht="28.5" thickBot="1">
      <c r="A48" s="1269" t="s">
        <v>1103</v>
      </c>
      <c r="B48" s="306" t="s">
        <v>1362</v>
      </c>
      <c r="C48" s="1544">
        <f ca="1">C49+C53+C55</f>
        <v>0</v>
      </c>
      <c r="D48" s="1271"/>
      <c r="E48" s="1272"/>
      <c r="F48" s="1093"/>
      <c r="G48" s="731"/>
      <c r="H48" s="732"/>
      <c r="I48" s="1606" t="s">
        <v>1491</v>
      </c>
      <c r="J48" s="1607" t="s">
        <v>3221</v>
      </c>
      <c r="K48" s="1608" t="s">
        <v>1492</v>
      </c>
      <c r="L48" s="1609">
        <f ca="1">INDIRECT("'数据-取费表'!f"&amp;$G$1)</f>
        <v>28.97</v>
      </c>
      <c r="O48" s="1603" t="s">
        <v>1009</v>
      </c>
      <c r="P48" s="1604" t="s">
        <v>1493</v>
      </c>
      <c r="Q48" s="1605" t="str">
        <f ca="1">J60</f>
        <v>0</v>
      </c>
      <c r="R48" s="1605" t="s">
        <v>1494</v>
      </c>
    </row>
    <row r="49" spans="1:18" s="1569" customFormat="1" ht="13.5" thickBot="1">
      <c r="A49" s="1106" t="s">
        <v>1104</v>
      </c>
      <c r="B49" s="1556" t="s">
        <v>1451</v>
      </c>
      <c r="C49" s="1273">
        <f ca="1">ROUND(F49*F51*F50*(1-F52),0)</f>
        <v>0</v>
      </c>
      <c r="D49" s="1185" t="s">
        <v>1365</v>
      </c>
      <c r="E49" s="1557" t="s">
        <v>1452</v>
      </c>
      <c r="F49" s="1190"/>
      <c r="G49" s="1610"/>
      <c r="H49" s="732"/>
      <c r="I49" s="1606" t="s">
        <v>1495</v>
      </c>
      <c r="J49" s="1611">
        <v>2000</v>
      </c>
      <c r="K49" s="1608" t="s">
        <v>1496</v>
      </c>
      <c r="L49" s="1612"/>
      <c r="O49" s="1613" t="s">
        <v>1010</v>
      </c>
      <c r="P49" s="1604" t="s">
        <v>1497</v>
      </c>
      <c r="Q49" s="1605">
        <f ca="1">C29</f>
        <v>1836832</v>
      </c>
      <c r="R49" s="1605" t="s">
        <v>1490</v>
      </c>
    </row>
    <row r="50" spans="1:18" s="1569" customFormat="1" ht="13.5" thickBot="1">
      <c r="A50" s="1107"/>
      <c r="B50" s="1110"/>
      <c r="C50" s="1111"/>
      <c r="D50" s="1084"/>
      <c r="E50" s="1186" t="s">
        <v>1367</v>
      </c>
      <c r="F50" s="1187">
        <f ca="1">F7</f>
        <v>240.41</v>
      </c>
      <c r="H50" s="732"/>
      <c r="I50" s="1606" t="s">
        <v>1498</v>
      </c>
      <c r="J50" s="1614">
        <f>SUMPRODUCT((I63:I65=J47)*(J62:L62=J48)*(J63:L65))</f>
        <v>60</v>
      </c>
      <c r="K50" s="1608" t="s">
        <v>1499</v>
      </c>
      <c r="L50" s="1612"/>
      <c r="M50" s="1615"/>
      <c r="O50" s="1613" t="s">
        <v>1011</v>
      </c>
      <c r="P50" s="1604" t="s">
        <v>1500</v>
      </c>
      <c r="Q50" s="1616" t="e">
        <f ca="1">J58</f>
        <v>#VALUE!</v>
      </c>
      <c r="R50" s="1605"/>
    </row>
    <row r="51" spans="1:18" s="1569" customFormat="1" ht="13.5" thickBot="1">
      <c r="A51" s="1108"/>
      <c r="B51" s="1110"/>
      <c r="C51" s="1111"/>
      <c r="D51" s="1084"/>
      <c r="E51" s="1112" t="s">
        <v>1368</v>
      </c>
      <c r="F51" s="309">
        <f ca="1">F8</f>
        <v>365</v>
      </c>
      <c r="I51" s="1617" t="s">
        <v>1501</v>
      </c>
      <c r="J51" s="1618">
        <f>IF(J49="",J50,J49+J50-YEAR('数据-取费表'!B2))</f>
        <v>39</v>
      </c>
      <c r="K51" s="1619" t="s">
        <v>1502</v>
      </c>
      <c r="L51" s="1620">
        <f ca="1">ROUND(-PV(INDIRECT("'数据-取费表'!h"&amp;$G$1),J51,(C39-C13*C76),0),0)</f>
        <v>8898330</v>
      </c>
      <c r="M51" s="1621"/>
      <c r="O51" s="1613" t="s">
        <v>1012</v>
      </c>
      <c r="P51" s="1604" t="s">
        <v>1503</v>
      </c>
      <c r="Q51" s="1616">
        <f>J52</f>
        <v>0.09</v>
      </c>
      <c r="R51" s="1605"/>
    </row>
    <row r="52" spans="1:18" s="1569" customFormat="1" ht="13.5" thickBot="1">
      <c r="A52" s="1108"/>
      <c r="B52" s="1110"/>
      <c r="C52" s="1111"/>
      <c r="D52" s="1084"/>
      <c r="E52" s="1112" t="s">
        <v>1369</v>
      </c>
      <c r="F52" s="1184"/>
      <c r="I52" s="1622" t="s">
        <v>1504</v>
      </c>
      <c r="J52" s="1623">
        <v>0.09</v>
      </c>
      <c r="K52" s="1622" t="s">
        <v>1505</v>
      </c>
      <c r="L52" s="1623"/>
      <c r="O52" s="1613" t="s">
        <v>1013</v>
      </c>
      <c r="P52" s="1604" t="s">
        <v>1506</v>
      </c>
      <c r="Q52" s="1605">
        <f ca="1">J53</f>
        <v>28.97</v>
      </c>
      <c r="R52" s="1605" t="s">
        <v>1507</v>
      </c>
    </row>
    <row r="53" spans="1:18" s="1569" customFormat="1" ht="30.75" customHeight="1" thickBot="1">
      <c r="A53" s="1270" t="s">
        <v>1105</v>
      </c>
      <c r="B53" s="329" t="s">
        <v>1370</v>
      </c>
      <c r="C53" s="322">
        <f ca="1">ROUND(IF(F53="押一",C49/12*F11,IF(F53="押二",C49/12*2*F11,IF(F53="押三",C49/12*3*F11,C54*F11))),0)</f>
        <v>0</v>
      </c>
      <c r="D53" s="1551" t="s">
        <v>2856</v>
      </c>
      <c r="E53" s="319" t="s">
        <v>1371</v>
      </c>
      <c r="F53" s="1275"/>
      <c r="I53" s="1624" t="s">
        <v>1508</v>
      </c>
      <c r="J53" s="2387">
        <f ca="1">IF(M47="住宅",IF(D1="——",MAX(J51,L48),MAX(J51,L48-'数据-取费表'!B24)),IF(D1="——",MIN(J51,L48),MIN(J51,L48-'数据-取费表'!B24)))</f>
        <v>28.97</v>
      </c>
      <c r="K53" s="3309" t="s">
        <v>1509</v>
      </c>
      <c r="L53" s="3310"/>
      <c r="O53" s="1603" t="s">
        <v>1014</v>
      </c>
      <c r="P53" s="1604" t="s">
        <v>1510</v>
      </c>
      <c r="Q53" s="1605">
        <f ca="1">Q47+Q48</f>
        <v>13719675</v>
      </c>
      <c r="R53" s="1605" t="s">
        <v>1015</v>
      </c>
    </row>
    <row r="54" spans="1:18" s="1569" customFormat="1" ht="13.5" thickBot="1">
      <c r="A54" s="1106"/>
      <c r="B54" s="1659" t="s">
        <v>1564</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1511</v>
      </c>
      <c r="P54" s="1566"/>
      <c r="Q54" s="1566"/>
      <c r="R54" s="1566"/>
    </row>
    <row r="55" spans="1:18" s="1569" customFormat="1" ht="13.5" thickBot="1">
      <c r="A55" s="1242" t="s">
        <v>1043</v>
      </c>
      <c r="B55" s="1554" t="s">
        <v>1374</v>
      </c>
      <c r="C55" s="1243"/>
      <c r="D55" s="1551"/>
      <c r="E55" s="1559"/>
      <c r="F55" s="1625"/>
      <c r="I55" s="1628" t="s">
        <v>1512</v>
      </c>
      <c r="J55" s="1629" t="e">
        <f ca="1">ROUND(IF(J47="钢混",J57/J50,1-(1-2%)*(J50-J57)/J50),3)</f>
        <v>#VALUE!</v>
      </c>
      <c r="K55" s="1630" t="s">
        <v>1513</v>
      </c>
      <c r="L55" s="1631"/>
      <c r="O55" s="1596" t="s">
        <v>1483</v>
      </c>
      <c r="P55" s="1597" t="s">
        <v>1484</v>
      </c>
      <c r="Q55" s="1598" t="s">
        <v>1485</v>
      </c>
      <c r="R55" s="1598" t="s">
        <v>1486</v>
      </c>
    </row>
    <row r="56" spans="1:18" s="1569" customFormat="1" ht="36" customHeight="1" thickTop="1" thickBot="1">
      <c r="A56" s="1088">
        <v>2</v>
      </c>
      <c r="B56" s="1089" t="s">
        <v>1375</v>
      </c>
      <c r="C56" s="238">
        <f ca="1">C13</f>
        <v>1432729</v>
      </c>
      <c r="D56" s="1632"/>
      <c r="E56" s="1633"/>
      <c r="F56" s="1625"/>
      <c r="I56" s="1634" t="s">
        <v>1515</v>
      </c>
      <c r="J56" s="1635" t="s">
        <v>3209</v>
      </c>
      <c r="K56" s="1606" t="s">
        <v>1516</v>
      </c>
      <c r="L56" s="1609" t="str">
        <f ca="1">IF(L48&lt;J51,"——",L48-J51)</f>
        <v>——</v>
      </c>
      <c r="O56" s="1603" t="s">
        <v>1008</v>
      </c>
      <c r="P56" s="1604" t="s">
        <v>1489</v>
      </c>
      <c r="Q56" s="1605">
        <f ca="1">C40+J29</f>
        <v>13719675</v>
      </c>
      <c r="R56" s="1605" t="s">
        <v>1490</v>
      </c>
    </row>
    <row r="57" spans="1:18" s="1569" customFormat="1" ht="24.75" thickBot="1">
      <c r="A57" s="1636"/>
      <c r="B57" s="1081" t="s">
        <v>1439</v>
      </c>
      <c r="C57" s="244">
        <f ca="1">C29</f>
        <v>1836832</v>
      </c>
      <c r="D57" s="1637"/>
      <c r="E57" s="1638"/>
      <c r="F57" s="1639"/>
      <c r="I57" s="1640" t="s">
        <v>1517</v>
      </c>
      <c r="J57" s="1641" t="str">
        <f ca="1">IF(OR(M47="住宅",J51&lt;L48,J56="是"),"——",J51-L48)</f>
        <v>——</v>
      </c>
      <c r="K57" s="1606" t="s">
        <v>1566</v>
      </c>
      <c r="L57" s="1609" t="str">
        <f ca="1">IF(L48&lt;J51,"——",IF(L55="比较法",L49,IF(L55="基准地价",L50,L51)))</f>
        <v>——</v>
      </c>
      <c r="O57" s="1603" t="s">
        <v>1009</v>
      </c>
      <c r="P57" s="1604" t="s">
        <v>1567</v>
      </c>
      <c r="Q57" s="1605">
        <f ca="1">L60</f>
        <v>0</v>
      </c>
      <c r="R57" s="1605" t="s">
        <v>1568</v>
      </c>
    </row>
    <row r="58" spans="1:18" s="1569" customFormat="1" ht="24.75" thickBot="1">
      <c r="A58" s="321" t="s">
        <v>998</v>
      </c>
      <c r="B58" s="1089" t="s">
        <v>1385</v>
      </c>
      <c r="C58" s="322">
        <f ca="1">ROUND(C59+C64+C65+C66,0)</f>
        <v>184275</v>
      </c>
      <c r="D58" s="1091" t="s">
        <v>1386</v>
      </c>
      <c r="E58" s="1092"/>
      <c r="F58" s="1093"/>
      <c r="I58" s="1640" t="s">
        <v>1521</v>
      </c>
      <c r="J58" s="1642" t="e">
        <f ca="1">IF(J55&lt;0.4,0.4,J55)</f>
        <v>#VALUE!</v>
      </c>
      <c r="K58" s="1619" t="s">
        <v>1569</v>
      </c>
      <c r="L58" s="1609" t="e">
        <f ca="1">ROUND(POWER(1+L52,L47-L48)*(POWER(1+L52,L48)-1)/(POWER(1+L52,L47)-1),4)</f>
        <v>#DIV/0!</v>
      </c>
      <c r="O58" s="1613" t="s">
        <v>1010</v>
      </c>
      <c r="P58" s="1604" t="s">
        <v>1523</v>
      </c>
      <c r="Q58" s="1605">
        <f>IF(L55="比较法",L49,IF(L55="基准地价",L50,0))</f>
        <v>0</v>
      </c>
      <c r="R58" s="1605" t="s">
        <v>1490</v>
      </c>
    </row>
    <row r="59" spans="1:18" s="1569" customFormat="1" ht="24.75" thickBot="1">
      <c r="A59" s="1113" t="s">
        <v>1003</v>
      </c>
      <c r="B59" s="1081" t="s">
        <v>1390</v>
      </c>
      <c r="C59" s="2535">
        <f ca="1">ROUND(IF(AND(项目基本情况!B11="自然人",项目基本情况!B10="北京市"),C49*F59/(1+'数据-取费表'!C42),C60+C61+C62),0)</f>
        <v>154574</v>
      </c>
      <c r="D59" s="1094" t="s">
        <v>1391</v>
      </c>
      <c r="E59" s="1095" t="s">
        <v>1392</v>
      </c>
      <c r="F59" s="2534" t="str">
        <f>IF(项目基本情况!B11="企业","——",IF('数据-取费表'!B10="住宅",IF(F49*F50*F51/12/(1+'数据-取费表'!F30)&gt;100000,4%,2.5%),IF(F49*F50*F51/12/(1+'数据-取费表'!F30)&gt;100000,12%,7%)))</f>
        <v>——</v>
      </c>
      <c r="I59" s="1640" t="s">
        <v>1524</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1525</v>
      </c>
      <c r="Q59" s="1616">
        <f>L52</f>
        <v>0</v>
      </c>
      <c r="R59" s="1605"/>
    </row>
    <row r="60" spans="1:18" s="1569" customFormat="1" ht="16.5" thickBot="1">
      <c r="A60" s="1113" t="s">
        <v>1002</v>
      </c>
      <c r="B60" s="1081" t="s">
        <v>1394</v>
      </c>
      <c r="C60" s="24">
        <f ca="1">IF(项目基本情况!B11="自然人","——",ROUND(C48*F60/(1+'数据-取费表'!C42),0))</f>
        <v>0</v>
      </c>
      <c r="D60" s="1095" t="s">
        <v>1395</v>
      </c>
      <c r="E60" s="1081" t="s">
        <v>1383</v>
      </c>
      <c r="F60" s="337">
        <f t="shared" ref="F60:F66" si="0">F32</f>
        <v>5.6000000000000001E-2</v>
      </c>
      <c r="I60" s="1643" t="s">
        <v>1526</v>
      </c>
      <c r="J60" s="1644" t="str">
        <f ca="1">IF(OR(M47="住宅",J51&lt;L48,J56="是"),"0",ROUND(J59/(1+J52)^J53,0))</f>
        <v>0</v>
      </c>
      <c r="K60" s="1645" t="s">
        <v>1527</v>
      </c>
      <c r="L60" s="1644">
        <f ca="1">IF(OR(M47="住宅",L48&lt;J51),0,ROUND(L57*(L58/L59-1),0))</f>
        <v>0</v>
      </c>
      <c r="O60" s="1613" t="s">
        <v>1012</v>
      </c>
      <c r="P60" s="1604" t="s">
        <v>1528</v>
      </c>
      <c r="Q60" s="1605" t="e">
        <f ca="1">L58</f>
        <v>#DIV/0!</v>
      </c>
      <c r="R60" s="1605" t="s">
        <v>1529</v>
      </c>
    </row>
    <row r="61" spans="1:18" s="1569" customFormat="1" ht="13.5" thickBot="1">
      <c r="A61" s="1113" t="s">
        <v>1453</v>
      </c>
      <c r="B61" s="1081" t="s">
        <v>1454</v>
      </c>
      <c r="C61" s="24">
        <f ca="1">IF(项目基本情况!B11="自然人","——",IF(D61="按租金收入计税",ROUND(C48*F61,0),IF(D61="按房产原值计税",ROUND(C57*F61*0.7,0),INDIRECT("'数据-取费表'!Aj"&amp;$G$1))))</f>
        <v>154294</v>
      </c>
      <c r="D61" s="1555" t="s">
        <v>1399</v>
      </c>
      <c r="E61" s="1081" t="s">
        <v>1455</v>
      </c>
      <c r="F61" s="328">
        <f t="shared" si="0"/>
        <v>0.12</v>
      </c>
      <c r="I61" s="1646"/>
      <c r="J61" s="1646"/>
      <c r="K61" s="1646"/>
      <c r="L61" s="1646"/>
      <c r="O61" s="1613" t="s">
        <v>1013</v>
      </c>
      <c r="P61" s="1604" t="str">
        <f>K59</f>
        <v>建筑物剩余耐用年限下的土地年期修正系数Kn</v>
      </c>
      <c r="Q61" s="1605" t="e">
        <f ca="1">L59</f>
        <v>#DIV/0!</v>
      </c>
      <c r="R61" s="1605" t="s">
        <v>1530</v>
      </c>
    </row>
    <row r="62" spans="1:18" s="1569" customFormat="1" ht="13.5" thickBot="1">
      <c r="A62" s="1113" t="s">
        <v>1456</v>
      </c>
      <c r="B62" s="1080" t="s">
        <v>1457</v>
      </c>
      <c r="C62" s="25">
        <f ca="1">IF(项目基本情况!B11="自然人","——",ROUND(F62*F63,0))</f>
        <v>280</v>
      </c>
      <c r="D62" s="1096" t="s">
        <v>1458</v>
      </c>
      <c r="E62" s="1081" t="s">
        <v>1459</v>
      </c>
      <c r="F62" s="331">
        <f t="shared" si="0"/>
        <v>24</v>
      </c>
      <c r="I62" s="1647" t="s">
        <v>1531</v>
      </c>
      <c r="J62" s="1648" t="s">
        <v>1532</v>
      </c>
      <c r="K62" s="1648" t="s">
        <v>1533</v>
      </c>
      <c r="L62" s="1648" t="s">
        <v>1534</v>
      </c>
      <c r="M62" s="1649" t="s">
        <v>1535</v>
      </c>
      <c r="O62" s="1603" t="s">
        <v>1014</v>
      </c>
      <c r="P62" s="1604" t="s">
        <v>1536</v>
      </c>
      <c r="Q62" s="1605">
        <f ca="1">Q56+Q57</f>
        <v>13719675</v>
      </c>
      <c r="R62" s="1605" t="s">
        <v>1015</v>
      </c>
    </row>
    <row r="63" spans="1:18" s="1569" customFormat="1" ht="13.5" thickBot="1">
      <c r="A63" s="332"/>
      <c r="B63" s="1087"/>
      <c r="C63" s="29"/>
      <c r="D63" s="1097"/>
      <c r="E63" s="1081" t="s">
        <v>1460</v>
      </c>
      <c r="F63" s="309">
        <f t="shared" ca="1" si="0"/>
        <v>11.65</v>
      </c>
      <c r="I63" s="1647" t="s">
        <v>1537</v>
      </c>
      <c r="J63" s="1648">
        <v>70</v>
      </c>
      <c r="K63" s="1648">
        <v>50</v>
      </c>
      <c r="L63" s="1648">
        <v>80</v>
      </c>
      <c r="M63" s="1650">
        <v>0.02</v>
      </c>
      <c r="O63" s="1588" t="s">
        <v>1538</v>
      </c>
      <c r="P63" s="1566"/>
      <c r="Q63" s="1566"/>
      <c r="R63" s="1566"/>
    </row>
    <row r="64" spans="1:18" s="1569" customFormat="1" ht="13.5" thickBot="1">
      <c r="A64" s="1113" t="s">
        <v>1461</v>
      </c>
      <c r="B64" s="1081" t="s">
        <v>1462</v>
      </c>
      <c r="C64" s="24">
        <f ca="1">ROUND(C57*F64,0)</f>
        <v>27552</v>
      </c>
      <c r="D64" s="1095" t="s">
        <v>1463</v>
      </c>
      <c r="E64" s="1081" t="s">
        <v>1455</v>
      </c>
      <c r="F64" s="334">
        <f t="shared" ca="1" si="0"/>
        <v>1.4999999999999999E-2</v>
      </c>
      <c r="I64" s="1647" t="s">
        <v>1539</v>
      </c>
      <c r="J64" s="1648">
        <v>50</v>
      </c>
      <c r="K64" s="1648">
        <v>35</v>
      </c>
      <c r="L64" s="1648">
        <v>60</v>
      </c>
      <c r="M64" s="1649">
        <v>0</v>
      </c>
      <c r="O64" s="1596" t="s">
        <v>1483</v>
      </c>
      <c r="P64" s="1597" t="s">
        <v>1484</v>
      </c>
      <c r="Q64" s="1598" t="s">
        <v>1485</v>
      </c>
      <c r="R64" s="1598" t="s">
        <v>1486</v>
      </c>
    </row>
    <row r="65" spans="1:18" s="1569" customFormat="1" ht="13.5" thickBot="1">
      <c r="A65" s="1113" t="s">
        <v>1464</v>
      </c>
      <c r="B65" s="1081" t="s">
        <v>1414</v>
      </c>
      <c r="C65" s="24">
        <f ca="1">ROUND(C56*F65,0)</f>
        <v>2149</v>
      </c>
      <c r="D65" s="1095" t="s">
        <v>1415</v>
      </c>
      <c r="E65" s="1081" t="s">
        <v>1416</v>
      </c>
      <c r="F65" s="336">
        <f t="shared" ca="1" si="0"/>
        <v>1.5E-3</v>
      </c>
      <c r="I65" s="1647" t="s">
        <v>1540</v>
      </c>
      <c r="J65" s="1648">
        <v>40</v>
      </c>
      <c r="K65" s="1648">
        <v>30</v>
      </c>
      <c r="L65" s="1648">
        <v>50</v>
      </c>
      <c r="M65" s="1650">
        <v>0.02</v>
      </c>
      <c r="O65" s="1603" t="s">
        <v>1008</v>
      </c>
      <c r="P65" s="1604" t="s">
        <v>1541</v>
      </c>
      <c r="Q65" s="1605">
        <f ca="1">C40+J29</f>
        <v>13719675</v>
      </c>
      <c r="R65" s="1605" t="s">
        <v>1490</v>
      </c>
    </row>
    <row r="66" spans="1:18" s="1569" customFormat="1" ht="16.5" thickBot="1">
      <c r="A66" s="1113" t="s">
        <v>1465</v>
      </c>
      <c r="B66" s="1081" t="s">
        <v>1400</v>
      </c>
      <c r="C66" s="24">
        <f ca="1">ROUND(C48*F66,0)</f>
        <v>0</v>
      </c>
      <c r="D66" s="1095" t="s">
        <v>1466</v>
      </c>
      <c r="E66" s="1081" t="s">
        <v>1383</v>
      </c>
      <c r="F66" s="318">
        <f t="shared" ca="1" si="0"/>
        <v>0.02</v>
      </c>
      <c r="O66" s="1603" t="s">
        <v>1009</v>
      </c>
      <c r="P66" s="1604" t="s">
        <v>1519</v>
      </c>
      <c r="Q66" s="1605">
        <f ca="1">L60</f>
        <v>0</v>
      </c>
      <c r="R66" s="1605" t="s">
        <v>1542</v>
      </c>
    </row>
    <row r="67" spans="1:18" s="1569" customFormat="1" ht="16.5" thickBot="1">
      <c r="A67" s="1088" t="s">
        <v>999</v>
      </c>
      <c r="B67" s="1098" t="s">
        <v>1424</v>
      </c>
      <c r="C67" s="322">
        <f ca="1">C48-C58</f>
        <v>-184275</v>
      </c>
      <c r="D67" s="1094" t="s">
        <v>1425</v>
      </c>
      <c r="E67" s="1099"/>
      <c r="F67" s="1100"/>
      <c r="O67" s="1613" t="s">
        <v>1010</v>
      </c>
      <c r="P67" s="1604" t="s">
        <v>1523</v>
      </c>
      <c r="Q67" s="1651">
        <f ca="1">L51</f>
        <v>8898330</v>
      </c>
      <c r="R67" s="1605" t="s">
        <v>1543</v>
      </c>
    </row>
    <row r="68" spans="1:18" s="1569" customFormat="1" ht="16.5" thickBot="1">
      <c r="A68" s="1078" t="s">
        <v>1000</v>
      </c>
      <c r="B68" s="1079" t="s">
        <v>1446</v>
      </c>
      <c r="C68" s="307">
        <f ca="1">ROUND(C67*(1-((1+F70)/(1+F68))^F69)/(F68-F70),0)</f>
        <v>-3921570</v>
      </c>
      <c r="D68" s="1096" t="s">
        <v>1430</v>
      </c>
      <c r="E68" s="1081" t="s">
        <v>1431</v>
      </c>
      <c r="F68" s="318">
        <f ca="1">F40</f>
        <v>5.5E-2</v>
      </c>
      <c r="O68" s="1613" t="s">
        <v>1011</v>
      </c>
      <c r="P68" s="1652" t="s">
        <v>1544</v>
      </c>
      <c r="Q68" s="1605">
        <f ca="1">ROUND(Q69-Q70*Q71,0)</f>
        <v>522907</v>
      </c>
      <c r="R68" s="1605" t="s">
        <v>1019</v>
      </c>
    </row>
    <row r="69" spans="1:18" s="1569" customFormat="1" ht="13.5" thickBot="1">
      <c r="A69" s="1082"/>
      <c r="B69" s="1083"/>
      <c r="C69" s="312"/>
      <c r="D69" s="1101" t="s">
        <v>1434</v>
      </c>
      <c r="E69" s="1081" t="s">
        <v>1435</v>
      </c>
      <c r="F69" s="339">
        <f ca="1">F41</f>
        <v>28.97</v>
      </c>
      <c r="O69" s="1613" t="s">
        <v>1016</v>
      </c>
      <c r="P69" s="1652" t="s">
        <v>1545</v>
      </c>
      <c r="Q69" s="1605">
        <f ca="1">C39</f>
        <v>644689</v>
      </c>
      <c r="R69" s="1605" t="s">
        <v>1490</v>
      </c>
    </row>
    <row r="70" spans="1:18" s="1569" customFormat="1" ht="13.5" thickBot="1">
      <c r="A70" s="1085"/>
      <c r="B70" s="1086"/>
      <c r="C70" s="316"/>
      <c r="D70" s="1097"/>
      <c r="E70" s="1081" t="s">
        <v>1438</v>
      </c>
      <c r="F70" s="1184">
        <f ca="1">F42</f>
        <v>3.5000000000000003E-2</v>
      </c>
      <c r="O70" s="1613" t="s">
        <v>1017</v>
      </c>
      <c r="P70" s="1652" t="s">
        <v>1546</v>
      </c>
      <c r="Q70" s="1605">
        <f ca="1">C13</f>
        <v>1432729</v>
      </c>
      <c r="R70" s="1605" t="s">
        <v>1490</v>
      </c>
    </row>
    <row r="71" spans="1:18" s="1569" customFormat="1" ht="13.5" thickBot="1">
      <c r="A71" s="1102" t="s">
        <v>1001</v>
      </c>
      <c r="B71" s="1103" t="s">
        <v>1448</v>
      </c>
      <c r="C71" s="342">
        <f ca="1">ROUND(C68/F71,0)</f>
        <v>-16312</v>
      </c>
      <c r="D71" s="1104" t="s">
        <v>1449</v>
      </c>
      <c r="E71" s="1105" t="s">
        <v>1450</v>
      </c>
      <c r="F71" s="345">
        <f ca="1">F43</f>
        <v>240.41</v>
      </c>
      <c r="O71" s="1613" t="s">
        <v>1018</v>
      </c>
      <c r="P71" s="1652" t="s">
        <v>1547</v>
      </c>
      <c r="Q71" s="1616">
        <f ca="1">C76</f>
        <v>8.5000000000000006E-2</v>
      </c>
      <c r="R71" s="1605"/>
    </row>
    <row r="72" spans="1:18" s="1569" customFormat="1" ht="13.5" thickBot="1">
      <c r="B72" s="735"/>
      <c r="C72" s="735"/>
      <c r="O72" s="1613" t="s">
        <v>1012</v>
      </c>
      <c r="P72" s="1604" t="s">
        <v>1525</v>
      </c>
      <c r="Q72" s="1616">
        <f>L52</f>
        <v>0</v>
      </c>
      <c r="R72" s="1605"/>
    </row>
    <row r="73" spans="1:18" ht="16.5" thickBot="1">
      <c r="A73" s="1569"/>
      <c r="B73" s="735"/>
      <c r="C73" s="735"/>
      <c r="D73" s="1569"/>
      <c r="E73" s="1569"/>
      <c r="F73" s="1569"/>
      <c r="O73" s="1613" t="s">
        <v>1013</v>
      </c>
      <c r="P73" s="1604" t="s">
        <v>1528</v>
      </c>
      <c r="Q73" s="1605" t="e">
        <f ca="1">L58</f>
        <v>#DIV/0!</v>
      </c>
      <c r="R73" s="1605" t="s">
        <v>1529</v>
      </c>
    </row>
    <row r="74" spans="1:18" ht="13.5" thickBot="1">
      <c r="A74" s="1569"/>
      <c r="B74" s="279" t="s">
        <v>1548</v>
      </c>
      <c r="C74" s="1654"/>
      <c r="D74" s="1569"/>
      <c r="E74" s="1569"/>
      <c r="F74" s="1569"/>
      <c r="O74" s="1613" t="s">
        <v>1020</v>
      </c>
      <c r="P74" s="1604" t="str">
        <f>K59</f>
        <v>建筑物剩余耐用年限下的土地年期修正系数Kn</v>
      </c>
      <c r="Q74" s="1605" t="e">
        <f ca="1">L59</f>
        <v>#DIV/0!</v>
      </c>
      <c r="R74" s="1605" t="s">
        <v>1530</v>
      </c>
    </row>
    <row r="75" spans="1:18" ht="13.5" thickBot="1">
      <c r="A75" s="1569"/>
      <c r="B75" s="346" t="s">
        <v>1467</v>
      </c>
      <c r="C75" s="347">
        <f ca="1">ROUND(C13*C76,0)</f>
        <v>121782</v>
      </c>
      <c r="D75" s="1569"/>
      <c r="E75" s="1569"/>
      <c r="F75" s="1569"/>
      <c r="K75" s="1587"/>
      <c r="L75" s="1569"/>
      <c r="O75" s="1603" t="s">
        <v>1014</v>
      </c>
      <c r="P75" s="1604" t="s">
        <v>1510</v>
      </c>
      <c r="Q75" s="1605">
        <f ca="1">Q65+Q66</f>
        <v>13719675</v>
      </c>
      <c r="R75" s="1605" t="s">
        <v>1015</v>
      </c>
    </row>
    <row r="76" spans="1:18">
      <c r="B76" s="348" t="s">
        <v>1468</v>
      </c>
      <c r="C76" s="349">
        <f ca="1">INDIRECT("'数据-取费表'!j"&amp;$G$1)</f>
        <v>8.5000000000000006E-2</v>
      </c>
      <c r="I76" s="1569"/>
      <c r="J76" s="1569"/>
      <c r="K76" s="1587"/>
      <c r="L76" s="1569"/>
    </row>
    <row r="77" spans="1:18">
      <c r="B77" s="350" t="s">
        <v>1469</v>
      </c>
      <c r="C77" s="351"/>
      <c r="I77" s="1569"/>
      <c r="J77" s="1569"/>
      <c r="K77" s="1587"/>
      <c r="L77" s="1569"/>
    </row>
    <row r="78" spans="1:18">
      <c r="B78" s="276" t="s">
        <v>1470</v>
      </c>
      <c r="C78" s="352"/>
    </row>
    <row r="79" spans="1:18">
      <c r="B79" s="346" t="s">
        <v>1471</v>
      </c>
      <c r="C79" s="280">
        <f ca="1">1-C80</f>
        <v>0.81099999999999994</v>
      </c>
    </row>
    <row r="80" spans="1:18">
      <c r="B80" s="346" t="s">
        <v>1472</v>
      </c>
      <c r="C80" s="280">
        <f ca="1">ROUND(C75/C39,3)</f>
        <v>0.189</v>
      </c>
    </row>
    <row r="81" spans="2:3">
      <c r="B81" s="276" t="s">
        <v>1473</v>
      </c>
      <c r="C81" s="244"/>
    </row>
    <row r="82" spans="2:3">
      <c r="B82" s="279" t="s">
        <v>1474</v>
      </c>
      <c r="C82" s="281">
        <f ca="1">1-C83</f>
        <v>0.89600000000000002</v>
      </c>
    </row>
    <row r="83" spans="2:3">
      <c r="B83" s="279" t="s">
        <v>1475</v>
      </c>
      <c r="C83" s="280">
        <f ca="1">ROUND(C13/C40,3)</f>
        <v>0.104</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2344</v>
      </c>
      <c r="B1" s="2055"/>
      <c r="C1" s="2055"/>
      <c r="D1" s="2055"/>
      <c r="E1" s="2056"/>
      <c r="F1" s="2937"/>
      <c r="G1" s="1675"/>
      <c r="H1" s="1675"/>
      <c r="I1" s="1675"/>
      <c r="J1" s="1675"/>
      <c r="K1" s="1675"/>
      <c r="L1" s="1675"/>
      <c r="M1" s="1675"/>
      <c r="N1" s="1675"/>
      <c r="O1" s="1675"/>
      <c r="P1" s="1675"/>
      <c r="Q1" s="1675"/>
      <c r="R1" s="1675"/>
      <c r="S1" s="1675"/>
    </row>
    <row r="2" spans="1:22" ht="15.75">
      <c r="A2" s="2057" t="s">
        <v>2145</v>
      </c>
      <c r="B2" s="2058">
        <f ca="1">SUMIF(B6:B13,"&lt;&gt;#ref!",B6:B13)</f>
        <v>4246</v>
      </c>
      <c r="C2" s="2059" t="s">
        <v>2337</v>
      </c>
      <c r="D2" s="2060" t="s">
        <v>2338</v>
      </c>
      <c r="E2" s="2834">
        <f>SUM(E6:E13)</f>
        <v>240.41</v>
      </c>
      <c r="F2" s="2937"/>
      <c r="G2" s="1675"/>
      <c r="H2" s="1675"/>
      <c r="I2" s="1675"/>
      <c r="J2" s="1675"/>
      <c r="K2" s="1675"/>
      <c r="L2" s="1675"/>
      <c r="M2" s="1675"/>
      <c r="N2" s="1675"/>
      <c r="O2" s="1675"/>
      <c r="P2" s="1675"/>
      <c r="Q2" s="1675"/>
      <c r="R2" s="1675"/>
      <c r="S2" s="1675"/>
    </row>
    <row r="3" spans="1:22" ht="15.75">
      <c r="A3" s="2057" t="s">
        <v>1356</v>
      </c>
      <c r="B3" s="2828">
        <f ca="1">ROUND(B2*10000/E2,0)</f>
        <v>176615</v>
      </c>
      <c r="C3" s="2059" t="s">
        <v>2345</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2339</v>
      </c>
      <c r="B5" s="3311" t="s">
        <v>2340</v>
      </c>
      <c r="C5" s="3312"/>
      <c r="D5" s="2938"/>
      <c r="E5" s="2061" t="s">
        <v>2341</v>
      </c>
      <c r="F5" s="2062" t="s">
        <v>2342</v>
      </c>
      <c r="G5" s="1675"/>
      <c r="H5" s="1675"/>
      <c r="I5" s="1675"/>
      <c r="J5" s="1675"/>
      <c r="K5" s="1675"/>
      <c r="L5" s="1675"/>
      <c r="M5" s="1675"/>
      <c r="N5" s="1675"/>
      <c r="O5" s="1675"/>
      <c r="P5" s="1675"/>
      <c r="Q5" s="1675"/>
      <c r="R5" s="1675"/>
      <c r="S5" s="1675"/>
    </row>
    <row r="6" spans="1:22">
      <c r="A6" s="2831" t="str">
        <f>'数据-取费表'!AN6</f>
        <v>收益法</v>
      </c>
      <c r="B6" s="2829">
        <f ca="1">IF(F6="是",'数据-取费表'!AO6,0)</f>
        <v>1362</v>
      </c>
      <c r="C6" s="2059" t="s">
        <v>2337</v>
      </c>
      <c r="D6" s="2939"/>
      <c r="E6" s="2833">
        <f>IF(OR(A6=0,F6="否"),0,'数据-取费表'!K6+'数据-取费表'!S6)</f>
        <v>240.41</v>
      </c>
      <c r="F6" s="2063" t="s">
        <v>2343</v>
      </c>
      <c r="G6" s="1675"/>
      <c r="H6" s="1675"/>
      <c r="I6" s="1675"/>
      <c r="J6" s="1675"/>
      <c r="K6" s="1675"/>
      <c r="L6" s="1675"/>
      <c r="M6" s="1675"/>
      <c r="N6" s="1675"/>
      <c r="O6" s="1675"/>
      <c r="P6" s="1675"/>
      <c r="Q6" s="1675"/>
      <c r="R6" s="1675"/>
      <c r="S6" s="1675"/>
    </row>
    <row r="7" spans="1:22">
      <c r="A7" s="2831" t="str">
        <f>'数据-取费表'!AN7</f>
        <v>收益法-车库</v>
      </c>
      <c r="B7" s="2829">
        <f ca="1">IF(F7="是",'数据-取费表'!AO7,0)</f>
        <v>2884</v>
      </c>
      <c r="C7" s="2059" t="s">
        <v>2337</v>
      </c>
      <c r="D7" s="2939"/>
      <c r="E7" s="2833">
        <f>IF(OR(A7=0,F7="否"),0,'数据-取费表'!K7+'数据-取费表'!S7)</f>
        <v>0</v>
      </c>
      <c r="F7" s="2063" t="s">
        <v>2343</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2337</v>
      </c>
      <c r="D8" s="2939"/>
      <c r="E8" s="2833">
        <f>IF(OR(A8=0,F8="否"),0,'数据-取费表'!K8+'数据-取费表'!S8)</f>
        <v>0</v>
      </c>
      <c r="F8" s="2063" t="s">
        <v>2343</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2337</v>
      </c>
      <c r="D9" s="2939"/>
      <c r="E9" s="2833">
        <f>IF(OR(A9=0,F9="否"),0,'数据-取费表'!K9+'数据-取费表'!S9)</f>
        <v>0</v>
      </c>
      <c r="F9" s="2063" t="s">
        <v>2343</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2337</v>
      </c>
      <c r="D10" s="2939"/>
      <c r="E10" s="2833">
        <f>IF(OR(A10=0,F10="否"),0,'数据-取费表'!K10+'数据-取费表'!S10)</f>
        <v>0</v>
      </c>
      <c r="F10" s="2063" t="s">
        <v>2343</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2337</v>
      </c>
      <c r="D11" s="2939"/>
      <c r="E11" s="2833">
        <f>IF(OR(A11=0,F11="否"),0,'数据-取费表'!K11+'数据-取费表'!S11)</f>
        <v>0</v>
      </c>
      <c r="F11" s="2063" t="s">
        <v>2343</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2337</v>
      </c>
      <c r="D12" s="2939"/>
      <c r="E12" s="2833">
        <f>IF(OR(A12=0,F12="否"),0,'数据-取费表'!K12+'数据-取费表'!S12)</f>
        <v>0</v>
      </c>
      <c r="F12" s="2063" t="s">
        <v>2343</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2337</v>
      </c>
      <c r="D13" s="2940"/>
      <c r="E13" s="2833">
        <f>IF(OR(A13=0,F13="否"),0,'数据-取费表'!K13+'数据-取费表'!S13)</f>
        <v>0</v>
      </c>
      <c r="F13" s="2063" t="s">
        <v>2343</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1550</v>
      </c>
      <c r="B1" s="722"/>
      <c r="C1" s="1564" t="s">
        <v>27</v>
      </c>
      <c r="D1" s="1547" t="s">
        <v>70</v>
      </c>
      <c r="E1" s="1548" t="s">
        <v>1348</v>
      </c>
      <c r="F1" s="1192">
        <f ca="1">J53</f>
        <v>28.97</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1476</v>
      </c>
      <c r="B2" s="1571">
        <f ca="1">C40+J29+L46</f>
        <v>1362</v>
      </c>
      <c r="C2" s="1572" t="s">
        <v>1477</v>
      </c>
      <c r="D2" s="1572"/>
      <c r="E2" s="1573"/>
      <c r="F2" s="1574"/>
      <c r="G2" s="2936"/>
      <c r="H2" s="2925"/>
      <c r="I2" s="2925"/>
      <c r="J2" s="2925"/>
      <c r="K2" s="2926"/>
      <c r="L2" s="2925"/>
      <c r="M2" s="2925"/>
    </row>
    <row r="3" spans="1:37" ht="18" customHeight="1" thickBot="1">
      <c r="A3" s="1575" t="s">
        <v>1478</v>
      </c>
      <c r="B3" s="1576">
        <f ca="1">IF(ISERROR(B2*10000/F43),0,ROUND(B2*10000/F43,0))</f>
        <v>56653</v>
      </c>
      <c r="C3" s="1572" t="s">
        <v>1479</v>
      </c>
      <c r="D3" s="1572"/>
      <c r="E3" s="1573"/>
      <c r="F3" s="1574"/>
      <c r="G3" s="2936"/>
      <c r="H3" s="692" t="s">
        <v>1549</v>
      </c>
      <c r="I3" s="1567"/>
      <c r="J3" s="1567"/>
      <c r="K3" s="1568"/>
      <c r="L3" s="1567"/>
      <c r="M3" s="1567"/>
    </row>
    <row r="4" spans="1:37" ht="18" customHeight="1">
      <c r="A4" s="301" t="s">
        <v>1357</v>
      </c>
      <c r="B4" s="302" t="s">
        <v>1358</v>
      </c>
      <c r="C4" s="302" t="s">
        <v>1359</v>
      </c>
      <c r="D4" s="302" t="s">
        <v>1360</v>
      </c>
      <c r="E4" s="303" t="s">
        <v>1361</v>
      </c>
      <c r="F4" s="304"/>
      <c r="G4" s="1569"/>
      <c r="H4" s="301" t="s">
        <v>1357</v>
      </c>
      <c r="I4" s="302" t="s">
        <v>1358</v>
      </c>
      <c r="J4" s="302" t="s">
        <v>1359</v>
      </c>
      <c r="K4" s="302" t="s">
        <v>1360</v>
      </c>
      <c r="L4" s="303" t="s">
        <v>1361</v>
      </c>
      <c r="M4" s="304"/>
    </row>
    <row r="5" spans="1:37" ht="18" customHeight="1">
      <c r="A5" s="305">
        <v>1</v>
      </c>
      <c r="B5" s="306" t="s">
        <v>1362</v>
      </c>
      <c r="C5" s="1201">
        <f ca="1">C6+C10+C12</f>
        <v>83</v>
      </c>
      <c r="D5" s="1549" t="s">
        <v>1363</v>
      </c>
      <c r="E5" s="1202"/>
      <c r="F5" s="1203"/>
      <c r="G5" s="1569"/>
      <c r="H5" s="305">
        <v>1</v>
      </c>
      <c r="I5" s="306" t="s">
        <v>1362</v>
      </c>
      <c r="J5" s="1201">
        <f ca="1">J6+J10+J12</f>
        <v>0</v>
      </c>
      <c r="K5" s="1549" t="s">
        <v>1363</v>
      </c>
      <c r="L5" s="1202"/>
      <c r="M5" s="1203"/>
    </row>
    <row r="6" spans="1:37" ht="18" customHeight="1">
      <c r="A6" s="1200" t="s">
        <v>1003</v>
      </c>
      <c r="B6" s="3306" t="s">
        <v>1364</v>
      </c>
      <c r="C6" s="1205">
        <f ca="1">ROUND(F6*F8*F7*(1-F9)/10000,0)</f>
        <v>83</v>
      </c>
      <c r="D6" s="160" t="s">
        <v>2846</v>
      </c>
      <c r="E6" s="308" t="s">
        <v>1366</v>
      </c>
      <c r="F6" s="309">
        <f ca="1">INDIRECT("'数据-取费表'!u"&amp;$G$1)</f>
        <v>10.5</v>
      </c>
      <c r="G6" s="1569"/>
      <c r="H6" s="1200" t="s">
        <v>1003</v>
      </c>
      <c r="I6" s="3306" t="s">
        <v>1364</v>
      </c>
      <c r="J6" s="307">
        <f ca="1">ROUND(M6*M8*M7*(1-M9)/10000,0)</f>
        <v>0</v>
      </c>
      <c r="K6" s="160" t="s">
        <v>2845</v>
      </c>
      <c r="L6" s="308" t="s">
        <v>1366</v>
      </c>
      <c r="M6" s="309">
        <f ca="1">INDIRECT("'数据-取费表'!z"&amp;$G$1)</f>
        <v>0</v>
      </c>
    </row>
    <row r="7" spans="1:37" ht="18" customHeight="1">
      <c r="A7" s="1204"/>
      <c r="B7" s="3307"/>
      <c r="C7" s="1206"/>
      <c r="D7" s="313"/>
      <c r="E7" s="1207" t="s">
        <v>1367</v>
      </c>
      <c r="F7" s="309">
        <f ca="1">IF(INDIRECT("'数据-取费表'!ah"&amp;$G$1)="",INDIRECT("'数据-取费表'!k"&amp;$G$1),INDIRECT("'数据-取费表'!ah"&amp;$G$1))</f>
        <v>240.41</v>
      </c>
      <c r="G7" s="1569"/>
      <c r="H7" s="310"/>
      <c r="I7" s="3307"/>
      <c r="J7" s="312"/>
      <c r="K7" s="313"/>
      <c r="L7" s="308" t="s">
        <v>1367</v>
      </c>
      <c r="M7" s="309">
        <f ca="1">F7</f>
        <v>240.41</v>
      </c>
    </row>
    <row r="8" spans="1:37" ht="18" customHeight="1">
      <c r="A8" s="310"/>
      <c r="B8" s="3307"/>
      <c r="C8" s="312"/>
      <c r="D8" s="313"/>
      <c r="E8" s="308" t="s">
        <v>1368</v>
      </c>
      <c r="F8" s="309">
        <f ca="1">INDIRECT("'数据-取费表'!ai"&amp;$G$1)</f>
        <v>365</v>
      </c>
      <c r="G8" s="1569"/>
      <c r="H8" s="310"/>
      <c r="I8" s="3307"/>
      <c r="J8" s="312"/>
      <c r="K8" s="313"/>
      <c r="L8" s="308" t="s">
        <v>1368</v>
      </c>
      <c r="M8" s="309">
        <f ca="1">INDIRECT("'数据-取费表'!ai"&amp;$G$1)</f>
        <v>365</v>
      </c>
    </row>
    <row r="9" spans="1:37" ht="18" customHeight="1">
      <c r="A9" s="310"/>
      <c r="B9" s="3308"/>
      <c r="C9" s="312"/>
      <c r="D9" s="313"/>
      <c r="E9" s="308" t="s">
        <v>1369</v>
      </c>
      <c r="F9" s="318">
        <f ca="1">INDIRECT("'数据-取费表'!w"&amp;$G$1)</f>
        <v>0.1</v>
      </c>
      <c r="G9" s="1569"/>
      <c r="H9" s="310"/>
      <c r="I9" s="3308"/>
      <c r="J9" s="312"/>
      <c r="K9" s="313"/>
      <c r="L9" s="319" t="s">
        <v>1369</v>
      </c>
      <c r="M9" s="320">
        <f ca="1">INDIRECT("'数据-取费表'!ab"&amp;$G$1)</f>
        <v>0</v>
      </c>
    </row>
    <row r="10" spans="1:37" ht="18" customHeight="1">
      <c r="A10" s="1200" t="s">
        <v>1007</v>
      </c>
      <c r="B10" s="1550" t="s">
        <v>1370</v>
      </c>
      <c r="C10" s="322">
        <f ca="1">ROUND(IF(F10="押一",C6/12*F11,IF(F10="押二",C6/12*2*F11,IF(F10="押三",C6/12*3*F11,C11*F11))),0)</f>
        <v>0</v>
      </c>
      <c r="D10" s="1551" t="s">
        <v>2854</v>
      </c>
      <c r="E10" s="319" t="s">
        <v>1371</v>
      </c>
      <c r="F10" s="1275" t="s">
        <v>3218</v>
      </c>
      <c r="G10" s="1569"/>
      <c r="H10" s="1200" t="s">
        <v>1007</v>
      </c>
      <c r="I10" s="1550" t="s">
        <v>1370</v>
      </c>
      <c r="J10" s="307">
        <f ca="1">ROUND(IF(M10="押一",J6/12*M11,IF(M10="押二",J6/12*2*M11,IF(M10="押三",J6/12*3*M11,J11*M11))),0)</f>
        <v>0</v>
      </c>
      <c r="K10" s="1551" t="s">
        <v>2853</v>
      </c>
      <c r="L10" s="319" t="s">
        <v>1371</v>
      </c>
      <c r="M10" s="1275" t="s">
        <v>1372</v>
      </c>
    </row>
    <row r="11" spans="1:37" ht="18" customHeight="1">
      <c r="A11" s="314"/>
      <c r="B11" s="1552" t="s">
        <v>1349</v>
      </c>
      <c r="C11" s="1090"/>
      <c r="D11" s="1553"/>
      <c r="E11" s="319" t="s">
        <v>1373</v>
      </c>
      <c r="F11" s="320">
        <f ca="1">'数据-取费表'!B39</f>
        <v>1.4999999999999999E-2</v>
      </c>
      <c r="G11" s="1569"/>
      <c r="H11" s="1208"/>
      <c r="I11" s="1552" t="s">
        <v>1349</v>
      </c>
      <c r="J11" s="1090"/>
      <c r="K11" s="693"/>
      <c r="L11" s="319" t="s">
        <v>1373</v>
      </c>
      <c r="M11" s="971">
        <f ca="1">'数据-取费表'!B39</f>
        <v>1.4999999999999999E-2</v>
      </c>
    </row>
    <row r="12" spans="1:37" ht="18" customHeight="1" thickBot="1">
      <c r="A12" s="1242" t="s">
        <v>1043</v>
      </c>
      <c r="B12" s="1554" t="s">
        <v>1374</v>
      </c>
      <c r="C12" s="1243"/>
      <c r="D12" s="1244"/>
      <c r="E12" s="1249"/>
      <c r="F12" s="1245"/>
      <c r="G12" s="1569"/>
      <c r="H12" s="1242" t="s">
        <v>1043</v>
      </c>
      <c r="I12" s="1554" t="s">
        <v>1374</v>
      </c>
      <c r="J12" s="1243"/>
      <c r="K12" s="1257"/>
      <c r="L12" s="1249"/>
      <c r="M12" s="1258"/>
    </row>
    <row r="13" spans="1:37" ht="18" customHeight="1" thickTop="1">
      <c r="A13" s="1238">
        <v>2</v>
      </c>
      <c r="B13" s="1239" t="s">
        <v>1375</v>
      </c>
      <c r="C13" s="316">
        <f ca="1">ROUND(C29*F13,0)</f>
        <v>144</v>
      </c>
      <c r="D13" s="1240" t="s">
        <v>1376</v>
      </c>
      <c r="E13" s="1240" t="s">
        <v>1377</v>
      </c>
      <c r="F13" s="1241">
        <f ca="1">INDIRECT("'数据-取费表'!y"&amp;$G$1)</f>
        <v>0.78</v>
      </c>
      <c r="G13" s="1569"/>
      <c r="H13" s="1238">
        <v>2</v>
      </c>
      <c r="I13" s="1239" t="s">
        <v>1375</v>
      </c>
      <c r="J13" s="1199">
        <f ca="1">ROUND(J14*J15,0)</f>
        <v>0</v>
      </c>
      <c r="K13" s="1246" t="s">
        <v>1376</v>
      </c>
      <c r="L13" s="1577"/>
      <c r="M13" s="1578"/>
    </row>
    <row r="14" spans="1:37" ht="18" customHeight="1">
      <c r="A14" s="1113" t="s">
        <v>1002</v>
      </c>
      <c r="B14" s="308" t="s">
        <v>1378</v>
      </c>
      <c r="C14" s="324">
        <f ca="1">INDIRECT("'数据-取费表'!m"&amp;$G$1)+INDIRECT("'数据-取费表'!t"&amp;$G$1)</f>
        <v>120</v>
      </c>
      <c r="D14" s="1530" t="s">
        <v>1379</v>
      </c>
      <c r="E14" s="1527"/>
      <c r="F14" s="325"/>
      <c r="G14" s="1569"/>
      <c r="H14" s="1113" t="s">
        <v>1003</v>
      </c>
      <c r="I14" s="308" t="s">
        <v>1380</v>
      </c>
      <c r="J14" s="24">
        <f ca="1">C29</f>
        <v>185</v>
      </c>
      <c r="K14" s="15"/>
      <c r="L14" s="916"/>
      <c r="M14" s="917"/>
    </row>
    <row r="15" spans="1:37" s="1582" customFormat="1" ht="18" customHeight="1" thickBot="1">
      <c r="A15" s="1113" t="s">
        <v>1004</v>
      </c>
      <c r="B15" s="308" t="s">
        <v>1381</v>
      </c>
      <c r="C15" s="24">
        <f ca="1">ROUND(C14*F15,0)</f>
        <v>4</v>
      </c>
      <c r="D15" s="326" t="s">
        <v>1382</v>
      </c>
      <c r="E15" s="326" t="s">
        <v>1383</v>
      </c>
      <c r="F15" s="327">
        <f>'数据-取费表'!B33</f>
        <v>0.03</v>
      </c>
      <c r="G15" s="1581"/>
      <c r="H15" s="1248" t="s">
        <v>1007</v>
      </c>
      <c r="I15" s="1249" t="s">
        <v>1377</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9"/>
      <c r="H16" s="1238" t="s">
        <v>998</v>
      </c>
      <c r="I16" s="1239" t="s">
        <v>1385</v>
      </c>
      <c r="J16" s="316">
        <f ca="1">ROUND(J17+J22+J23+J24,0)</f>
        <v>5</v>
      </c>
      <c r="K16" s="1246" t="s">
        <v>1386</v>
      </c>
      <c r="L16" s="1247"/>
      <c r="M16" s="1203"/>
    </row>
    <row r="17" spans="1:37" s="1582" customFormat="1" ht="18" customHeight="1">
      <c r="A17" s="1113" t="s">
        <v>1351</v>
      </c>
      <c r="B17" s="308" t="s">
        <v>1387</v>
      </c>
      <c r="C17" s="24">
        <f ca="1">ROUND(F17*(F43+INDIRECT("'数据-取费表'!S"&amp;$G$1))/10000,0)</f>
        <v>5</v>
      </c>
      <c r="D17" s="308" t="s">
        <v>1388</v>
      </c>
      <c r="E17" s="308" t="s">
        <v>1389</v>
      </c>
      <c r="F17" s="26">
        <f>'数据-取费表'!B35</f>
        <v>200</v>
      </c>
      <c r="G17" s="1581"/>
      <c r="H17" s="1113" t="s">
        <v>1003</v>
      </c>
      <c r="I17" s="308" t="s">
        <v>1390</v>
      </c>
      <c r="J17" s="2535">
        <f ca="1">ROUND(IF(AND(项目基本情况!B11="自然人",项目基本情况!B10="北京市"),J6*M17/(1+'数据-取费表'!C42),J18+J19+J20),0)</f>
        <v>2</v>
      </c>
      <c r="K17" s="1530" t="s">
        <v>1391</v>
      </c>
      <c r="L17" s="1529" t="s">
        <v>1392</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1352</v>
      </c>
      <c r="B18" s="308" t="s">
        <v>1393</v>
      </c>
      <c r="C18" s="24">
        <f ca="1">ROUND(C14*F18,0)</f>
        <v>2</v>
      </c>
      <c r="D18" s="308" t="s">
        <v>1382</v>
      </c>
      <c r="E18" s="308" t="s">
        <v>1383</v>
      </c>
      <c r="F18" s="328">
        <f>'数据-取费表'!B36</f>
        <v>1.4999999999999999E-2</v>
      </c>
      <c r="G18" s="1581"/>
      <c r="H18" s="1113" t="s">
        <v>1002</v>
      </c>
      <c r="I18" s="308" t="s">
        <v>1394</v>
      </c>
      <c r="J18" s="24">
        <f ca="1">ROUND(J6*M18/(1+'数据-取费表'!C42),2)</f>
        <v>0</v>
      </c>
      <c r="K18" s="1529" t="s">
        <v>1395</v>
      </c>
      <c r="L18" s="308" t="s">
        <v>1383</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1396</v>
      </c>
      <c r="C19" s="24">
        <f ca="1">SUM(C14:C18)</f>
        <v>131</v>
      </c>
      <c r="D19" s="136" t="s">
        <v>1397</v>
      </c>
      <c r="E19" s="1545"/>
      <c r="F19" s="26"/>
      <c r="G19" s="1569"/>
      <c r="H19" s="1113" t="s">
        <v>1004</v>
      </c>
      <c r="I19" s="308" t="s">
        <v>1398</v>
      </c>
      <c r="J19" s="24">
        <f ca="1">IF(K19="按租金收入计税",ROUND(J6*M19/(1+'数据-取费表'!C42),2),ROUND(C29*M19*0.7,2))</f>
        <v>1.55</v>
      </c>
      <c r="K19" s="1555" t="s">
        <v>1399</v>
      </c>
      <c r="L19" s="308" t="s">
        <v>1383</v>
      </c>
      <c r="M19" s="328">
        <f>IF(K19="按租金收入计税",'数据-取费表'!B51,'数据-取费表'!B50)</f>
        <v>1.2E-2</v>
      </c>
    </row>
    <row r="20" spans="1:37" s="1582" customFormat="1" ht="18" customHeight="1">
      <c r="A20" s="1113" t="s">
        <v>1007</v>
      </c>
      <c r="B20" s="308" t="s">
        <v>1400</v>
      </c>
      <c r="C20" s="24">
        <f ca="1">ROUND(C19*F20,0)</f>
        <v>3</v>
      </c>
      <c r="D20" s="329" t="s">
        <v>1401</v>
      </c>
      <c r="E20" s="308" t="s">
        <v>1383</v>
      </c>
      <c r="F20" s="328">
        <f>'数据-取费表'!B37</f>
        <v>0.02</v>
      </c>
      <c r="G20" s="1581"/>
      <c r="H20" s="1113" t="s">
        <v>1350</v>
      </c>
      <c r="I20" s="160" t="s">
        <v>1402</v>
      </c>
      <c r="J20" s="25">
        <f ca="1">ROUND(M20*M21/10000,2)</f>
        <v>0.03</v>
      </c>
      <c r="K20" s="330" t="s">
        <v>1403</v>
      </c>
      <c r="L20" s="308" t="s">
        <v>1404</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1405</v>
      </c>
      <c r="C21" s="24" t="s">
        <v>18</v>
      </c>
      <c r="D21" s="329" t="s">
        <v>1406</v>
      </c>
      <c r="E21" s="308" t="s">
        <v>1407</v>
      </c>
      <c r="F21" s="328">
        <f>'数据-取费表'!B38</f>
        <v>0.02</v>
      </c>
      <c r="G21" s="1581"/>
      <c r="H21" s="332"/>
      <c r="I21" s="317"/>
      <c r="J21" s="29"/>
      <c r="K21" s="333"/>
      <c r="L21" s="308" t="s">
        <v>1408</v>
      </c>
      <c r="M21" s="309">
        <f ca="1">INDIRECT("'数据-取费表'!r"&amp;$G$1)</f>
        <v>11.65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5"/>
      <c r="F22" s="26"/>
      <c r="G22" s="1569"/>
      <c r="H22" s="1113" t="s">
        <v>1007</v>
      </c>
      <c r="I22" s="308" t="s">
        <v>1410</v>
      </c>
      <c r="J22" s="24">
        <f ca="1">ROUND(J14*M22,1)</f>
        <v>2.8</v>
      </c>
      <c r="K22" s="1529" t="s">
        <v>1411</v>
      </c>
      <c r="L22" s="308" t="s">
        <v>1383</v>
      </c>
      <c r="M22" s="334">
        <f ca="1">INDIRECT("'数据-取费表'!Ak"&amp;$G$1)</f>
        <v>1.4999999999999999E-2</v>
      </c>
    </row>
    <row r="23" spans="1:37" s="1582" customFormat="1" ht="18" customHeight="1">
      <c r="A23" s="1113" t="s">
        <v>1002</v>
      </c>
      <c r="B23" s="308" t="s">
        <v>1412</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1413</v>
      </c>
      <c r="F23" s="331">
        <f>'数据-取费表'!B20</f>
        <v>3</v>
      </c>
      <c r="G23" s="1581"/>
      <c r="H23" s="1113" t="s">
        <v>1043</v>
      </c>
      <c r="I23" s="308" t="s">
        <v>1414</v>
      </c>
      <c r="J23" s="24">
        <f ca="1">ROUND(J13*M23,1)</f>
        <v>0</v>
      </c>
      <c r="K23" s="1529" t="s">
        <v>1415</v>
      </c>
      <c r="L23" s="308" t="s">
        <v>1416</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81"/>
      <c r="H24" s="1248" t="s">
        <v>1354</v>
      </c>
      <c r="I24" s="1249" t="s">
        <v>1400</v>
      </c>
      <c r="J24" s="1250">
        <f ca="1">ROUND(J5*M24,1)</f>
        <v>0</v>
      </c>
      <c r="K24" s="1251" t="s">
        <v>1420</v>
      </c>
      <c r="L24" s="1249" t="s">
        <v>1416</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1421</v>
      </c>
      <c r="B25" s="308" t="s">
        <v>1422</v>
      </c>
      <c r="C25" s="24"/>
      <c r="D25" s="136" t="s">
        <v>1423</v>
      </c>
      <c r="E25" s="1545"/>
      <c r="F25" s="26"/>
      <c r="G25" s="1569"/>
      <c r="H25" s="1238" t="s">
        <v>999</v>
      </c>
      <c r="I25" s="1253" t="s">
        <v>1424</v>
      </c>
      <c r="J25" s="316">
        <f ca="1">J5-J16</f>
        <v>-5</v>
      </c>
      <c r="K25" s="1254" t="s">
        <v>1425</v>
      </c>
      <c r="L25" s="1255"/>
      <c r="M25" s="1256"/>
    </row>
    <row r="26" spans="1:37">
      <c r="A26" s="1113" t="s">
        <v>1002</v>
      </c>
      <c r="B26" s="308" t="s">
        <v>1426</v>
      </c>
      <c r="C26" s="24">
        <f ca="1">ROUND((C19+C20)*F26,0)</f>
        <v>27</v>
      </c>
      <c r="D26" s="329" t="s">
        <v>1427</v>
      </c>
      <c r="E26" s="319" t="s">
        <v>1428</v>
      </c>
      <c r="F26" s="318">
        <f ca="1">INDIRECT("'数据-取费表'!q"&amp;$G$1)</f>
        <v>0.2</v>
      </c>
      <c r="G26" s="1569"/>
      <c r="H26" s="305" t="s">
        <v>1000</v>
      </c>
      <c r="I26" s="306" t="s">
        <v>1429</v>
      </c>
      <c r="J26" s="307">
        <f ca="1">IF(J5&lt;&gt;0,ROUND(J25*(1-((1+M28)/(1+M26))^M27)/(M26-M28),0),0)</f>
        <v>0</v>
      </c>
      <c r="K26" s="330" t="s">
        <v>1430</v>
      </c>
      <c r="L26" s="308" t="s">
        <v>1431</v>
      </c>
      <c r="M26" s="318">
        <f ca="1">INDIRECT("'数据-取费表'!I"&amp;$G$1)</f>
        <v>5.5E-2</v>
      </c>
    </row>
    <row r="27" spans="1:37" ht="18" customHeight="1">
      <c r="A27" s="1113" t="s">
        <v>1004</v>
      </c>
      <c r="B27" s="308" t="s">
        <v>1432</v>
      </c>
      <c r="C27" s="24">
        <f ca="1">ROUND(F21*F26,4)</f>
        <v>4.0000000000000001E-3</v>
      </c>
      <c r="D27" s="329" t="s">
        <v>1433</v>
      </c>
      <c r="E27" s="326"/>
      <c r="F27" s="327"/>
      <c r="G27" s="1569"/>
      <c r="H27" s="310"/>
      <c r="I27" s="311"/>
      <c r="J27" s="312"/>
      <c r="K27" s="338" t="s">
        <v>1434</v>
      </c>
      <c r="L27" s="308" t="s">
        <v>1435</v>
      </c>
      <c r="M27" s="339">
        <f ca="1">INDIRECT("'数据-取费表'!ag"&amp;$G$1)</f>
        <v>0</v>
      </c>
    </row>
    <row r="28" spans="1:37" s="1582" customFormat="1" ht="18" customHeight="1">
      <c r="A28" s="1113" t="s">
        <v>1005</v>
      </c>
      <c r="B28" s="308" t="s">
        <v>1436</v>
      </c>
      <c r="C28" s="24">
        <f>ROUND(F28/(1+'数据-取费表'!C42),4)</f>
        <v>5.33E-2</v>
      </c>
      <c r="D28" s="329" t="s">
        <v>1437</v>
      </c>
      <c r="E28" s="308" t="s">
        <v>1383</v>
      </c>
      <c r="F28" s="328">
        <f>'数据-取费表'!B41</f>
        <v>5.6000000000000001E-2</v>
      </c>
      <c r="G28" s="1581"/>
      <c r="H28" s="314"/>
      <c r="I28" s="315"/>
      <c r="J28" s="316"/>
      <c r="K28" s="333"/>
      <c r="L28" s="308" t="s">
        <v>1438</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1439</v>
      </c>
      <c r="C29" s="1250">
        <f ca="1">ROUND((C19+C20+C23+C26)/(1-F21-C24-C27-C28),0)</f>
        <v>185</v>
      </c>
      <c r="D29" s="1251"/>
      <c r="E29" s="1249"/>
      <c r="F29" s="1252"/>
      <c r="G29" s="1581"/>
      <c r="H29" s="340" t="s">
        <v>1001</v>
      </c>
      <c r="I29" s="341" t="s">
        <v>1440</v>
      </c>
      <c r="J29" s="342">
        <f ca="1">ROUND(J26/(1+F40)^F41,0)</f>
        <v>0</v>
      </c>
      <c r="K29" s="343" t="s">
        <v>1441</v>
      </c>
      <c r="L29" s="344"/>
      <c r="M29" s="345">
        <f ca="1">INDIRECT("'数据-取费表'!k"&amp;$G$1)</f>
        <v>240.41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1385</v>
      </c>
      <c r="C30" s="316">
        <f ca="1">ROUND(C31+C36+C37+C38,0)</f>
        <v>19</v>
      </c>
      <c r="D30" s="1246" t="s">
        <v>1386</v>
      </c>
      <c r="E30" s="1247"/>
      <c r="F30" s="1203"/>
      <c r="G30" s="1569"/>
      <c r="H30" s="2927"/>
      <c r="I30" s="1583"/>
      <c r="J30" s="1584"/>
      <c r="K30" s="2702"/>
      <c r="L30" s="2928"/>
      <c r="M30" s="2929"/>
    </row>
    <row r="31" spans="1:37" ht="18" customHeight="1">
      <c r="A31" s="1113" t="s">
        <v>1003</v>
      </c>
      <c r="B31" s="308" t="s">
        <v>1390</v>
      </c>
      <c r="C31" s="2535">
        <f ca="1">ROUND(IF(AND(项目基本情况!B11="自然人",项目基本情况!B10="北京市"),C6*F31/(1+'数据-取费表'!C42),C32+C33+C34),0)</f>
        <v>14</v>
      </c>
      <c r="D31" s="1530" t="s">
        <v>1391</v>
      </c>
      <c r="E31" s="1529" t="s">
        <v>1442</v>
      </c>
      <c r="F31" s="2534" t="str">
        <f>IF(项目基本情况!B11="企业","——",IF('数据-取费表'!B10="住宅",IF(F6*F7*F8/12/(1+'数据-取费表'!F30)&gt;100000,4%,2.5%),IF(F6*F7*F8/12/(1+'数据-取费表'!F30)&gt;100000,12%,7%)))</f>
        <v>——</v>
      </c>
      <c r="G31" s="1569"/>
      <c r="H31" s="3040" t="s">
        <v>3054</v>
      </c>
      <c r="I31" s="1583"/>
      <c r="J31" s="1584"/>
      <c r="K31" s="2702"/>
      <c r="L31" s="2928"/>
      <c r="M31" s="2929"/>
    </row>
    <row r="32" spans="1:37" ht="18" customHeight="1">
      <c r="A32" s="1113" t="s">
        <v>1002</v>
      </c>
      <c r="B32" s="308" t="s">
        <v>1394</v>
      </c>
      <c r="C32" s="24">
        <f ca="1">IF(项目基本情况!B11="自然人","——",ROUND(C6*F32/(1+'数据-取费表'!C42),2))</f>
        <v>4.43</v>
      </c>
      <c r="D32" s="1529" t="s">
        <v>1395</v>
      </c>
      <c r="E32" s="308" t="s">
        <v>1383</v>
      </c>
      <c r="F32" s="337">
        <f>'数据-取费表'!B41</f>
        <v>5.6000000000000001E-2</v>
      </c>
      <c r="G32" s="1569"/>
      <c r="H32" s="2927"/>
      <c r="I32" s="1583"/>
      <c r="J32" s="1584"/>
      <c r="K32" s="2702"/>
      <c r="L32" s="2928"/>
      <c r="M32" s="2929"/>
    </row>
    <row r="33" spans="1:18" ht="18" customHeight="1">
      <c r="A33" s="1113" t="s">
        <v>1004</v>
      </c>
      <c r="B33" s="308" t="s">
        <v>1398</v>
      </c>
      <c r="C33" s="24">
        <f ca="1">IF(项目基本情况!B11="自然人","——",IF(D33="按租金收入计税",ROUND(C6*F33/(1+'数据-取费表'!C42),2),IF(D33="按房产原值计税",ROUND(C29*F33*0.7,2),INDIRECT("'数据-取费表'!Aj"&amp;$G$1))))</f>
        <v>9.49</v>
      </c>
      <c r="D33" s="1555" t="s">
        <v>3219</v>
      </c>
      <c r="E33" s="308" t="s">
        <v>1383</v>
      </c>
      <c r="F33" s="328">
        <f>IF(D33="按票据","——",IF(D33="按租金收入计税",'数据-取费表'!B51,'数据-取费表'!B50))</f>
        <v>0.12</v>
      </c>
      <c r="G33" s="1569"/>
      <c r="H33" s="2930"/>
      <c r="I33" s="1583"/>
      <c r="J33" s="1584"/>
      <c r="K33" s="2931"/>
      <c r="L33" s="2930"/>
      <c r="M33" s="2930"/>
    </row>
    <row r="34" spans="1:18" ht="18" customHeight="1">
      <c r="A34" s="1200" t="s">
        <v>1350</v>
      </c>
      <c r="B34" s="160" t="s">
        <v>1402</v>
      </c>
      <c r="C34" s="25">
        <f ca="1">IF(项目基本情况!B11="自然人","——",ROUND(F34*F35/10000,2))</f>
        <v>0.03</v>
      </c>
      <c r="D34" s="330" t="s">
        <v>1403</v>
      </c>
      <c r="E34" s="308" t="s">
        <v>1404</v>
      </c>
      <c r="F34" s="331">
        <f>'数据-取费表'!B52</f>
        <v>24</v>
      </c>
      <c r="G34" s="1569"/>
      <c r="H34" s="2927"/>
      <c r="I34" s="1583"/>
      <c r="J34" s="1584"/>
      <c r="K34" s="2932"/>
      <c r="L34" s="2933"/>
      <c r="M34" s="2933"/>
    </row>
    <row r="35" spans="1:18" ht="18" customHeight="1">
      <c r="A35" s="1262"/>
      <c r="B35" s="1260"/>
      <c r="C35" s="29"/>
      <c r="D35" s="333"/>
      <c r="E35" s="308" t="s">
        <v>1408</v>
      </c>
      <c r="F35" s="309">
        <f ca="1">INDIRECT("'数据-取费表'!r"&amp;$G$1)</f>
        <v>11.65</v>
      </c>
      <c r="G35" s="1569"/>
      <c r="H35" s="2927"/>
      <c r="I35" s="1583"/>
      <c r="J35" s="1584"/>
      <c r="K35" s="2931"/>
      <c r="L35" s="2930"/>
      <c r="M35" s="2930"/>
    </row>
    <row r="36" spans="1:18" ht="18" customHeight="1">
      <c r="A36" s="1261" t="s">
        <v>1007</v>
      </c>
      <c r="B36" s="308" t="s">
        <v>1410</v>
      </c>
      <c r="C36" s="24">
        <f ca="1">ROUND(C29*F36,1)</f>
        <v>2.8</v>
      </c>
      <c r="D36" s="1529" t="s">
        <v>1443</v>
      </c>
      <c r="E36" s="308" t="s">
        <v>1383</v>
      </c>
      <c r="F36" s="334">
        <f ca="1">INDIRECT("'数据-取费表'!Ak"&amp;$G$1)</f>
        <v>1.4999999999999999E-2</v>
      </c>
      <c r="G36" s="1569"/>
      <c r="H36" s="2930"/>
      <c r="I36" s="1583"/>
      <c r="J36" s="1584"/>
      <c r="K36" s="2771"/>
      <c r="L36" s="2930"/>
      <c r="M36" s="2930"/>
    </row>
    <row r="37" spans="1:18" ht="18" customHeight="1">
      <c r="A37" s="1113" t="s">
        <v>1043</v>
      </c>
      <c r="B37" s="308" t="s">
        <v>1414</v>
      </c>
      <c r="C37" s="24">
        <f ca="1">ROUND(C13*F37,1)</f>
        <v>0.2</v>
      </c>
      <c r="D37" s="1529" t="s">
        <v>1415</v>
      </c>
      <c r="E37" s="308" t="s">
        <v>1416</v>
      </c>
      <c r="F37" s="336">
        <f ca="1">INDIRECT("'数据-取费表'!Al"&amp;$G$1)</f>
        <v>1.5E-3</v>
      </c>
      <c r="G37" s="1569"/>
      <c r="H37" s="2930"/>
      <c r="I37" s="1583"/>
      <c r="J37" s="1584"/>
      <c r="K37" s="2771"/>
      <c r="L37" s="2930"/>
      <c r="M37" s="2930"/>
    </row>
    <row r="38" spans="1:18" ht="18" customHeight="1" thickBot="1">
      <c r="A38" s="1248" t="s">
        <v>1354</v>
      </c>
      <c r="B38" s="1249" t="s">
        <v>1400</v>
      </c>
      <c r="C38" s="1250">
        <f ca="1">ROUND(C5*F38,1)</f>
        <v>1.7</v>
      </c>
      <c r="D38" s="1251" t="s">
        <v>1420</v>
      </c>
      <c r="E38" s="1249" t="s">
        <v>1416</v>
      </c>
      <c r="F38" s="1245">
        <f ca="1">INDIRECT("'数据-取费表'!Am"&amp;$G$1)</f>
        <v>0.02</v>
      </c>
      <c r="G38" s="1569"/>
      <c r="H38" s="2930"/>
      <c r="I38" s="1583"/>
      <c r="J38" s="1584"/>
      <c r="K38" s="2934"/>
      <c r="L38" s="2930"/>
      <c r="M38" s="2930"/>
    </row>
    <row r="39" spans="1:18" ht="24.6" customHeight="1" thickTop="1">
      <c r="A39" s="1238" t="s">
        <v>999</v>
      </c>
      <c r="B39" s="1253" t="s">
        <v>1444</v>
      </c>
      <c r="C39" s="316">
        <f ca="1">C5-C30</f>
        <v>64</v>
      </c>
      <c r="D39" s="1254" t="s">
        <v>1445</v>
      </c>
      <c r="E39" s="1255"/>
      <c r="F39" s="1256"/>
      <c r="G39" s="1569"/>
      <c r="H39" s="2930"/>
      <c r="I39" s="1583"/>
      <c r="J39" s="1584"/>
      <c r="K39" s="2934"/>
      <c r="L39" s="2930"/>
      <c r="M39" s="2930"/>
    </row>
    <row r="40" spans="1:18" ht="18" customHeight="1">
      <c r="A40" s="305" t="s">
        <v>1000</v>
      </c>
      <c r="B40" s="306" t="s">
        <v>1446</v>
      </c>
      <c r="C40" s="307">
        <f ca="1">ROUND(C39*(1-((1+F42)/(1+F40))^F41)/(F40-F42),0)</f>
        <v>1362</v>
      </c>
      <c r="D40" s="330" t="s">
        <v>1430</v>
      </c>
      <c r="E40" s="308" t="s">
        <v>1431</v>
      </c>
      <c r="F40" s="318">
        <f ca="1">INDIRECT("'数据-取费表'!I"&amp;$G$1)</f>
        <v>5.5E-2</v>
      </c>
      <c r="G40" s="1569"/>
      <c r="H40" s="1646"/>
      <c r="I40" s="1583"/>
      <c r="J40" s="1584"/>
      <c r="K40" s="2934"/>
      <c r="L40" s="1646"/>
      <c r="M40" s="1646"/>
    </row>
    <row r="41" spans="1:18" ht="18" customHeight="1">
      <c r="A41" s="310"/>
      <c r="B41" s="311"/>
      <c r="C41" s="312"/>
      <c r="D41" s="338" t="s">
        <v>1447</v>
      </c>
      <c r="E41" s="308" t="s">
        <v>1435</v>
      </c>
      <c r="F41" s="339">
        <f ca="1">IF(INDIRECT("'数据-取费表'!af"&amp;$G$1)=0,INDIRECT("'数据-取费表'!ae"&amp;$G$1),INDIRECT("'数据-取费表'!af"&amp;$G$1))</f>
        <v>28.97</v>
      </c>
      <c r="G41" s="1569"/>
      <c r="H41" s="1352"/>
      <c r="I41" s="1583"/>
      <c r="J41" s="1584"/>
      <c r="K41" s="2771"/>
      <c r="L41" s="1352"/>
      <c r="M41" s="1352"/>
    </row>
    <row r="42" spans="1:18" ht="18" customHeight="1">
      <c r="A42" s="314"/>
      <c r="B42" s="315"/>
      <c r="C42" s="316"/>
      <c r="D42" s="333"/>
      <c r="E42" s="308" t="s">
        <v>1438</v>
      </c>
      <c r="F42" s="318">
        <f ca="1">INDIRECT("'数据-取费表'!v"&amp;$G$1)</f>
        <v>3.5000000000000003E-2</v>
      </c>
      <c r="G42" s="1569"/>
      <c r="H42" s="1352"/>
      <c r="I42" s="1583"/>
      <c r="J42" s="1584"/>
      <c r="K42" s="2771"/>
      <c r="L42" s="1352"/>
      <c r="M42" s="1352"/>
    </row>
    <row r="43" spans="1:18" ht="18" customHeight="1" thickBot="1">
      <c r="A43" s="340" t="s">
        <v>1001</v>
      </c>
      <c r="B43" s="341" t="s">
        <v>1448</v>
      </c>
      <c r="C43" s="342">
        <f ca="1">ROUND(C40*10000/F43,0)</f>
        <v>56653</v>
      </c>
      <c r="D43" s="343" t="s">
        <v>1449</v>
      </c>
      <c r="E43" s="344" t="s">
        <v>1450</v>
      </c>
      <c r="F43" s="345">
        <f ca="1">INDIRECT("'数据-取费表'!k"&amp;$G$1)</f>
        <v>240.41</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1480</v>
      </c>
      <c r="P45" s="1646"/>
      <c r="Q45" s="1646"/>
      <c r="R45" s="1646"/>
    </row>
    <row r="46" spans="1:18" s="1569" customFormat="1" ht="13.5" thickBot="1">
      <c r="A46" s="1589" t="s">
        <v>1481</v>
      </c>
      <c r="C46" s="1590">
        <f ca="1">C68-C40</f>
        <v>-1634</v>
      </c>
      <c r="D46" s="1591" t="str">
        <f>C2</f>
        <v>万元</v>
      </c>
      <c r="E46" s="1585"/>
      <c r="F46" s="1585"/>
      <c r="I46" s="1592" t="s">
        <v>1482</v>
      </c>
      <c r="J46" s="1593"/>
      <c r="K46" s="1594"/>
      <c r="L46" s="1595" t="str">
        <f ca="1">IF(M47="住宅",0,IF(L48&gt;J51,L60,J60))</f>
        <v>0</v>
      </c>
      <c r="O46" s="1596" t="s">
        <v>1483</v>
      </c>
      <c r="P46" s="1597" t="s">
        <v>1484</v>
      </c>
      <c r="Q46" s="1598" t="s">
        <v>1485</v>
      </c>
      <c r="R46" s="1598" t="s">
        <v>1486</v>
      </c>
    </row>
    <row r="47" spans="1:18" s="1569" customFormat="1" ht="13.5" thickBot="1">
      <c r="A47" s="1077" t="s">
        <v>1357</v>
      </c>
      <c r="B47" s="1109" t="s">
        <v>1358</v>
      </c>
      <c r="C47" s="1276" t="s">
        <v>1359</v>
      </c>
      <c r="D47" s="1109" t="s">
        <v>1360</v>
      </c>
      <c r="E47" s="1188" t="s">
        <v>1361</v>
      </c>
      <c r="F47" s="1189"/>
      <c r="G47" s="731"/>
      <c r="I47" s="1599" t="s">
        <v>1487</v>
      </c>
      <c r="J47" s="1600" t="s">
        <v>3220</v>
      </c>
      <c r="K47" s="1601" t="s">
        <v>1488</v>
      </c>
      <c r="L47" s="1602">
        <f ca="1">INDIRECT("'数据-取费表'!d"&amp;$G$1)</f>
        <v>50</v>
      </c>
      <c r="M47" s="1565" t="str">
        <f>IF(ISNUMBER(FIND("住宅",C1)),"住宅","非住宅")</f>
        <v>非住宅</v>
      </c>
      <c r="O47" s="1603" t="s">
        <v>1008</v>
      </c>
      <c r="P47" s="1604" t="s">
        <v>1489</v>
      </c>
      <c r="Q47" s="1605">
        <f ca="1">C40+J29</f>
        <v>1362</v>
      </c>
      <c r="R47" s="1605" t="s">
        <v>1490</v>
      </c>
    </row>
    <row r="48" spans="1:18" s="1569" customFormat="1" ht="28.5" thickBot="1">
      <c r="A48" s="1269" t="s">
        <v>1103</v>
      </c>
      <c r="B48" s="306" t="s">
        <v>1362</v>
      </c>
      <c r="C48" s="1544">
        <f ca="1">C49+C53+C55</f>
        <v>0</v>
      </c>
      <c r="D48" s="1271"/>
      <c r="E48" s="1272"/>
      <c r="F48" s="1093"/>
      <c r="G48" s="731"/>
      <c r="H48" s="732"/>
      <c r="I48" s="1606" t="s">
        <v>1491</v>
      </c>
      <c r="J48" s="1607" t="s">
        <v>3221</v>
      </c>
      <c r="K48" s="1608" t="s">
        <v>1492</v>
      </c>
      <c r="L48" s="1609">
        <f ca="1">INDIRECT("'数据-取费表'!f"&amp;$G$1)</f>
        <v>28.97</v>
      </c>
      <c r="O48" s="1603" t="s">
        <v>1009</v>
      </c>
      <c r="P48" s="1604" t="s">
        <v>1493</v>
      </c>
      <c r="Q48" s="1605" t="str">
        <f ca="1">J60</f>
        <v>0</v>
      </c>
      <c r="R48" s="1605" t="s">
        <v>1494</v>
      </c>
    </row>
    <row r="49" spans="1:18" s="1569" customFormat="1" ht="13.5" thickBot="1">
      <c r="A49" s="1106" t="s">
        <v>1104</v>
      </c>
      <c r="B49" s="1556" t="s">
        <v>1451</v>
      </c>
      <c r="C49" s="1273">
        <f ca="1">ROUND(F49*F51*F50*(1-F52)/10000,0)</f>
        <v>0</v>
      </c>
      <c r="D49" s="1185" t="s">
        <v>2847</v>
      </c>
      <c r="E49" s="1557" t="s">
        <v>1452</v>
      </c>
      <c r="F49" s="1190"/>
      <c r="G49" s="1610"/>
      <c r="H49" s="732"/>
      <c r="I49" s="1606" t="s">
        <v>1495</v>
      </c>
      <c r="J49" s="1611">
        <v>2000</v>
      </c>
      <c r="K49" s="1608" t="s">
        <v>1496</v>
      </c>
      <c r="L49" s="1612"/>
      <c r="O49" s="1613" t="s">
        <v>1010</v>
      </c>
      <c r="P49" s="1604" t="s">
        <v>1497</v>
      </c>
      <c r="Q49" s="1605">
        <f ca="1">C29</f>
        <v>185</v>
      </c>
      <c r="R49" s="1605" t="s">
        <v>1490</v>
      </c>
    </row>
    <row r="50" spans="1:18" s="1569" customFormat="1" ht="13.5" thickBot="1">
      <c r="A50" s="1107"/>
      <c r="B50" s="1110"/>
      <c r="C50" s="1277"/>
      <c r="D50" s="1084"/>
      <c r="E50" s="1186" t="s">
        <v>1367</v>
      </c>
      <c r="F50" s="1187">
        <f ca="1">F7</f>
        <v>240.41</v>
      </c>
      <c r="H50" s="732"/>
      <c r="I50" s="1606" t="s">
        <v>1498</v>
      </c>
      <c r="J50" s="1614">
        <f>SUMPRODUCT((I63:I65=J47)*(J62:L62=J48)*(J63:L65))</f>
        <v>60</v>
      </c>
      <c r="K50" s="1608" t="s">
        <v>1499</v>
      </c>
      <c r="L50" s="1612"/>
      <c r="M50" s="1615"/>
      <c r="O50" s="1613" t="s">
        <v>1011</v>
      </c>
      <c r="P50" s="1604" t="s">
        <v>1500</v>
      </c>
      <c r="Q50" s="1616" t="e">
        <f ca="1">J58</f>
        <v>#VALUE!</v>
      </c>
      <c r="R50" s="1605"/>
    </row>
    <row r="51" spans="1:18" s="1569" customFormat="1" ht="13.5" thickBot="1">
      <c r="A51" s="1108"/>
      <c r="B51" s="1110"/>
      <c r="C51" s="1111"/>
      <c r="D51" s="1084"/>
      <c r="E51" s="1112" t="s">
        <v>1368</v>
      </c>
      <c r="F51" s="309">
        <f ca="1">F8</f>
        <v>365</v>
      </c>
      <c r="I51" s="1617" t="s">
        <v>1501</v>
      </c>
      <c r="J51" s="1618">
        <f>IF(J49="",J50,J49+J50-YEAR('数据-取费表'!B2))</f>
        <v>39</v>
      </c>
      <c r="K51" s="1619" t="s">
        <v>1502</v>
      </c>
      <c r="L51" s="1620">
        <f ca="1">ROUND(-PV(INDIRECT("'数据-取费表'!h"&amp;$G$1),J51,(C39-C13*C76),0),0)</f>
        <v>881</v>
      </c>
      <c r="M51" s="1621"/>
      <c r="O51" s="1613" t="s">
        <v>1012</v>
      </c>
      <c r="P51" s="1604" t="s">
        <v>1503</v>
      </c>
      <c r="Q51" s="1616">
        <f>J52</f>
        <v>0.09</v>
      </c>
      <c r="R51" s="1605"/>
    </row>
    <row r="52" spans="1:18" s="1569" customFormat="1" ht="13.5" thickBot="1">
      <c r="A52" s="1108"/>
      <c r="B52" s="1110"/>
      <c r="C52" s="1111"/>
      <c r="D52" s="1084"/>
      <c r="E52" s="1112" t="s">
        <v>1369</v>
      </c>
      <c r="F52" s="1184"/>
      <c r="I52" s="1622" t="s">
        <v>1504</v>
      </c>
      <c r="J52" s="1623">
        <v>0.09</v>
      </c>
      <c r="K52" s="1622" t="s">
        <v>1505</v>
      </c>
      <c r="L52" s="1623"/>
      <c r="O52" s="1613" t="s">
        <v>1013</v>
      </c>
      <c r="P52" s="1604" t="s">
        <v>1506</v>
      </c>
      <c r="Q52" s="1605">
        <f ca="1">J53</f>
        <v>28.97</v>
      </c>
      <c r="R52" s="1605" t="s">
        <v>1507</v>
      </c>
    </row>
    <row r="53" spans="1:18" s="1569" customFormat="1" ht="24.75" thickBot="1">
      <c r="A53" s="1313" t="s">
        <v>1105</v>
      </c>
      <c r="B53" s="1558" t="s">
        <v>1370</v>
      </c>
      <c r="C53" s="322">
        <f ca="1">ROUND(IF(F53="押一",C49/12*F11,IF(F53="押二",C49/12*2*F11,IF(F53="押三",C49/12*3*F11,C54*F11))),0)</f>
        <v>0</v>
      </c>
      <c r="D53" s="1551" t="s">
        <v>2853</v>
      </c>
      <c r="E53" s="319" t="s">
        <v>1371</v>
      </c>
      <c r="F53" s="1275"/>
      <c r="I53" s="1624" t="s">
        <v>1508</v>
      </c>
      <c r="J53" s="2387">
        <f ca="1">IF(M47="住宅",IF(D1="——",MAX(J51,L48),MAX(J51,L48-'数据-取费表'!B24)),IF(D1="——",MIN(J51,L48),MIN(J51,L48-'数据-取费表'!B24)))</f>
        <v>28.97</v>
      </c>
      <c r="K53" s="3309" t="s">
        <v>1509</v>
      </c>
      <c r="L53" s="3310"/>
      <c r="O53" s="1603" t="s">
        <v>1014</v>
      </c>
      <c r="P53" s="1604" t="s">
        <v>1510</v>
      </c>
      <c r="Q53" s="1605">
        <f ca="1">Q47+Q48</f>
        <v>1362</v>
      </c>
      <c r="R53" s="1605" t="s">
        <v>1015</v>
      </c>
    </row>
    <row r="54" spans="1:18" s="1569" customFormat="1" ht="13.5" thickBot="1">
      <c r="A54" s="1314"/>
      <c r="B54" s="1552" t="s">
        <v>1349</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1511</v>
      </c>
      <c r="P54" s="1566"/>
      <c r="Q54" s="1566"/>
      <c r="R54" s="1566"/>
    </row>
    <row r="55" spans="1:18" s="1569" customFormat="1" ht="13.5" thickBot="1">
      <c r="A55" s="1242" t="s">
        <v>1043</v>
      </c>
      <c r="B55" s="1554" t="s">
        <v>1374</v>
      </c>
      <c r="C55" s="1243"/>
      <c r="D55" s="1551"/>
      <c r="E55" s="1559"/>
      <c r="F55" s="1625"/>
      <c r="I55" s="1628" t="s">
        <v>1512</v>
      </c>
      <c r="J55" s="1629" t="e">
        <f ca="1">ROUND(IF(J47="钢混",J57/J50,1-(1-2%)*(J50-J57)/J50),3)</f>
        <v>#VALUE!</v>
      </c>
      <c r="K55" s="1630" t="s">
        <v>1513</v>
      </c>
      <c r="L55" s="1631" t="s">
        <v>1514</v>
      </c>
      <c r="O55" s="1596" t="s">
        <v>1483</v>
      </c>
      <c r="P55" s="1597" t="s">
        <v>1484</v>
      </c>
      <c r="Q55" s="1598" t="s">
        <v>1485</v>
      </c>
      <c r="R55" s="1598" t="s">
        <v>1486</v>
      </c>
    </row>
    <row r="56" spans="1:18" s="1569" customFormat="1" ht="25.5" thickTop="1" thickBot="1">
      <c r="A56" s="1088">
        <v>2</v>
      </c>
      <c r="B56" s="1089" t="s">
        <v>1375</v>
      </c>
      <c r="C56" s="238">
        <f ca="1">C13</f>
        <v>144</v>
      </c>
      <c r="D56" s="1632"/>
      <c r="E56" s="1633"/>
      <c r="F56" s="1625"/>
      <c r="I56" s="1634" t="s">
        <v>1515</v>
      </c>
      <c r="J56" s="1635" t="s">
        <v>3209</v>
      </c>
      <c r="K56" s="1606" t="s">
        <v>1516</v>
      </c>
      <c r="L56" s="1609" t="str">
        <f ca="1">IF(L48&lt;J51,"——",L48-J53)</f>
        <v>——</v>
      </c>
      <c r="O56" s="1603" t="s">
        <v>1008</v>
      </c>
      <c r="P56" s="1604" t="s">
        <v>1489</v>
      </c>
      <c r="Q56" s="1605">
        <f ca="1">C40+J29</f>
        <v>1362</v>
      </c>
      <c r="R56" s="1605" t="s">
        <v>1490</v>
      </c>
    </row>
    <row r="57" spans="1:18" s="1569" customFormat="1" ht="24.75" thickBot="1">
      <c r="A57" s="1636"/>
      <c r="B57" s="1081" t="s">
        <v>1439</v>
      </c>
      <c r="C57" s="244">
        <f ca="1">C29</f>
        <v>185</v>
      </c>
      <c r="D57" s="1637"/>
      <c r="E57" s="1638"/>
      <c r="F57" s="1639"/>
      <c r="I57" s="1640" t="s">
        <v>1517</v>
      </c>
      <c r="J57" s="1641" t="str">
        <f ca="1">IF(OR(M47="住宅",J51&lt;L48,J56="是"),"——",J51-L48)</f>
        <v>——</v>
      </c>
      <c r="K57" s="1606" t="s">
        <v>1518</v>
      </c>
      <c r="L57" s="1609" t="str">
        <f ca="1">IF(L48&lt;J51,"——",IF(L55="比较法",L49,IF(L55="基准地价",L50,L51)))</f>
        <v>——</v>
      </c>
      <c r="O57" s="1603" t="s">
        <v>1009</v>
      </c>
      <c r="P57" s="1604" t="s">
        <v>1519</v>
      </c>
      <c r="Q57" s="1605">
        <f ca="1">L60</f>
        <v>0</v>
      </c>
      <c r="R57" s="1605" t="s">
        <v>1520</v>
      </c>
    </row>
    <row r="58" spans="1:18" s="1569" customFormat="1" ht="24.75" thickBot="1">
      <c r="A58" s="321" t="s">
        <v>998</v>
      </c>
      <c r="B58" s="1089" t="s">
        <v>1385</v>
      </c>
      <c r="C58" s="322">
        <f ca="1">ROUND(C59+C64+C65+C66,0)</f>
        <v>19</v>
      </c>
      <c r="D58" s="1091" t="s">
        <v>1386</v>
      </c>
      <c r="E58" s="1092"/>
      <c r="F58" s="1093"/>
      <c r="I58" s="1640" t="s">
        <v>1521</v>
      </c>
      <c r="J58" s="1642" t="e">
        <f ca="1">IF(J55&lt;0.4,0.4,J55)</f>
        <v>#VALUE!</v>
      </c>
      <c r="K58" s="1619" t="s">
        <v>1522</v>
      </c>
      <c r="L58" s="1609" t="e">
        <f ca="1">ROUND(POWER(1+L52,L47-L48)*(POWER(1+L52,L48)-1)/(POWER(1+L52,L47)-1),4)</f>
        <v>#DIV/0!</v>
      </c>
      <c r="O58" s="1613" t="s">
        <v>1010</v>
      </c>
      <c r="P58" s="1604" t="s">
        <v>1523</v>
      </c>
      <c r="Q58" s="1605">
        <f>IF(L55="比较法",L49,IF(L55="基准地价",L50,0))</f>
        <v>0</v>
      </c>
      <c r="R58" s="1605" t="s">
        <v>1490</v>
      </c>
    </row>
    <row r="59" spans="1:18" s="1569" customFormat="1" ht="24.75" thickBot="1">
      <c r="A59" s="1113" t="s">
        <v>1003</v>
      </c>
      <c r="B59" s="1081" t="s">
        <v>1390</v>
      </c>
      <c r="C59" s="2535">
        <f ca="1">ROUND(IF(AND(项目基本情况!B11="自然人",项目基本情况!B10="北京市"),C49*F59/(1+'数据-取费表'!C42),C60+C61+C62),0)</f>
        <v>16</v>
      </c>
      <c r="D59" s="1094" t="s">
        <v>1391</v>
      </c>
      <c r="E59" s="1095" t="s">
        <v>1392</v>
      </c>
      <c r="F59" s="2534" t="str">
        <f>IF(项目基本情况!B11="企业","——",IF('数据-取费表'!B10="住宅",IF(F49*F50*F51/12/(1+'数据-取费表'!F30)&gt;100000,4%,2.5%),IF(F49*F50*F51/12/(1+'数据-取费表'!F30)&gt;100000,12%,7%)))</f>
        <v>——</v>
      </c>
      <c r="I59" s="1640" t="s">
        <v>1524</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1525</v>
      </c>
      <c r="Q59" s="1616">
        <f>L52</f>
        <v>0</v>
      </c>
      <c r="R59" s="1605"/>
    </row>
    <row r="60" spans="1:18" s="1569"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3" t="s">
        <v>1526</v>
      </c>
      <c r="J60" s="1644" t="str">
        <f ca="1">IF(OR(M47="住宅",J51&lt;L48,J56="是"),"0",ROUND(J59/(1+J52)^J53,0))</f>
        <v>0</v>
      </c>
      <c r="K60" s="1645" t="s">
        <v>1527</v>
      </c>
      <c r="L60" s="1644">
        <f ca="1">IF(OR(M47="住宅",L48&lt;J51),0,ROUND(L57*(L58/L59-1),0))</f>
        <v>0</v>
      </c>
      <c r="O60" s="1613" t="s">
        <v>1012</v>
      </c>
      <c r="P60" s="1604" t="s">
        <v>1528</v>
      </c>
      <c r="Q60" s="1605" t="e">
        <f ca="1">L58</f>
        <v>#DIV/0!</v>
      </c>
      <c r="R60" s="1605" t="s">
        <v>1529</v>
      </c>
    </row>
    <row r="61" spans="1:18" s="1569" customFormat="1" ht="13.5" thickBot="1">
      <c r="A61" s="1113" t="s">
        <v>1453</v>
      </c>
      <c r="B61" s="1081" t="s">
        <v>1454</v>
      </c>
      <c r="C61" s="24">
        <f ca="1">IF(项目基本情况!B11="自然人","——",IF(D61="按租金收入计税",ROUND(C48*F61,2),IF(D61="按房产原值计税",ROUND(C57*F61*0.7,2),INDIRECT("'数据-取费表'!Aj"&amp;$G$1))))</f>
        <v>15.54</v>
      </c>
      <c r="D61" s="1555" t="s">
        <v>1399</v>
      </c>
      <c r="E61" s="1081" t="s">
        <v>1455</v>
      </c>
      <c r="F61" s="328">
        <f t="shared" si="0"/>
        <v>0.12</v>
      </c>
      <c r="I61" s="1646"/>
      <c r="J61" s="1646"/>
      <c r="K61" s="1646"/>
      <c r="L61" s="1646"/>
      <c r="O61" s="1613" t="s">
        <v>1013</v>
      </c>
      <c r="P61" s="1604" t="str">
        <f>K59</f>
        <v>建筑物剩余耐用年限下的土地年期修正系数Kn</v>
      </c>
      <c r="Q61" s="1605" t="e">
        <f ca="1">L59</f>
        <v>#DIV/0!</v>
      </c>
      <c r="R61" s="1605" t="s">
        <v>1530</v>
      </c>
    </row>
    <row r="62" spans="1:18" s="1569" customFormat="1" ht="13.5" thickBot="1">
      <c r="A62" s="1113" t="s">
        <v>1456</v>
      </c>
      <c r="B62" s="1080" t="s">
        <v>1457</v>
      </c>
      <c r="C62" s="25">
        <f ca="1">IF(项目基本情况!B11="自然人","——",ROUND(F62*F63/10000,2))</f>
        <v>0.03</v>
      </c>
      <c r="D62" s="1096" t="s">
        <v>1458</v>
      </c>
      <c r="E62" s="1081" t="s">
        <v>1459</v>
      </c>
      <c r="F62" s="331">
        <f t="shared" si="0"/>
        <v>24</v>
      </c>
      <c r="I62" s="1647" t="s">
        <v>1531</v>
      </c>
      <c r="J62" s="1648" t="s">
        <v>1532</v>
      </c>
      <c r="K62" s="1648" t="s">
        <v>1533</v>
      </c>
      <c r="L62" s="1648" t="s">
        <v>1534</v>
      </c>
      <c r="M62" s="1649" t="s">
        <v>1535</v>
      </c>
      <c r="O62" s="1603" t="s">
        <v>1014</v>
      </c>
      <c r="P62" s="1604" t="s">
        <v>1536</v>
      </c>
      <c r="Q62" s="1605">
        <f ca="1">Q56+Q57</f>
        <v>1362</v>
      </c>
      <c r="R62" s="1605" t="s">
        <v>1015</v>
      </c>
    </row>
    <row r="63" spans="1:18" s="1569" customFormat="1" ht="13.5" thickBot="1">
      <c r="A63" s="332"/>
      <c r="B63" s="1087"/>
      <c r="C63" s="29"/>
      <c r="D63" s="1097"/>
      <c r="E63" s="1081" t="s">
        <v>1460</v>
      </c>
      <c r="F63" s="309">
        <f t="shared" ca="1" si="0"/>
        <v>11.65</v>
      </c>
      <c r="I63" s="1647" t="s">
        <v>1537</v>
      </c>
      <c r="J63" s="1648">
        <v>70</v>
      </c>
      <c r="K63" s="1648">
        <v>50</v>
      </c>
      <c r="L63" s="1648">
        <v>80</v>
      </c>
      <c r="M63" s="1650">
        <v>0.02</v>
      </c>
      <c r="O63" s="1588" t="s">
        <v>1538</v>
      </c>
      <c r="P63" s="1566"/>
      <c r="Q63" s="1566"/>
      <c r="R63" s="1566"/>
    </row>
    <row r="64" spans="1:18" s="1569" customFormat="1" ht="13.5" thickBot="1">
      <c r="A64" s="1113" t="s">
        <v>1461</v>
      </c>
      <c r="B64" s="1081" t="s">
        <v>1462</v>
      </c>
      <c r="C64" s="24">
        <f ca="1">ROUND(C57*F64,1)</f>
        <v>2.8</v>
      </c>
      <c r="D64" s="1095" t="s">
        <v>1463</v>
      </c>
      <c r="E64" s="1081" t="s">
        <v>1455</v>
      </c>
      <c r="F64" s="334">
        <f t="shared" ca="1" si="0"/>
        <v>1.4999999999999999E-2</v>
      </c>
      <c r="I64" s="1647" t="s">
        <v>1539</v>
      </c>
      <c r="J64" s="1648">
        <v>50</v>
      </c>
      <c r="K64" s="1648">
        <v>35</v>
      </c>
      <c r="L64" s="1648">
        <v>60</v>
      </c>
      <c r="M64" s="1649">
        <v>0</v>
      </c>
      <c r="O64" s="1596" t="s">
        <v>1483</v>
      </c>
      <c r="P64" s="1597" t="s">
        <v>1484</v>
      </c>
      <c r="Q64" s="1598" t="s">
        <v>1485</v>
      </c>
      <c r="R64" s="1598" t="s">
        <v>1486</v>
      </c>
    </row>
    <row r="65" spans="1:18" s="1569" customFormat="1" ht="13.5" thickBot="1">
      <c r="A65" s="1113" t="s">
        <v>1464</v>
      </c>
      <c r="B65" s="1081" t="s">
        <v>1414</v>
      </c>
      <c r="C65" s="24">
        <f ca="1">ROUND(C56*F65,1)</f>
        <v>0.2</v>
      </c>
      <c r="D65" s="1095" t="s">
        <v>1415</v>
      </c>
      <c r="E65" s="1081" t="s">
        <v>1416</v>
      </c>
      <c r="F65" s="336">
        <f t="shared" ca="1" si="0"/>
        <v>1.5E-3</v>
      </c>
      <c r="I65" s="1647" t="s">
        <v>1540</v>
      </c>
      <c r="J65" s="1648">
        <v>40</v>
      </c>
      <c r="K65" s="1648">
        <v>30</v>
      </c>
      <c r="L65" s="1648">
        <v>50</v>
      </c>
      <c r="M65" s="1650">
        <v>0.02</v>
      </c>
      <c r="O65" s="1603" t="s">
        <v>1008</v>
      </c>
      <c r="P65" s="1604" t="s">
        <v>1541</v>
      </c>
      <c r="Q65" s="1605">
        <f ca="1">C40+J29</f>
        <v>1362</v>
      </c>
      <c r="R65" s="1605" t="s">
        <v>1490</v>
      </c>
    </row>
    <row r="66" spans="1:18" s="1569" customFormat="1" ht="16.5" thickBot="1">
      <c r="A66" s="1113" t="s">
        <v>1465</v>
      </c>
      <c r="B66" s="1081" t="s">
        <v>1400</v>
      </c>
      <c r="C66" s="24">
        <f ca="1">ROUND(C48*F66,1)</f>
        <v>0</v>
      </c>
      <c r="D66" s="1095" t="s">
        <v>1466</v>
      </c>
      <c r="E66" s="1081" t="s">
        <v>1383</v>
      </c>
      <c r="F66" s="318">
        <f t="shared" ca="1" si="0"/>
        <v>0.02</v>
      </c>
      <c r="O66" s="1603" t="s">
        <v>1009</v>
      </c>
      <c r="P66" s="1604" t="s">
        <v>1519</v>
      </c>
      <c r="Q66" s="1605">
        <f ca="1">L60</f>
        <v>0</v>
      </c>
      <c r="R66" s="1605" t="s">
        <v>1542</v>
      </c>
    </row>
    <row r="67" spans="1:18" s="1569" customFormat="1" ht="16.5" thickBot="1">
      <c r="A67" s="1088" t="s">
        <v>999</v>
      </c>
      <c r="B67" s="1098" t="s">
        <v>1424</v>
      </c>
      <c r="C67" s="322">
        <f ca="1">C48-C58</f>
        <v>-19</v>
      </c>
      <c r="D67" s="1094" t="s">
        <v>1425</v>
      </c>
      <c r="E67" s="1099"/>
      <c r="F67" s="1100"/>
      <c r="O67" s="1613" t="s">
        <v>1010</v>
      </c>
      <c r="P67" s="1604" t="s">
        <v>1523</v>
      </c>
      <c r="Q67" s="1651">
        <f ca="1">L51</f>
        <v>881</v>
      </c>
      <c r="R67" s="1605" t="s">
        <v>1543</v>
      </c>
    </row>
    <row r="68" spans="1:18" s="1569" customFormat="1" ht="16.5" thickBot="1">
      <c r="A68" s="1078" t="s">
        <v>1000</v>
      </c>
      <c r="B68" s="1079" t="s">
        <v>1446</v>
      </c>
      <c r="C68" s="307">
        <f ca="1">ROUND(C67*(1-((1+F70)/(1+F68))^F69)/(F68-F70),0)</f>
        <v>-272</v>
      </c>
      <c r="D68" s="1096" t="s">
        <v>1430</v>
      </c>
      <c r="E68" s="1081" t="s">
        <v>1431</v>
      </c>
      <c r="F68" s="318">
        <f ca="1">F40</f>
        <v>5.5E-2</v>
      </c>
      <c r="O68" s="1613" t="s">
        <v>1011</v>
      </c>
      <c r="P68" s="1652" t="s">
        <v>1544</v>
      </c>
      <c r="Q68" s="1605">
        <f ca="1">ROUND(Q69-Q70*Q71,0)</f>
        <v>52</v>
      </c>
      <c r="R68" s="1605" t="s">
        <v>1019</v>
      </c>
    </row>
    <row r="69" spans="1:18" s="1569" customFormat="1" ht="13.5" thickBot="1">
      <c r="A69" s="1082"/>
      <c r="B69" s="1083"/>
      <c r="C69" s="312"/>
      <c r="D69" s="1101" t="s">
        <v>1434</v>
      </c>
      <c r="E69" s="1081" t="s">
        <v>1435</v>
      </c>
      <c r="F69" s="339">
        <f ca="1">F41</f>
        <v>28.97</v>
      </c>
      <c r="O69" s="1613" t="s">
        <v>1016</v>
      </c>
      <c r="P69" s="1652" t="s">
        <v>1545</v>
      </c>
      <c r="Q69" s="1605">
        <f ca="1">C39</f>
        <v>64</v>
      </c>
      <c r="R69" s="1605" t="s">
        <v>1490</v>
      </c>
    </row>
    <row r="70" spans="1:18" s="1569" customFormat="1" ht="13.5" thickBot="1">
      <c r="A70" s="1085"/>
      <c r="B70" s="1086"/>
      <c r="C70" s="316"/>
      <c r="D70" s="1097"/>
      <c r="E70" s="1081" t="s">
        <v>1438</v>
      </c>
      <c r="F70" s="1184"/>
      <c r="O70" s="1613" t="s">
        <v>1017</v>
      </c>
      <c r="P70" s="1652" t="s">
        <v>1546</v>
      </c>
      <c r="Q70" s="1605">
        <f ca="1">C13</f>
        <v>144</v>
      </c>
      <c r="R70" s="1605" t="s">
        <v>1490</v>
      </c>
    </row>
    <row r="71" spans="1:18" s="1569" customFormat="1" ht="13.5" thickBot="1">
      <c r="A71" s="1102" t="s">
        <v>1001</v>
      </c>
      <c r="B71" s="1103" t="s">
        <v>1448</v>
      </c>
      <c r="C71" s="342">
        <f ca="1">ROUND(C68*10000/F71,0)</f>
        <v>-11314</v>
      </c>
      <c r="D71" s="1104" t="s">
        <v>1449</v>
      </c>
      <c r="E71" s="1105" t="s">
        <v>1450</v>
      </c>
      <c r="F71" s="345">
        <f ca="1">F43</f>
        <v>240.41</v>
      </c>
      <c r="O71" s="1613" t="s">
        <v>1018</v>
      </c>
      <c r="P71" s="1652" t="s">
        <v>1547</v>
      </c>
      <c r="Q71" s="1616">
        <f ca="1">C76</f>
        <v>8.5000000000000006E-2</v>
      </c>
      <c r="R71" s="1605"/>
    </row>
    <row r="72" spans="1:18" s="1569" customFormat="1" ht="13.5" thickBot="1">
      <c r="B72" s="735"/>
      <c r="C72" s="735"/>
      <c r="O72" s="1613" t="s">
        <v>1012</v>
      </c>
      <c r="P72" s="1604" t="s">
        <v>1525</v>
      </c>
      <c r="Q72" s="1616">
        <f>L52</f>
        <v>0</v>
      </c>
      <c r="R72" s="1605"/>
    </row>
    <row r="73" spans="1:18" ht="16.5" thickBot="1">
      <c r="A73" s="1569"/>
      <c r="B73" s="735"/>
      <c r="C73" s="735"/>
      <c r="D73" s="1569"/>
      <c r="E73" s="1569"/>
      <c r="F73" s="1569"/>
      <c r="O73" s="1613" t="s">
        <v>1013</v>
      </c>
      <c r="P73" s="1604" t="s">
        <v>1528</v>
      </c>
      <c r="Q73" s="1605" t="e">
        <f ca="1">L58</f>
        <v>#DIV/0!</v>
      </c>
      <c r="R73" s="1605" t="s">
        <v>1529</v>
      </c>
    </row>
    <row r="74" spans="1:18" ht="13.5" thickBot="1">
      <c r="A74" s="1569"/>
      <c r="B74" s="279" t="s">
        <v>1548</v>
      </c>
      <c r="C74" s="1654"/>
      <c r="D74" s="1569"/>
      <c r="E74" s="1569"/>
      <c r="F74" s="1569"/>
      <c r="O74" s="1613" t="s">
        <v>1020</v>
      </c>
      <c r="P74" s="1604" t="str">
        <f>K59</f>
        <v>建筑物剩余耐用年限下的土地年期修正系数Kn</v>
      </c>
      <c r="Q74" s="1605" t="e">
        <f ca="1">L59</f>
        <v>#DIV/0!</v>
      </c>
      <c r="R74" s="1605" t="s">
        <v>1530</v>
      </c>
    </row>
    <row r="75" spans="1:18" ht="13.5" thickBot="1">
      <c r="A75" s="1569"/>
      <c r="B75" s="346" t="s">
        <v>1467</v>
      </c>
      <c r="C75" s="347">
        <f ca="1">ROUND(C13*C76,0)</f>
        <v>12</v>
      </c>
      <c r="D75" s="1569"/>
      <c r="E75" s="1569"/>
      <c r="F75" s="1569"/>
      <c r="K75" s="1587"/>
      <c r="L75" s="1569"/>
      <c r="O75" s="1603" t="s">
        <v>1014</v>
      </c>
      <c r="P75" s="1604" t="s">
        <v>1510</v>
      </c>
      <c r="Q75" s="1605">
        <f ca="1">Q65+Q66</f>
        <v>1362</v>
      </c>
      <c r="R75" s="1605" t="s">
        <v>1015</v>
      </c>
    </row>
    <row r="76" spans="1:18">
      <c r="B76" s="348" t="s">
        <v>1468</v>
      </c>
      <c r="C76" s="349">
        <f ca="1">INDIRECT("'数据-取费表'!j"&amp;$G$1)</f>
        <v>8.5000000000000006E-2</v>
      </c>
      <c r="I76" s="1569"/>
      <c r="J76" s="1569"/>
      <c r="K76" s="1587"/>
      <c r="L76" s="1569"/>
    </row>
    <row r="77" spans="1:18">
      <c r="B77" s="350" t="s">
        <v>1469</v>
      </c>
      <c r="C77" s="351"/>
      <c r="I77" s="1569"/>
      <c r="J77" s="1569"/>
      <c r="K77" s="1587"/>
      <c r="L77" s="1569"/>
    </row>
    <row r="78" spans="1:18">
      <c r="B78" s="276" t="s">
        <v>1470</v>
      </c>
      <c r="C78" s="352"/>
    </row>
    <row r="79" spans="1:18">
      <c r="B79" s="346" t="s">
        <v>1471</v>
      </c>
      <c r="C79" s="280">
        <f ca="1">1-C80</f>
        <v>0.81200000000000006</v>
      </c>
    </row>
    <row r="80" spans="1:18">
      <c r="B80" s="346" t="s">
        <v>1472</v>
      </c>
      <c r="C80" s="280">
        <f ca="1">ROUND(C75/C39,3)</f>
        <v>0.188</v>
      </c>
    </row>
    <row r="81" spans="2:3">
      <c r="B81" s="276" t="s">
        <v>1473</v>
      </c>
      <c r="C81" s="244"/>
    </row>
    <row r="82" spans="2:3">
      <c r="B82" s="279" t="s">
        <v>1474</v>
      </c>
      <c r="C82" s="281">
        <f ca="1">1-C83</f>
        <v>0.89400000000000002</v>
      </c>
    </row>
    <row r="83" spans="2:3">
      <c r="B83" s="279" t="s">
        <v>1475</v>
      </c>
      <c r="C83" s="280">
        <f ca="1">ROUND(C13/C40,3)</f>
        <v>0.106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3" t="s">
        <v>1044</v>
      </c>
      <c r="B1" s="3314"/>
      <c r="C1" s="3315"/>
      <c r="D1" s="3316">
        <f>SUM(I10,I15,I20,I21,I23)</f>
        <v>0</v>
      </c>
      <c r="E1" s="3316"/>
      <c r="F1" s="3316"/>
      <c r="G1" s="3316"/>
      <c r="H1" s="3316"/>
      <c r="I1" s="3317"/>
    </row>
    <row r="2" spans="1:9">
      <c r="A2" s="3318" t="s">
        <v>1045</v>
      </c>
      <c r="B2" s="3319" t="s">
        <v>1046</v>
      </c>
      <c r="C2" s="3319"/>
      <c r="D2" s="1210" t="s">
        <v>1047</v>
      </c>
      <c r="E2" s="1210" t="s">
        <v>1048</v>
      </c>
      <c r="F2" s="1210" t="s">
        <v>1049</v>
      </c>
      <c r="G2" s="1210" t="s">
        <v>1050</v>
      </c>
      <c r="H2" s="1210" t="s">
        <v>1051</v>
      </c>
      <c r="I2" s="1211" t="s">
        <v>1052</v>
      </c>
    </row>
    <row r="3" spans="1:9">
      <c r="A3" s="3318"/>
      <c r="B3" s="3319" t="s">
        <v>1053</v>
      </c>
      <c r="C3" s="3319"/>
      <c r="D3" s="1212"/>
      <c r="E3" s="1210"/>
      <c r="F3" s="1213"/>
      <c r="G3" s="1213"/>
      <c r="H3" s="1214"/>
      <c r="I3" s="1215">
        <f>ROUND(D3*E3*F3*G3*H3/10000,0)</f>
        <v>0</v>
      </c>
    </row>
    <row r="4" spans="1:9">
      <c r="A4" s="3318"/>
      <c r="B4" s="3319" t="s">
        <v>1054</v>
      </c>
      <c r="C4" s="3319"/>
      <c r="D4" s="1212"/>
      <c r="E4" s="1210"/>
      <c r="F4" s="1213"/>
      <c r="G4" s="1213"/>
      <c r="H4" s="1214"/>
      <c r="I4" s="1215">
        <f t="shared" ref="I4:I9" si="0">ROUND(D4*E4*F4*G4*H4/10000,0)</f>
        <v>0</v>
      </c>
    </row>
    <row r="5" spans="1:9">
      <c r="A5" s="3318"/>
      <c r="B5" s="3319" t="s">
        <v>1055</v>
      </c>
      <c r="C5" s="3319"/>
      <c r="D5" s="1212"/>
      <c r="E5" s="1210"/>
      <c r="F5" s="1213"/>
      <c r="G5" s="1213"/>
      <c r="H5" s="1214"/>
      <c r="I5" s="1215">
        <f t="shared" si="0"/>
        <v>0</v>
      </c>
    </row>
    <row r="6" spans="1:9">
      <c r="A6" s="3318"/>
      <c r="B6" s="3319" t="s">
        <v>1056</v>
      </c>
      <c r="C6" s="3319"/>
      <c r="D6" s="1212"/>
      <c r="E6" s="1210"/>
      <c r="F6" s="1213"/>
      <c r="G6" s="1213"/>
      <c r="H6" s="1214"/>
      <c r="I6" s="1215">
        <f t="shared" si="0"/>
        <v>0</v>
      </c>
    </row>
    <row r="7" spans="1:9">
      <c r="A7" s="3318"/>
      <c r="B7" s="3319" t="s">
        <v>1057</v>
      </c>
      <c r="C7" s="3319"/>
      <c r="D7" s="1212"/>
      <c r="E7" s="1210"/>
      <c r="F7" s="1213"/>
      <c r="G7" s="1213"/>
      <c r="H7" s="1214"/>
      <c r="I7" s="1215">
        <f t="shared" si="0"/>
        <v>0</v>
      </c>
    </row>
    <row r="8" spans="1:9">
      <c r="A8" s="3318"/>
      <c r="B8" s="3319" t="s">
        <v>1058</v>
      </c>
      <c r="C8" s="3319"/>
      <c r="D8" s="1212"/>
      <c r="E8" s="1210"/>
      <c r="F8" s="1213"/>
      <c r="G8" s="1213"/>
      <c r="H8" s="1214"/>
      <c r="I8" s="1215">
        <f t="shared" si="0"/>
        <v>0</v>
      </c>
    </row>
    <row r="9" spans="1:9">
      <c r="A9" s="3318"/>
      <c r="B9" s="3319" t="s">
        <v>1059</v>
      </c>
      <c r="C9" s="3319"/>
      <c r="D9" s="1212"/>
      <c r="E9" s="1210"/>
      <c r="F9" s="1213"/>
      <c r="G9" s="1213"/>
      <c r="H9" s="1214"/>
      <c r="I9" s="1215">
        <f t="shared" si="0"/>
        <v>0</v>
      </c>
    </row>
    <row r="10" spans="1:9">
      <c r="A10" s="3318"/>
      <c r="B10" s="3320" t="s">
        <v>1060</v>
      </c>
      <c r="C10" s="3320"/>
      <c r="D10" s="1216"/>
      <c r="E10" s="1216" t="e">
        <f>ROUND(D1*10000/D10/H9,0)</f>
        <v>#DIV/0!</v>
      </c>
      <c r="F10" s="1217"/>
      <c r="G10" s="1217"/>
      <c r="H10" s="1218"/>
      <c r="I10" s="1219">
        <f>SUM(I3:I9)</f>
        <v>0</v>
      </c>
    </row>
    <row r="11" spans="1:9" ht="14.25">
      <c r="A11" s="3318" t="s">
        <v>1061</v>
      </c>
      <c r="B11" s="3319" t="s">
        <v>1062</v>
      </c>
      <c r="C11" s="3319"/>
      <c r="D11" s="1212" t="s">
        <v>1063</v>
      </c>
      <c r="E11" s="1212" t="s">
        <v>1064</v>
      </c>
      <c r="F11" s="1213" t="s">
        <v>1065</v>
      </c>
      <c r="G11" s="1213" t="s">
        <v>1051</v>
      </c>
      <c r="H11" s="1220" t="s">
        <v>1066</v>
      </c>
      <c r="I11" s="1211" t="s">
        <v>1052</v>
      </c>
    </row>
    <row r="12" spans="1:9">
      <c r="A12" s="3318"/>
      <c r="B12" s="3319" t="s">
        <v>1067</v>
      </c>
      <c r="C12" s="3319"/>
      <c r="D12" s="1212"/>
      <c r="E12" s="1212"/>
      <c r="F12" s="1213"/>
      <c r="G12" s="1214"/>
      <c r="H12" s="1221"/>
      <c r="I12" s="1211">
        <f>ROUND(D12*E12*F12*G12/10000,0)</f>
        <v>0</v>
      </c>
    </row>
    <row r="13" spans="1:9">
      <c r="A13" s="3318"/>
      <c r="B13" s="3319" t="s">
        <v>1068</v>
      </c>
      <c r="C13" s="3319"/>
      <c r="D13" s="1212"/>
      <c r="E13" s="1212"/>
      <c r="F13" s="1213"/>
      <c r="G13" s="1214"/>
      <c r="H13" s="1221"/>
      <c r="I13" s="1211">
        <f>ROUND(D13*E13*F13*G13/10000,0)</f>
        <v>0</v>
      </c>
    </row>
    <row r="14" spans="1:9">
      <c r="A14" s="3318"/>
      <c r="B14" s="3319" t="s">
        <v>1069</v>
      </c>
      <c r="C14" s="3319"/>
      <c r="D14" s="1212"/>
      <c r="E14" s="1212"/>
      <c r="F14" s="1213"/>
      <c r="G14" s="1214"/>
      <c r="H14" s="1221"/>
      <c r="I14" s="1211">
        <f>ROUND(D14*E14*F14*G14/10000,0)</f>
        <v>0</v>
      </c>
    </row>
    <row r="15" spans="1:9">
      <c r="A15" s="3318"/>
      <c r="B15" s="3320" t="s">
        <v>1060</v>
      </c>
      <c r="C15" s="3320"/>
      <c r="D15" s="1216"/>
      <c r="E15" s="1216">
        <f>SUM(E12:E14)</f>
        <v>0</v>
      </c>
      <c r="F15" s="1217"/>
      <c r="G15" s="1214"/>
      <c r="H15" s="1221"/>
      <c r="I15" s="1222">
        <f>SUM(I12:I14)</f>
        <v>0</v>
      </c>
    </row>
    <row r="16" spans="1:9" ht="24">
      <c r="A16" s="3318" t="s">
        <v>1070</v>
      </c>
      <c r="B16" s="3319" t="s">
        <v>1071</v>
      </c>
      <c r="C16" s="3319"/>
      <c r="D16" s="1212" t="s">
        <v>1047</v>
      </c>
      <c r="E16" s="1223" t="s">
        <v>1072</v>
      </c>
      <c r="F16" s="1213" t="s">
        <v>1073</v>
      </c>
      <c r="G16" s="1214" t="s">
        <v>1051</v>
      </c>
      <c r="H16" s="1220" t="s">
        <v>1066</v>
      </c>
      <c r="I16" s="1211" t="s">
        <v>1052</v>
      </c>
    </row>
    <row r="17" spans="1:9" ht="14.25">
      <c r="A17" s="3318"/>
      <c r="B17" s="3319" t="s">
        <v>1074</v>
      </c>
      <c r="C17" s="3319"/>
      <c r="D17" s="1212"/>
      <c r="E17" s="1212"/>
      <c r="F17" s="1213"/>
      <c r="G17" s="1214"/>
      <c r="H17" s="1224"/>
      <c r="I17" s="1225">
        <f>ROUND(D17*E17*F17*G17/10000,0)</f>
        <v>0</v>
      </c>
    </row>
    <row r="18" spans="1:9" ht="14.25">
      <c r="A18" s="3318"/>
      <c r="B18" s="3319" t="s">
        <v>1075</v>
      </c>
      <c r="C18" s="3319"/>
      <c r="D18" s="1212"/>
      <c r="E18" s="1212"/>
      <c r="F18" s="1213"/>
      <c r="G18" s="1214"/>
      <c r="H18" s="1224"/>
      <c r="I18" s="1225">
        <f>ROUND(D18*E18*F18*G18/10000,0)</f>
        <v>0</v>
      </c>
    </row>
    <row r="19" spans="1:9" ht="14.25">
      <c r="A19" s="3318"/>
      <c r="B19" s="3319" t="s">
        <v>1076</v>
      </c>
      <c r="C19" s="3319"/>
      <c r="D19" s="1212"/>
      <c r="E19" s="1212"/>
      <c r="F19" s="1213"/>
      <c r="G19" s="1214"/>
      <c r="H19" s="1224"/>
      <c r="I19" s="1225">
        <f>ROUND(D19*E19*F19*G19/10000,0)</f>
        <v>0</v>
      </c>
    </row>
    <row r="20" spans="1:9">
      <c r="A20" s="3318"/>
      <c r="B20" s="3320" t="s">
        <v>1060</v>
      </c>
      <c r="C20" s="3320"/>
      <c r="D20" s="1216">
        <f>SUM(D17:D19)</f>
        <v>0</v>
      </c>
      <c r="E20" s="1216"/>
      <c r="F20" s="1217"/>
      <c r="G20" s="1214"/>
      <c r="H20" s="1221"/>
      <c r="I20" s="1222">
        <f>SUM(I17:I19)</f>
        <v>0</v>
      </c>
    </row>
    <row r="21" spans="1:9">
      <c r="A21" s="3318" t="s">
        <v>1077</v>
      </c>
      <c r="B21" s="3322"/>
      <c r="C21" s="3322"/>
      <c r="D21" s="3322"/>
      <c r="E21" s="3322"/>
      <c r="F21" s="3322"/>
      <c r="G21" s="3322"/>
      <c r="H21" s="1503">
        <v>0.1</v>
      </c>
      <c r="I21" s="1219">
        <f>ROUND(I10*H21,0)</f>
        <v>0</v>
      </c>
    </row>
    <row r="22" spans="1:9" ht="14.25">
      <c r="A22" s="3323" t="s">
        <v>1078</v>
      </c>
      <c r="B22" s="3324"/>
      <c r="C22" s="3325"/>
      <c r="D22" s="1226" t="s">
        <v>1079</v>
      </c>
      <c r="E22" s="1226" t="s">
        <v>1080</v>
      </c>
      <c r="F22" s="1227" t="s">
        <v>1081</v>
      </c>
      <c r="G22" s="1227" t="s">
        <v>1082</v>
      </c>
      <c r="H22" s="1220" t="s">
        <v>1083</v>
      </c>
      <c r="I22" s="1211" t="s">
        <v>1084</v>
      </c>
    </row>
    <row r="23" spans="1:9" ht="14.25" thickBot="1">
      <c r="A23" s="3326"/>
      <c r="B23" s="3327"/>
      <c r="C23" s="3328"/>
      <c r="D23" s="1228"/>
      <c r="E23" s="1228"/>
      <c r="F23" s="1228"/>
      <c r="G23" s="1229"/>
      <c r="H23" s="1230"/>
      <c r="I23" s="1231">
        <f>ROUND(E23*D23*F23*(1-G23)/10000,0)</f>
        <v>0</v>
      </c>
    </row>
    <row r="26" spans="1:9">
      <c r="A26" s="1232" t="s">
        <v>1085</v>
      </c>
      <c r="B26" s="1232"/>
      <c r="C26" s="1232"/>
      <c r="D26" s="1232"/>
      <c r="E26" s="3329">
        <f>C27-C30-C31-C32</f>
        <v>0</v>
      </c>
      <c r="F26" s="3329"/>
      <c r="G26" s="3329"/>
      <c r="H26" s="1500" t="s">
        <v>1306</v>
      </c>
    </row>
    <row r="27" spans="1:9">
      <c r="A27" s="1233">
        <v>1</v>
      </c>
      <c r="B27" s="1234" t="s">
        <v>1086</v>
      </c>
      <c r="C27" s="1234">
        <f>C28+C29</f>
        <v>0</v>
      </c>
      <c r="D27" s="1234"/>
      <c r="E27" s="3330"/>
      <c r="F27" s="3330"/>
      <c r="G27" s="3330"/>
    </row>
    <row r="28" spans="1:9">
      <c r="A28" s="1235" t="s">
        <v>1087</v>
      </c>
      <c r="B28" s="1234" t="s">
        <v>1088</v>
      </c>
      <c r="C28" s="1234"/>
      <c r="D28" s="1234"/>
      <c r="E28" s="3330"/>
      <c r="F28" s="3330"/>
      <c r="G28" s="333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1"/>
      <c r="F32" s="3321"/>
      <c r="G32" s="3321"/>
    </row>
    <row r="33" spans="1:7" hidden="1">
      <c r="A33" s="3331" t="s">
        <v>1097</v>
      </c>
      <c r="B33" s="3332"/>
      <c r="C33" s="3332"/>
      <c r="D33" s="3333"/>
      <c r="E33" s="3329"/>
      <c r="F33" s="3329"/>
      <c r="G33" s="3329"/>
    </row>
    <row r="34" spans="1:7" hidden="1">
      <c r="A34" s="1237">
        <v>1</v>
      </c>
      <c r="B34" s="1234" t="s">
        <v>1098</v>
      </c>
      <c r="C34" s="1234"/>
      <c r="D34" s="1234"/>
      <c r="E34" s="3330"/>
      <c r="F34" s="3330"/>
      <c r="G34" s="3330"/>
    </row>
    <row r="35" spans="1:7" hidden="1">
      <c r="A35" s="1237">
        <v>2</v>
      </c>
      <c r="B35" s="1234" t="s">
        <v>1099</v>
      </c>
      <c r="C35" s="1234"/>
      <c r="D35" s="1234"/>
      <c r="E35" s="3330"/>
      <c r="F35" s="3330"/>
      <c r="G35" s="3330"/>
    </row>
    <row r="36" spans="1:7" hidden="1">
      <c r="A36" s="1237">
        <v>3</v>
      </c>
      <c r="B36" s="1234" t="s">
        <v>1100</v>
      </c>
      <c r="C36" s="1234"/>
      <c r="D36" s="1234"/>
      <c r="E36" s="3330"/>
      <c r="F36" s="3330"/>
      <c r="G36" s="3330"/>
    </row>
    <row r="37" spans="1:7" hidden="1">
      <c r="A37" s="1237">
        <v>4</v>
      </c>
      <c r="B37" s="1234" t="s">
        <v>1101</v>
      </c>
      <c r="C37" s="1234"/>
      <c r="D37" s="1234"/>
      <c r="E37" s="3330"/>
      <c r="F37" s="3330"/>
      <c r="G37" s="3330"/>
    </row>
    <row r="38" spans="1:7" hidden="1">
      <c r="A38" s="3331" t="s">
        <v>1102</v>
      </c>
      <c r="B38" s="3332"/>
      <c r="C38" s="3332"/>
      <c r="D38" s="3333"/>
      <c r="E38" s="3329"/>
      <c r="F38" s="3329"/>
      <c r="G38" s="33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5" t="s">
        <v>2347</v>
      </c>
      <c r="C1" s="1405" t="s">
        <v>2348</v>
      </c>
      <c r="D1" s="1392"/>
      <c r="E1" s="2545"/>
      <c r="F1" s="2066" t="s">
        <v>2349</v>
      </c>
      <c r="G1" s="1402" t="s">
        <v>2350</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1355</v>
      </c>
      <c r="B2" s="1325" t="e">
        <f ca="1">IF(C2="——",ROUND(C49*D3/10000,0),ROUND(C49*D3/10000,0)-D2)</f>
        <v>#DIV/0!</v>
      </c>
      <c r="C2" s="2068"/>
      <c r="D2" s="1274" t="e">
        <f ca="1">SUMIF(INDIRECT("'"&amp;F2&amp;"'"&amp;"!A:A"),"承租人权益价值",INDIRECT("'"&amp;F2&amp;"'"&amp;"!c:c"))</f>
        <v>#REF!</v>
      </c>
      <c r="E2" s="2069" t="s">
        <v>2351</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1356</v>
      </c>
      <c r="B3" s="359" t="e">
        <f ca="1">IF(C2="——",C49,ROUND(B2*10000/D3,0))</f>
        <v>#DIV/0!</v>
      </c>
      <c r="C3" s="360" t="s">
        <v>2352</v>
      </c>
      <c r="D3" s="359">
        <f>IF(D1="",'数据-汇总表'!E3,SUMIF('数据-汇总表'!$C19:$C33,D1,'数据-汇总表'!$E19:$E33))</f>
        <v>240.41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1"/>
    </row>
    <row r="4" spans="1:29" ht="15">
      <c r="A4" s="361" t="s">
        <v>2353</v>
      </c>
      <c r="B4" s="362"/>
      <c r="C4" s="3352" t="s">
        <v>2354</v>
      </c>
      <c r="D4" s="3353"/>
      <c r="E4" s="3354" t="s">
        <v>2355</v>
      </c>
      <c r="F4" s="3355"/>
      <c r="G4" s="3352" t="s">
        <v>2356</v>
      </c>
      <c r="H4" s="3353"/>
      <c r="I4" s="3352" t="s">
        <v>2357</v>
      </c>
      <c r="J4" s="3353"/>
      <c r="K4" s="2076" t="s">
        <v>2358</v>
      </c>
      <c r="L4" s="2945"/>
      <c r="M4" s="2946"/>
      <c r="N4" s="2946"/>
      <c r="O4" s="2946"/>
      <c r="P4" s="3356" t="s">
        <v>2359</v>
      </c>
      <c r="Q4" s="3357"/>
      <c r="R4" s="3339" t="s">
        <v>2355</v>
      </c>
      <c r="S4" s="3340"/>
      <c r="T4" s="3339" t="s">
        <v>2356</v>
      </c>
      <c r="U4" s="3340"/>
      <c r="V4" s="3364" t="s">
        <v>2357</v>
      </c>
      <c r="W4" s="3364"/>
      <c r="X4" s="1540"/>
      <c r="Y4" s="3339" t="s">
        <v>2359</v>
      </c>
      <c r="Z4" s="3340"/>
      <c r="AA4" s="3334" t="s">
        <v>2355</v>
      </c>
      <c r="AB4" s="3334" t="s">
        <v>2356</v>
      </c>
      <c r="AC4" s="3334" t="s">
        <v>2357</v>
      </c>
    </row>
    <row r="5" spans="1:29" ht="15">
      <c r="A5" s="364"/>
      <c r="B5" s="365"/>
      <c r="C5" s="3345" t="s">
        <v>2360</v>
      </c>
      <c r="D5" s="3346"/>
      <c r="E5" s="3343" t="s">
        <v>2361</v>
      </c>
      <c r="F5" s="3344"/>
      <c r="G5" s="3345" t="s">
        <v>2362</v>
      </c>
      <c r="H5" s="3346"/>
      <c r="I5" s="3345" t="s">
        <v>2363</v>
      </c>
      <c r="J5" s="3346"/>
      <c r="K5" s="2077"/>
      <c r="L5" s="2945"/>
      <c r="M5" s="2946"/>
      <c r="N5" s="2946"/>
      <c r="O5" s="2946"/>
      <c r="P5" s="3358"/>
      <c r="Q5" s="3359"/>
      <c r="R5" s="3341"/>
      <c r="S5" s="3342"/>
      <c r="T5" s="3341"/>
      <c r="U5" s="3342"/>
      <c r="V5" s="3364"/>
      <c r="W5" s="3364"/>
      <c r="X5" s="1540"/>
      <c r="Y5" s="3341"/>
      <c r="Z5" s="3342"/>
      <c r="AA5" s="3335"/>
      <c r="AB5" s="3335"/>
      <c r="AC5" s="3335"/>
    </row>
    <row r="6" spans="1:29" ht="15.75" thickBot="1">
      <c r="A6" s="366"/>
      <c r="B6" s="367"/>
      <c r="C6" s="3347" t="s">
        <v>2364</v>
      </c>
      <c r="D6" s="3348"/>
      <c r="E6" s="3349" t="s">
        <v>2364</v>
      </c>
      <c r="F6" s="3350"/>
      <c r="G6" s="3347" t="s">
        <v>2364</v>
      </c>
      <c r="H6" s="3348"/>
      <c r="I6" s="3347" t="s">
        <v>2364</v>
      </c>
      <c r="J6" s="3348"/>
      <c r="K6" s="2077" t="s">
        <v>2365</v>
      </c>
      <c r="L6" s="2945"/>
      <c r="M6" s="2946"/>
      <c r="N6" s="2946"/>
      <c r="O6" s="2946"/>
      <c r="P6" s="3360"/>
      <c r="Q6" s="3361"/>
      <c r="R6" s="3341"/>
      <c r="S6" s="3342"/>
      <c r="T6" s="3362"/>
      <c r="U6" s="3363"/>
      <c r="V6" s="3364"/>
      <c r="W6" s="3364"/>
      <c r="X6" s="1540"/>
      <c r="Y6" s="3362"/>
      <c r="Z6" s="3363"/>
      <c r="AA6" s="3336"/>
      <c r="AB6" s="3336"/>
      <c r="AC6" s="3336"/>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37" t="s">
        <v>2367</v>
      </c>
      <c r="Q7" s="3365"/>
      <c r="R7" s="710" t="s">
        <v>23</v>
      </c>
      <c r="S7" s="711">
        <f t="shared" ref="S7:S15" si="0">F7</f>
        <v>0</v>
      </c>
      <c r="T7" s="710" t="s">
        <v>23</v>
      </c>
      <c r="U7" s="711">
        <f t="shared" ref="U7:U15" si="1">H7</f>
        <v>0</v>
      </c>
      <c r="V7" s="710" t="s">
        <v>23</v>
      </c>
      <c r="W7" s="711">
        <f t="shared" ref="W7:W15" si="2">J7</f>
        <v>0</v>
      </c>
      <c r="X7" s="712"/>
      <c r="Y7" s="3337" t="s">
        <v>2367</v>
      </c>
      <c r="Z7" s="3338"/>
      <c r="AA7" s="713" t="e">
        <f>D7/F7</f>
        <v>#DIV/0!</v>
      </c>
      <c r="AB7" s="713" t="e">
        <f>D7/H7</f>
        <v>#DIV/0!</v>
      </c>
      <c r="AC7" s="713" t="e">
        <f>D7/J7</f>
        <v>#DIV/0!</v>
      </c>
    </row>
    <row r="8" spans="1:29" s="113" customFormat="1" ht="15.75" thickBot="1">
      <c r="A8" s="368" t="s">
        <v>2368</v>
      </c>
      <c r="B8" s="369"/>
      <c r="C8" s="374" t="s">
        <v>2369</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37" t="s">
        <v>2370</v>
      </c>
      <c r="Q8" s="3338"/>
      <c r="R8" s="710" t="s">
        <v>23</v>
      </c>
      <c r="S8" s="711">
        <f t="shared" si="0"/>
        <v>0</v>
      </c>
      <c r="T8" s="710" t="s">
        <v>23</v>
      </c>
      <c r="U8" s="711">
        <f t="shared" si="1"/>
        <v>0</v>
      </c>
      <c r="V8" s="710" t="s">
        <v>23</v>
      </c>
      <c r="W8" s="711">
        <f t="shared" si="2"/>
        <v>0</v>
      </c>
      <c r="X8" s="712"/>
      <c r="Y8" s="3337" t="s">
        <v>2370</v>
      </c>
      <c r="Z8" s="3338"/>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51"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51"/>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51"/>
      <c r="Q11" s="1528"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51"/>
      <c r="Q12" s="1528">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51"/>
      <c r="Q13" s="1528">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51"/>
      <c r="Q14" s="1528">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2377</v>
      </c>
      <c r="B15" s="65" t="s">
        <v>1940</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78" t="s">
        <v>2378</v>
      </c>
      <c r="Q15" s="1537" t="str">
        <f t="shared" si="6"/>
        <v>居住社区成熟度</v>
      </c>
      <c r="R15" s="714" t="s">
        <v>21</v>
      </c>
      <c r="S15" s="715">
        <f t="shared" si="0"/>
        <v>100</v>
      </c>
      <c r="T15" s="714" t="s">
        <v>21</v>
      </c>
      <c r="U15" s="715">
        <f t="shared" si="1"/>
        <v>100</v>
      </c>
      <c r="V15" s="714" t="s">
        <v>21</v>
      </c>
      <c r="W15" s="715">
        <f t="shared" si="2"/>
        <v>100</v>
      </c>
      <c r="X15" s="1540"/>
      <c r="Y15" s="3371" t="s">
        <v>2378</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79"/>
      <c r="Q16" s="1537"/>
      <c r="R16" s="714"/>
      <c r="S16" s="715"/>
      <c r="T16" s="714"/>
      <c r="U16" s="715"/>
      <c r="V16" s="714"/>
      <c r="W16" s="715"/>
      <c r="X16" s="1540"/>
      <c r="Y16" s="3372"/>
      <c r="Z16" s="1541"/>
      <c r="AA16" s="1538">
        <v>1</v>
      </c>
      <c r="AB16" s="1538">
        <v>1</v>
      </c>
      <c r="AC16" s="1538">
        <v>1</v>
      </c>
    </row>
    <row r="17" spans="1:29" ht="85.5">
      <c r="A17" s="387"/>
      <c r="B17" s="410" t="s">
        <v>1942</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79"/>
      <c r="Q17" s="1537" t="str">
        <f>B17</f>
        <v>交通便捷度</v>
      </c>
      <c r="R17" s="714" t="s">
        <v>21</v>
      </c>
      <c r="S17" s="715">
        <f>F17</f>
        <v>100</v>
      </c>
      <c r="T17" s="714" t="s">
        <v>21</v>
      </c>
      <c r="U17" s="715">
        <f>H17</f>
        <v>100</v>
      </c>
      <c r="V17" s="714" t="s">
        <v>21</v>
      </c>
      <c r="W17" s="715">
        <f>J17</f>
        <v>100</v>
      </c>
      <c r="X17" s="1540"/>
      <c r="Y17" s="3372"/>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79"/>
      <c r="Q18" s="1537"/>
      <c r="R18" s="714"/>
      <c r="S18" s="715"/>
      <c r="T18" s="714"/>
      <c r="U18" s="715"/>
      <c r="V18" s="714"/>
      <c r="W18" s="715"/>
      <c r="X18" s="1540"/>
      <c r="Y18" s="3372"/>
      <c r="Z18" s="1541"/>
      <c r="AA18" s="1538">
        <v>1</v>
      </c>
      <c r="AB18" s="1538">
        <v>1</v>
      </c>
      <c r="AC18" s="1538">
        <v>1</v>
      </c>
    </row>
    <row r="19" spans="1:29" ht="42.75">
      <c r="A19" s="387"/>
      <c r="B19" s="410" t="s">
        <v>1941</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79"/>
      <c r="Q19" s="1537" t="str">
        <f>B19</f>
        <v>公共配套设施</v>
      </c>
      <c r="R19" s="714" t="s">
        <v>21</v>
      </c>
      <c r="S19" s="715">
        <f>F19</f>
        <v>100</v>
      </c>
      <c r="T19" s="714" t="s">
        <v>21</v>
      </c>
      <c r="U19" s="715">
        <f>H19</f>
        <v>100</v>
      </c>
      <c r="V19" s="714" t="s">
        <v>21</v>
      </c>
      <c r="W19" s="715">
        <f>J19</f>
        <v>100</v>
      </c>
      <c r="X19" s="1540"/>
      <c r="Y19" s="3372"/>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79"/>
      <c r="Q20" s="1537"/>
      <c r="R20" s="714"/>
      <c r="S20" s="715"/>
      <c r="T20" s="714"/>
      <c r="U20" s="715"/>
      <c r="V20" s="714"/>
      <c r="W20" s="715"/>
      <c r="X20" s="1540"/>
      <c r="Y20" s="3372"/>
      <c r="Z20" s="1541"/>
      <c r="AA20" s="1538">
        <v>1</v>
      </c>
      <c r="AB20" s="1538">
        <v>1</v>
      </c>
      <c r="AC20" s="1538">
        <v>1</v>
      </c>
    </row>
    <row r="21" spans="1:29" ht="28.5">
      <c r="A21" s="387"/>
      <c r="B21" s="1292" t="s">
        <v>1943</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79"/>
      <c r="Q21" s="1537" t="str">
        <f>B21</f>
        <v>基础设施水平</v>
      </c>
      <c r="R21" s="714" t="s">
        <v>17</v>
      </c>
      <c r="S21" s="715">
        <f>F21</f>
        <v>100</v>
      </c>
      <c r="T21" s="714" t="s">
        <v>17</v>
      </c>
      <c r="U21" s="715">
        <f>H21</f>
        <v>100</v>
      </c>
      <c r="V21" s="714" t="s">
        <v>17</v>
      </c>
      <c r="W21" s="715">
        <f>J21</f>
        <v>100</v>
      </c>
      <c r="X21" s="1540"/>
      <c r="Y21" s="3372"/>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379"/>
      <c r="Q22" s="1537"/>
      <c r="R22" s="714"/>
      <c r="S22" s="715"/>
      <c r="T22" s="714"/>
      <c r="U22" s="715"/>
      <c r="V22" s="714"/>
      <c r="W22" s="715"/>
      <c r="X22" s="1540"/>
      <c r="Y22" s="3372"/>
      <c r="Z22" s="1541"/>
      <c r="AA22" s="1538">
        <v>1</v>
      </c>
      <c r="AB22" s="1538">
        <v>1</v>
      </c>
      <c r="AC22" s="1538">
        <v>1</v>
      </c>
    </row>
    <row r="23" spans="1:29" ht="57">
      <c r="A23" s="387"/>
      <c r="B23" s="410" t="s">
        <v>1944</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79"/>
      <c r="Q23" s="1537" t="str">
        <f>B23</f>
        <v>自然及人文环境</v>
      </c>
      <c r="R23" s="714" t="s">
        <v>21</v>
      </c>
      <c r="S23" s="715">
        <f>F23</f>
        <v>100</v>
      </c>
      <c r="T23" s="714" t="s">
        <v>21</v>
      </c>
      <c r="U23" s="715">
        <f>H23</f>
        <v>100</v>
      </c>
      <c r="V23" s="714" t="s">
        <v>21</v>
      </c>
      <c r="W23" s="715">
        <f>J23</f>
        <v>100</v>
      </c>
      <c r="X23" s="1540"/>
      <c r="Y23" s="3372"/>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79"/>
      <c r="Q24" s="1537"/>
      <c r="R24" s="714"/>
      <c r="S24" s="715"/>
      <c r="T24" s="714"/>
      <c r="U24" s="715"/>
      <c r="V24" s="714"/>
      <c r="W24" s="715"/>
      <c r="X24" s="1540"/>
      <c r="Y24" s="3372"/>
      <c r="Z24" s="1541"/>
      <c r="AA24" s="1538">
        <v>1</v>
      </c>
      <c r="AB24" s="1538">
        <v>1</v>
      </c>
      <c r="AC24" s="1538">
        <v>1</v>
      </c>
    </row>
    <row r="25" spans="1:29" ht="15">
      <c r="A25" s="387"/>
      <c r="B25" s="381" t="s">
        <v>2379</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7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72"/>
      <c r="Z25" s="1541" t="str">
        <f>Q25</f>
        <v>楼层-1</v>
      </c>
      <c r="AA25" s="1538">
        <f t="shared" ref="AA25:AA46" si="15">D25/F25</f>
        <v>1</v>
      </c>
      <c r="AB25" s="1538">
        <f t="shared" ref="AB25:AB46" si="16">D25/H25</f>
        <v>1</v>
      </c>
      <c r="AC25" s="1538">
        <f t="shared" ref="AC25:AC46" si="17">D25/J25</f>
        <v>1</v>
      </c>
    </row>
    <row r="26" spans="1:29" ht="15">
      <c r="A26" s="387"/>
      <c r="B26" s="381" t="s">
        <v>2380</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79"/>
      <c r="Q26" s="1537" t="str">
        <f t="shared" si="11"/>
        <v>朝向</v>
      </c>
      <c r="R26" s="714" t="s">
        <v>21</v>
      </c>
      <c r="S26" s="715">
        <f t="shared" si="12"/>
        <v>100</v>
      </c>
      <c r="T26" s="714" t="s">
        <v>21</v>
      </c>
      <c r="U26" s="715">
        <f t="shared" si="13"/>
        <v>100</v>
      </c>
      <c r="V26" s="714" t="s">
        <v>21</v>
      </c>
      <c r="W26" s="715">
        <f t="shared" si="14"/>
        <v>100</v>
      </c>
      <c r="X26" s="1540"/>
      <c r="Y26" s="3372"/>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79"/>
      <c r="Q27" s="1528">
        <f t="shared" si="11"/>
        <v>111</v>
      </c>
      <c r="R27" s="710" t="s">
        <v>21</v>
      </c>
      <c r="S27" s="711">
        <f t="shared" si="12"/>
        <v>100</v>
      </c>
      <c r="T27" s="710" t="s">
        <v>21</v>
      </c>
      <c r="U27" s="711">
        <f t="shared" si="13"/>
        <v>100</v>
      </c>
      <c r="V27" s="710" t="s">
        <v>21</v>
      </c>
      <c r="W27" s="711">
        <f t="shared" si="14"/>
        <v>100</v>
      </c>
      <c r="X27" s="712"/>
      <c r="Y27" s="3372"/>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79"/>
      <c r="Q28" s="1537">
        <f t="shared" si="11"/>
        <v>111</v>
      </c>
      <c r="R28" s="714" t="s">
        <v>21</v>
      </c>
      <c r="S28" s="715">
        <f t="shared" si="12"/>
        <v>100</v>
      </c>
      <c r="T28" s="714" t="s">
        <v>21</v>
      </c>
      <c r="U28" s="715">
        <f t="shared" si="13"/>
        <v>100</v>
      </c>
      <c r="V28" s="714" t="s">
        <v>21</v>
      </c>
      <c r="W28" s="715">
        <f t="shared" si="14"/>
        <v>100</v>
      </c>
      <c r="X28" s="1540"/>
      <c r="Y28" s="3372"/>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79"/>
      <c r="Q29" s="1537">
        <f t="shared" si="11"/>
        <v>111</v>
      </c>
      <c r="R29" s="714" t="s">
        <v>21</v>
      </c>
      <c r="S29" s="715">
        <f t="shared" si="12"/>
        <v>100</v>
      </c>
      <c r="T29" s="714" t="s">
        <v>21</v>
      </c>
      <c r="U29" s="715">
        <f t="shared" si="13"/>
        <v>100</v>
      </c>
      <c r="V29" s="714" t="s">
        <v>21</v>
      </c>
      <c r="W29" s="715">
        <f t="shared" si="14"/>
        <v>100</v>
      </c>
      <c r="X29" s="1540"/>
      <c r="Y29" s="3372"/>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79"/>
      <c r="Q30" s="1537">
        <f t="shared" si="11"/>
        <v>111</v>
      </c>
      <c r="R30" s="714" t="s">
        <v>21</v>
      </c>
      <c r="S30" s="715">
        <f t="shared" si="12"/>
        <v>100</v>
      </c>
      <c r="T30" s="714" t="s">
        <v>21</v>
      </c>
      <c r="U30" s="715">
        <f t="shared" si="13"/>
        <v>100</v>
      </c>
      <c r="V30" s="714" t="s">
        <v>21</v>
      </c>
      <c r="W30" s="715">
        <f t="shared" si="14"/>
        <v>100</v>
      </c>
      <c r="X30" s="1540"/>
      <c r="Y30" s="3372"/>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79"/>
      <c r="Q31" s="1537">
        <f t="shared" si="11"/>
        <v>111</v>
      </c>
      <c r="R31" s="714" t="s">
        <v>21</v>
      </c>
      <c r="S31" s="715">
        <f t="shared" si="12"/>
        <v>100</v>
      </c>
      <c r="T31" s="714" t="s">
        <v>21</v>
      </c>
      <c r="U31" s="715">
        <f t="shared" si="13"/>
        <v>100</v>
      </c>
      <c r="V31" s="714" t="s">
        <v>21</v>
      </c>
      <c r="W31" s="715">
        <f t="shared" si="14"/>
        <v>100</v>
      </c>
      <c r="X31" s="1540"/>
      <c r="Y31" s="3372"/>
      <c r="Z31" s="1541">
        <f t="shared" si="18"/>
        <v>111</v>
      </c>
      <c r="AA31" s="1538">
        <f t="shared" si="15"/>
        <v>1</v>
      </c>
      <c r="AB31" s="1538">
        <f t="shared" si="16"/>
        <v>1</v>
      </c>
      <c r="AC31" s="1538">
        <f t="shared" si="17"/>
        <v>1</v>
      </c>
    </row>
    <row r="32" spans="1:29" ht="15">
      <c r="A32" s="399" t="s">
        <v>2381</v>
      </c>
      <c r="B32" s="67" t="s">
        <v>2382</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73" t="s">
        <v>2383</v>
      </c>
      <c r="Q32" s="1537" t="str">
        <f t="shared" si="11"/>
        <v>建筑类型</v>
      </c>
      <c r="R32" s="714" t="s">
        <v>21</v>
      </c>
      <c r="S32" s="715">
        <f t="shared" si="12"/>
        <v>100</v>
      </c>
      <c r="T32" s="714" t="s">
        <v>21</v>
      </c>
      <c r="U32" s="715">
        <f t="shared" si="13"/>
        <v>100</v>
      </c>
      <c r="V32" s="714" t="s">
        <v>21</v>
      </c>
      <c r="W32" s="715">
        <f t="shared" si="14"/>
        <v>100</v>
      </c>
      <c r="X32" s="1540"/>
      <c r="Y32" s="3376" t="s">
        <v>2383</v>
      </c>
      <c r="Z32" s="1541" t="str">
        <f t="shared" si="18"/>
        <v>建筑类型</v>
      </c>
      <c r="AA32" s="1538">
        <f t="shared" si="15"/>
        <v>1</v>
      </c>
      <c r="AB32" s="1538">
        <f t="shared" si="16"/>
        <v>1</v>
      </c>
      <c r="AC32" s="1538">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74"/>
      <c r="Q33" s="716" t="str">
        <f t="shared" si="11"/>
        <v>项目建筑规模</v>
      </c>
      <c r="R33" s="717" t="s">
        <v>21</v>
      </c>
      <c r="S33" s="718" t="e">
        <f t="shared" si="12"/>
        <v>#N/A</v>
      </c>
      <c r="T33" s="717" t="s">
        <v>21</v>
      </c>
      <c r="U33" s="718" t="e">
        <f t="shared" si="13"/>
        <v>#N/A</v>
      </c>
      <c r="V33" s="717" t="s">
        <v>21</v>
      </c>
      <c r="W33" s="718" t="e">
        <f t="shared" si="14"/>
        <v>#N/A</v>
      </c>
      <c r="X33" s="719"/>
      <c r="Y33" s="3376"/>
      <c r="Z33" s="720" t="str">
        <f t="shared" si="18"/>
        <v>项目建筑规模</v>
      </c>
      <c r="AA33" s="1538" t="e">
        <f t="shared" si="15"/>
        <v>#N/A</v>
      </c>
      <c r="AB33" s="1538" t="e">
        <f t="shared" si="16"/>
        <v>#N/A</v>
      </c>
      <c r="AC33" s="1538" t="e">
        <f t="shared" si="17"/>
        <v>#N/A</v>
      </c>
    </row>
    <row r="34" spans="1:29" ht="15">
      <c r="A34" s="431"/>
      <c r="B34" s="381" t="s">
        <v>2385</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74"/>
      <c r="Q34" s="1537" t="str">
        <f t="shared" si="11"/>
        <v>建筑结构</v>
      </c>
      <c r="R34" s="714" t="s">
        <v>21</v>
      </c>
      <c r="S34" s="715">
        <f t="shared" si="12"/>
        <v>100</v>
      </c>
      <c r="T34" s="714" t="s">
        <v>21</v>
      </c>
      <c r="U34" s="715">
        <f t="shared" si="13"/>
        <v>100</v>
      </c>
      <c r="V34" s="714" t="s">
        <v>21</v>
      </c>
      <c r="W34" s="715">
        <f t="shared" si="14"/>
        <v>100</v>
      </c>
      <c r="X34" s="1540"/>
      <c r="Y34" s="3376"/>
      <c r="Z34" s="1541" t="str">
        <f t="shared" si="18"/>
        <v>建筑结构</v>
      </c>
      <c r="AA34" s="1538">
        <f t="shared" si="15"/>
        <v>1</v>
      </c>
      <c r="AB34" s="1538">
        <f t="shared" si="16"/>
        <v>1</v>
      </c>
      <c r="AC34" s="1538">
        <f t="shared" si="17"/>
        <v>1</v>
      </c>
    </row>
    <row r="35" spans="1:29" ht="15">
      <c r="A35" s="431"/>
      <c r="B35" s="381" t="s">
        <v>2386</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74"/>
      <c r="Q35" s="1537" t="str">
        <f t="shared" si="11"/>
        <v>建筑品质</v>
      </c>
      <c r="R35" s="714" t="s">
        <v>21</v>
      </c>
      <c r="S35" s="715">
        <f t="shared" si="12"/>
        <v>100</v>
      </c>
      <c r="T35" s="714" t="s">
        <v>21</v>
      </c>
      <c r="U35" s="715">
        <f t="shared" si="13"/>
        <v>100</v>
      </c>
      <c r="V35" s="714" t="s">
        <v>21</v>
      </c>
      <c r="W35" s="715">
        <f t="shared" si="14"/>
        <v>100</v>
      </c>
      <c r="X35" s="1540"/>
      <c r="Y35" s="3376"/>
      <c r="Z35" s="1541" t="str">
        <f t="shared" si="18"/>
        <v>建筑品质</v>
      </c>
      <c r="AA35" s="1538">
        <f t="shared" si="15"/>
        <v>1</v>
      </c>
      <c r="AB35" s="1538">
        <f t="shared" si="16"/>
        <v>1</v>
      </c>
      <c r="AC35" s="1538">
        <f t="shared" si="17"/>
        <v>1</v>
      </c>
    </row>
    <row r="36" spans="1:29" ht="15">
      <c r="A36" s="431"/>
      <c r="B36" s="381" t="s">
        <v>2387</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74"/>
      <c r="Q36" s="1537" t="str">
        <f t="shared" si="11"/>
        <v>公共部分装修</v>
      </c>
      <c r="R36" s="714" t="s">
        <v>21</v>
      </c>
      <c r="S36" s="715">
        <f t="shared" si="12"/>
        <v>100</v>
      </c>
      <c r="T36" s="714" t="s">
        <v>21</v>
      </c>
      <c r="U36" s="715">
        <f t="shared" si="13"/>
        <v>100</v>
      </c>
      <c r="V36" s="714" t="s">
        <v>21</v>
      </c>
      <c r="W36" s="715">
        <f t="shared" si="14"/>
        <v>100</v>
      </c>
      <c r="X36" s="1540"/>
      <c r="Y36" s="3376"/>
      <c r="Z36" s="1541" t="str">
        <f t="shared" si="18"/>
        <v>公共部分装修</v>
      </c>
      <c r="AA36" s="1538">
        <f t="shared" si="15"/>
        <v>1</v>
      </c>
      <c r="AB36" s="1538">
        <f t="shared" si="16"/>
        <v>1</v>
      </c>
      <c r="AC36" s="1538">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74"/>
      <c r="Q37" s="1528" t="str">
        <f t="shared" si="11"/>
        <v>成新度</v>
      </c>
      <c r="R37" s="710" t="s">
        <v>21</v>
      </c>
      <c r="S37" s="711" t="e">
        <f t="shared" si="12"/>
        <v>#N/A</v>
      </c>
      <c r="T37" s="710" t="s">
        <v>21</v>
      </c>
      <c r="U37" s="711" t="e">
        <f t="shared" si="13"/>
        <v>#N/A</v>
      </c>
      <c r="V37" s="710" t="s">
        <v>21</v>
      </c>
      <c r="W37" s="711" t="e">
        <f t="shared" si="14"/>
        <v>#N/A</v>
      </c>
      <c r="X37" s="712"/>
      <c r="Y37" s="3376"/>
      <c r="Z37" s="55" t="str">
        <f t="shared" si="18"/>
        <v>成新度</v>
      </c>
      <c r="AA37" s="713" t="e">
        <f t="shared" si="15"/>
        <v>#N/A</v>
      </c>
      <c r="AB37" s="713" t="e">
        <f t="shared" si="16"/>
        <v>#N/A</v>
      </c>
      <c r="AC37" s="713" t="e">
        <f t="shared" si="17"/>
        <v>#N/A</v>
      </c>
    </row>
    <row r="38" spans="1:29" ht="15">
      <c r="A38" s="431"/>
      <c r="B38" s="381" t="s">
        <v>2389</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74" t="s">
        <v>2383</v>
      </c>
      <c r="Q38" s="1537" t="str">
        <f t="shared" si="11"/>
        <v>物业管理</v>
      </c>
      <c r="R38" s="714" t="s">
        <v>21</v>
      </c>
      <c r="S38" s="715">
        <f t="shared" si="12"/>
        <v>100</v>
      </c>
      <c r="T38" s="714" t="s">
        <v>21</v>
      </c>
      <c r="U38" s="715">
        <f t="shared" si="13"/>
        <v>100</v>
      </c>
      <c r="V38" s="714" t="s">
        <v>21</v>
      </c>
      <c r="W38" s="715">
        <f t="shared" si="14"/>
        <v>100</v>
      </c>
      <c r="X38" s="1540"/>
      <c r="Y38" s="3376" t="s">
        <v>2383</v>
      </c>
      <c r="Z38" s="1541" t="str">
        <f t="shared" si="18"/>
        <v>物业管理</v>
      </c>
      <c r="AA38" s="1538">
        <f t="shared" si="15"/>
        <v>1</v>
      </c>
      <c r="AB38" s="1538">
        <f t="shared" si="16"/>
        <v>1</v>
      </c>
      <c r="AC38" s="1538">
        <f t="shared" si="17"/>
        <v>1</v>
      </c>
    </row>
    <row r="39" spans="1:29" ht="15">
      <c r="A39" s="431"/>
      <c r="B39" s="381" t="s">
        <v>2390</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74"/>
      <c r="Q39" s="1537" t="str">
        <f t="shared" si="11"/>
        <v>市政基础设施</v>
      </c>
      <c r="R39" s="714" t="s">
        <v>21</v>
      </c>
      <c r="S39" s="715">
        <f t="shared" si="12"/>
        <v>100</v>
      </c>
      <c r="T39" s="714" t="s">
        <v>21</v>
      </c>
      <c r="U39" s="715">
        <f t="shared" si="13"/>
        <v>100</v>
      </c>
      <c r="V39" s="714" t="s">
        <v>21</v>
      </c>
      <c r="W39" s="715">
        <f t="shared" si="14"/>
        <v>100</v>
      </c>
      <c r="X39" s="1540"/>
      <c r="Y39" s="3376"/>
      <c r="Z39" s="1541" t="str">
        <f t="shared" si="18"/>
        <v>市政基础设施</v>
      </c>
      <c r="AA39" s="1538">
        <f t="shared" si="15"/>
        <v>1</v>
      </c>
      <c r="AB39" s="1538">
        <f t="shared" si="16"/>
        <v>1</v>
      </c>
      <c r="AC39" s="1538">
        <f t="shared" si="17"/>
        <v>1</v>
      </c>
    </row>
    <row r="40" spans="1:29" ht="15">
      <c r="A40" s="431"/>
      <c r="B40" s="381" t="s">
        <v>2391</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74"/>
      <c r="Q40" s="1537" t="str">
        <f t="shared" si="11"/>
        <v>房型</v>
      </c>
      <c r="R40" s="714" t="s">
        <v>21</v>
      </c>
      <c r="S40" s="715">
        <f t="shared" si="12"/>
        <v>100</v>
      </c>
      <c r="T40" s="714" t="s">
        <v>21</v>
      </c>
      <c r="U40" s="715">
        <f t="shared" si="13"/>
        <v>100</v>
      </c>
      <c r="V40" s="714" t="s">
        <v>21</v>
      </c>
      <c r="W40" s="715">
        <f t="shared" si="14"/>
        <v>100</v>
      </c>
      <c r="X40" s="1540"/>
      <c r="Y40" s="3376"/>
      <c r="Z40" s="1541" t="str">
        <f t="shared" si="18"/>
        <v>房型</v>
      </c>
      <c r="AA40" s="1538">
        <f t="shared" si="15"/>
        <v>1</v>
      </c>
      <c r="AB40" s="1538">
        <f t="shared" si="16"/>
        <v>1</v>
      </c>
      <c r="AC40" s="1538">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74"/>
      <c r="Q41" s="716" t="str">
        <f t="shared" si="11"/>
        <v>单套/主力户型建筑面积</v>
      </c>
      <c r="R41" s="717" t="s">
        <v>21</v>
      </c>
      <c r="S41" s="718">
        <f t="shared" si="12"/>
        <v>100</v>
      </c>
      <c r="T41" s="717" t="s">
        <v>21</v>
      </c>
      <c r="U41" s="718">
        <f t="shared" si="13"/>
        <v>100</v>
      </c>
      <c r="V41" s="717" t="s">
        <v>21</v>
      </c>
      <c r="W41" s="718">
        <f t="shared" si="14"/>
        <v>100</v>
      </c>
      <c r="X41" s="719"/>
      <c r="Y41" s="3376"/>
      <c r="Z41" s="720" t="str">
        <f t="shared" si="18"/>
        <v>单套/主力户型建筑面积</v>
      </c>
      <c r="AA41" s="1538">
        <f t="shared" si="15"/>
        <v>1</v>
      </c>
      <c r="AB41" s="1538">
        <f t="shared" si="16"/>
        <v>1</v>
      </c>
      <c r="AC41" s="1538">
        <f t="shared" si="17"/>
        <v>1</v>
      </c>
    </row>
    <row r="42" spans="1:29" ht="15">
      <c r="A42" s="431"/>
      <c r="B42" s="381" t="s">
        <v>2393</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74"/>
      <c r="Q42" s="1537" t="str">
        <f t="shared" si="11"/>
        <v>内部装修</v>
      </c>
      <c r="R42" s="714" t="s">
        <v>21</v>
      </c>
      <c r="S42" s="715">
        <f t="shared" si="12"/>
        <v>100</v>
      </c>
      <c r="T42" s="714" t="s">
        <v>21</v>
      </c>
      <c r="U42" s="715">
        <f t="shared" si="13"/>
        <v>100</v>
      </c>
      <c r="V42" s="714" t="s">
        <v>21</v>
      </c>
      <c r="W42" s="715">
        <f t="shared" si="14"/>
        <v>100</v>
      </c>
      <c r="X42" s="1540"/>
      <c r="Y42" s="3376"/>
      <c r="Z42" s="1541" t="str">
        <f t="shared" si="18"/>
        <v>内部装修</v>
      </c>
      <c r="AA42" s="1538">
        <f t="shared" si="15"/>
        <v>1</v>
      </c>
      <c r="AB42" s="1538">
        <f t="shared" si="16"/>
        <v>1</v>
      </c>
      <c r="AC42" s="1538">
        <f t="shared" si="17"/>
        <v>1</v>
      </c>
    </row>
    <row r="43" spans="1:29" ht="15">
      <c r="A43" s="431"/>
      <c r="B43" s="381" t="s">
        <v>2394</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74"/>
      <c r="Q43" s="1537" t="str">
        <f t="shared" si="11"/>
        <v>内部装修维护情况</v>
      </c>
      <c r="R43" s="714" t="s">
        <v>21</v>
      </c>
      <c r="S43" s="715">
        <f t="shared" si="12"/>
        <v>100</v>
      </c>
      <c r="T43" s="714" t="s">
        <v>21</v>
      </c>
      <c r="U43" s="715">
        <f t="shared" si="13"/>
        <v>100</v>
      </c>
      <c r="V43" s="714" t="s">
        <v>21</v>
      </c>
      <c r="W43" s="715">
        <f t="shared" si="14"/>
        <v>100</v>
      </c>
      <c r="X43" s="1540"/>
      <c r="Y43" s="3376"/>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74"/>
      <c r="Q44" s="1528">
        <f t="shared" si="11"/>
        <v>111</v>
      </c>
      <c r="R44" s="710" t="s">
        <v>21</v>
      </c>
      <c r="S44" s="711">
        <f t="shared" si="12"/>
        <v>100</v>
      </c>
      <c r="T44" s="710" t="s">
        <v>21</v>
      </c>
      <c r="U44" s="711">
        <f t="shared" si="13"/>
        <v>100</v>
      </c>
      <c r="V44" s="710" t="s">
        <v>21</v>
      </c>
      <c r="W44" s="711">
        <f t="shared" si="14"/>
        <v>100</v>
      </c>
      <c r="X44" s="712"/>
      <c r="Y44" s="3376"/>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74"/>
      <c r="Q45" s="1537">
        <f t="shared" si="11"/>
        <v>111</v>
      </c>
      <c r="R45" s="714" t="s">
        <v>21</v>
      </c>
      <c r="S45" s="715">
        <f t="shared" si="12"/>
        <v>100</v>
      </c>
      <c r="T45" s="714" t="s">
        <v>21</v>
      </c>
      <c r="U45" s="715">
        <f t="shared" si="13"/>
        <v>100</v>
      </c>
      <c r="V45" s="714" t="s">
        <v>21</v>
      </c>
      <c r="W45" s="715">
        <f t="shared" si="14"/>
        <v>100</v>
      </c>
      <c r="X45" s="1540"/>
      <c r="Y45" s="3376"/>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75"/>
      <c r="Q46" s="1537">
        <f t="shared" si="11"/>
        <v>111</v>
      </c>
      <c r="R46" s="714" t="s">
        <v>20</v>
      </c>
      <c r="S46" s="715">
        <f t="shared" si="12"/>
        <v>100</v>
      </c>
      <c r="T46" s="714" t="s">
        <v>20</v>
      </c>
      <c r="U46" s="715">
        <f t="shared" si="13"/>
        <v>100</v>
      </c>
      <c r="V46" s="714" t="s">
        <v>20</v>
      </c>
      <c r="W46" s="715">
        <f t="shared" si="14"/>
        <v>100</v>
      </c>
      <c r="X46" s="1540"/>
      <c r="Y46" s="3377"/>
      <c r="Z46" s="1541">
        <f t="shared" si="18"/>
        <v>111</v>
      </c>
      <c r="AA46" s="1538">
        <f t="shared" si="15"/>
        <v>1</v>
      </c>
      <c r="AB46" s="1538">
        <f t="shared" si="16"/>
        <v>1</v>
      </c>
      <c r="AC46" s="1538">
        <f t="shared" si="17"/>
        <v>1</v>
      </c>
    </row>
    <row r="47" spans="1:29" ht="15">
      <c r="A47" s="438" t="s">
        <v>2395</v>
      </c>
      <c r="B47" s="439"/>
      <c r="C47" s="1315" t="s">
        <v>19</v>
      </c>
      <c r="D47" s="1316"/>
      <c r="E47" s="1317"/>
      <c r="F47" s="1318"/>
      <c r="G47" s="1319"/>
      <c r="H47" s="1320"/>
      <c r="I47" s="1317"/>
      <c r="J47" s="1320"/>
      <c r="K47" s="2101"/>
      <c r="L47" s="2954"/>
      <c r="M47" s="2955"/>
      <c r="N47" s="2946"/>
      <c r="O47" s="2955"/>
      <c r="P47" s="3369" t="str">
        <f>A47</f>
        <v>成交单价（元/平方米）</v>
      </c>
      <c r="Q47" s="3369"/>
      <c r="R47" s="3370">
        <f>E47</f>
        <v>0</v>
      </c>
      <c r="S47" s="3370"/>
      <c r="T47" s="3370">
        <f>G47</f>
        <v>0</v>
      </c>
      <c r="U47" s="3370"/>
      <c r="V47" s="3370">
        <f>I47</f>
        <v>0</v>
      </c>
      <c r="W47" s="3370"/>
      <c r="X47" s="699"/>
      <c r="Y47" s="721"/>
      <c r="Z47" s="699"/>
      <c r="AA47" s="699"/>
      <c r="AB47" s="699"/>
      <c r="AC47" s="699"/>
    </row>
    <row r="48" spans="1:29" ht="15.75" thickBot="1">
      <c r="A48" s="445" t="s">
        <v>2396</v>
      </c>
      <c r="B48" s="446"/>
      <c r="C48" s="1321" t="e">
        <f>R49</f>
        <v>#DIV/0!</v>
      </c>
      <c r="D48" s="2539" t="s">
        <v>2876</v>
      </c>
      <c r="E48" s="1322" t="e">
        <f>R48</f>
        <v>#DIV/0!</v>
      </c>
      <c r="F48" s="2540"/>
      <c r="G48" s="1321" t="e">
        <f>T48</f>
        <v>#DIV/0!</v>
      </c>
      <c r="H48" s="2540"/>
      <c r="I48" s="1322" t="e">
        <f>V48</f>
        <v>#DIV/0!</v>
      </c>
      <c r="J48" s="2540"/>
      <c r="K48" s="2541">
        <f>F48+H48+J48</f>
        <v>0</v>
      </c>
      <c r="L48" s="2954"/>
      <c r="M48" s="2955"/>
      <c r="N48" s="2955"/>
      <c r="O48" s="2955"/>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9"/>
      <c r="Y48" s="699"/>
      <c r="Z48" s="699"/>
      <c r="AA48" s="699"/>
      <c r="AB48" s="699"/>
      <c r="AC48" s="699"/>
    </row>
    <row r="49" spans="1:29" ht="15.75" thickBot="1">
      <c r="A49" s="449" t="s">
        <v>2397</v>
      </c>
      <c r="B49" s="450"/>
      <c r="C49" s="1323" t="e">
        <f>R49</f>
        <v>#DIV/0!</v>
      </c>
      <c r="D49" s="1324"/>
      <c r="E49" s="1324"/>
      <c r="F49" s="1324"/>
      <c r="G49" s="1324"/>
      <c r="H49" s="1324"/>
      <c r="I49" s="1324"/>
      <c r="J49" s="1324"/>
      <c r="K49" s="2102"/>
      <c r="L49" s="2954"/>
      <c r="M49" s="2955"/>
      <c r="N49" s="2955"/>
      <c r="O49" s="2955"/>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2401</v>
      </c>
      <c r="B57" s="699"/>
      <c r="C57" s="704"/>
      <c r="D57" s="704"/>
      <c r="E57" s="704"/>
      <c r="F57" s="705"/>
      <c r="G57" s="705"/>
      <c r="H57" s="704"/>
      <c r="I57" s="704"/>
      <c r="J57" s="704"/>
      <c r="K57" s="1072"/>
      <c r="L57" s="1073"/>
      <c r="M57" s="1071"/>
      <c r="N57" s="1071"/>
      <c r="O57" s="1071"/>
      <c r="P57" s="2105"/>
      <c r="Q57" s="461"/>
    </row>
    <row r="58" spans="1:29" s="465" customFormat="1" ht="15">
      <c r="A58" s="462" t="s">
        <v>2402</v>
      </c>
      <c r="B58" s="463"/>
      <c r="C58" s="1347" t="str">
        <f>YEAR(C7)&amp;"-"&amp;MONTH(C7)</f>
        <v>2021-1</v>
      </c>
      <c r="D58" s="1346">
        <f>EDATE(C58,-1)</f>
        <v>44166</v>
      </c>
      <c r="E58" s="1346">
        <f>EDATE(D58,-1)</f>
        <v>44136</v>
      </c>
      <c r="F58" s="1346">
        <f t="shared" ref="F58:O58" si="19">EDATE(E58,-1)</f>
        <v>44105</v>
      </c>
      <c r="G58" s="1346">
        <f t="shared" si="19"/>
        <v>44075</v>
      </c>
      <c r="H58" s="1346">
        <f t="shared" si="19"/>
        <v>44044</v>
      </c>
      <c r="I58" s="1346">
        <f t="shared" si="19"/>
        <v>44013</v>
      </c>
      <c r="J58" s="1346">
        <f t="shared" si="19"/>
        <v>43983</v>
      </c>
      <c r="K58" s="1346">
        <f t="shared" si="19"/>
        <v>43952</v>
      </c>
      <c r="L58" s="1346">
        <f t="shared" si="19"/>
        <v>43922</v>
      </c>
      <c r="M58" s="1346">
        <f t="shared" si="19"/>
        <v>43891</v>
      </c>
      <c r="N58" s="1346">
        <f t="shared" si="19"/>
        <v>43862</v>
      </c>
      <c r="O58" s="1346">
        <f t="shared" si="19"/>
        <v>43831</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2403</v>
      </c>
      <c r="B60" s="473"/>
      <c r="C60" s="474"/>
      <c r="D60" s="475"/>
      <c r="E60" s="475"/>
      <c r="F60" s="475"/>
      <c r="G60" s="475"/>
      <c r="H60" s="475"/>
      <c r="I60" s="475"/>
      <c r="J60" s="475"/>
      <c r="K60" s="475"/>
      <c r="L60" s="475"/>
      <c r="M60" s="476"/>
      <c r="N60" s="475"/>
      <c r="O60" s="476"/>
      <c r="P60" s="2107"/>
      <c r="Q60" s="461"/>
    </row>
    <row r="61" spans="1:29" s="113" customFormat="1" ht="15">
      <c r="A61" s="478" t="s">
        <v>2404</v>
      </c>
      <c r="B61" s="467"/>
      <c r="C61" s="479" t="s">
        <v>2405</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2406</v>
      </c>
      <c r="B63" s="485" t="s">
        <v>2372</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1943</v>
      </c>
      <c r="C82" s="496" t="s">
        <v>2422</v>
      </c>
      <c r="D82" s="496" t="s">
        <v>2423</v>
      </c>
      <c r="E82" s="496" t="s">
        <v>2424</v>
      </c>
      <c r="F82" s="496" t="s">
        <v>2425</v>
      </c>
      <c r="G82" s="496" t="s">
        <v>2426</v>
      </c>
      <c r="H82" s="496"/>
      <c r="I82" s="496"/>
      <c r="J82" s="496"/>
      <c r="K82" s="496"/>
      <c r="L82" s="496"/>
      <c r="M82" s="1290"/>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2428</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2429</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2381</v>
      </c>
      <c r="B100" s="485" t="s">
        <v>2430</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2432</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2433</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2434</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2435</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2436</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2437</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2438</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2440</v>
      </c>
    </row>
    <row r="137" spans="1:17" ht="15">
      <c r="B137" s="2117" t="s">
        <v>2441</v>
      </c>
      <c r="C137" s="2118"/>
      <c r="D137" s="2118"/>
      <c r="E137" s="2118"/>
      <c r="F137" s="2118"/>
      <c r="G137" s="2119"/>
      <c r="H137" s="2120"/>
      <c r="I137" s="2121" t="s">
        <v>2442</v>
      </c>
      <c r="J137" s="2118"/>
      <c r="K137" s="2122"/>
    </row>
    <row r="138" spans="1:17" ht="15">
      <c r="B138" s="2123"/>
      <c r="C138" s="142" t="s">
        <v>2443</v>
      </c>
      <c r="D138" s="142" t="s">
        <v>2444</v>
      </c>
      <c r="E138" s="2124" t="s">
        <v>2445</v>
      </c>
      <c r="F138" s="2125" t="s">
        <v>2446</v>
      </c>
      <c r="G138" s="142" t="s">
        <v>2444</v>
      </c>
      <c r="H138" s="143" t="s">
        <v>2445</v>
      </c>
      <c r="I138" s="2126"/>
      <c r="J138" s="142" t="s">
        <v>2447</v>
      </c>
      <c r="K138" s="143" t="s">
        <v>2448</v>
      </c>
    </row>
    <row r="139" spans="1:17" ht="15">
      <c r="B139" s="998">
        <v>6</v>
      </c>
      <c r="C139" s="999">
        <v>96</v>
      </c>
      <c r="D139" s="2127" t="s">
        <v>2449</v>
      </c>
      <c r="E139" s="1000">
        <v>100</v>
      </c>
      <c r="F139" s="1001">
        <v>102.5</v>
      </c>
      <c r="G139" s="2127" t="s">
        <v>2449</v>
      </c>
      <c r="H139" s="1002">
        <v>105</v>
      </c>
      <c r="I139" s="2128" t="s">
        <v>2450</v>
      </c>
      <c r="J139" s="999">
        <v>20</v>
      </c>
      <c r="K139" s="1003">
        <f>C145/(J139-2)</f>
        <v>4.0555555555555553E-3</v>
      </c>
    </row>
    <row r="140" spans="1:17" ht="15">
      <c r="B140" s="1004">
        <v>5</v>
      </c>
      <c r="C140" s="1005">
        <v>100</v>
      </c>
      <c r="D140" s="1005"/>
      <c r="E140" s="1006"/>
      <c r="F140" s="1007">
        <v>102</v>
      </c>
      <c r="G140" s="1005"/>
      <c r="H140" s="1008"/>
      <c r="I140" s="2129" t="s">
        <v>2451</v>
      </c>
      <c r="J140" s="277">
        <f>ROUNDUP((J139-1)/2,0)</f>
        <v>10</v>
      </c>
      <c r="K140" s="1009">
        <v>100</v>
      </c>
    </row>
    <row r="141" spans="1:17" ht="15">
      <c r="B141" s="1004">
        <v>4</v>
      </c>
      <c r="C141" s="1005">
        <v>102</v>
      </c>
      <c r="D141" s="1005"/>
      <c r="E141" s="1006"/>
      <c r="F141" s="1007">
        <v>101.5</v>
      </c>
      <c r="G141" s="1005"/>
      <c r="H141" s="1008"/>
      <c r="I141" s="2129" t="s">
        <v>2452</v>
      </c>
      <c r="J141" s="277">
        <v>1</v>
      </c>
      <c r="K141" s="1010">
        <f>ROUND(100+(J141-J140)*K139*100,1)</f>
        <v>96.4</v>
      </c>
    </row>
    <row r="142" spans="1:17" ht="15">
      <c r="B142" s="1004">
        <v>3</v>
      </c>
      <c r="C142" s="1005">
        <v>103</v>
      </c>
      <c r="D142" s="1005"/>
      <c r="E142" s="1006"/>
      <c r="F142" s="1007">
        <v>101</v>
      </c>
      <c r="G142" s="1005"/>
      <c r="H142" s="1008"/>
      <c r="I142" s="2129" t="s">
        <v>2453</v>
      </c>
      <c r="J142" s="277">
        <f>J139</f>
        <v>20</v>
      </c>
      <c r="K142" s="1011">
        <v>95</v>
      </c>
    </row>
    <row r="143" spans="1:17" ht="15">
      <c r="B143" s="1004">
        <v>2</v>
      </c>
      <c r="C143" s="1005">
        <v>100</v>
      </c>
      <c r="D143" s="1005"/>
      <c r="E143" s="1006"/>
      <c r="F143" s="1007">
        <v>100.5</v>
      </c>
      <c r="G143" s="1005"/>
      <c r="H143" s="1008"/>
      <c r="I143" s="2129" t="s">
        <v>2454</v>
      </c>
      <c r="J143" s="1005">
        <v>15</v>
      </c>
      <c r="K143" s="1010">
        <f>ROUND(100+(J143-J140)*K139*100,1)</f>
        <v>102</v>
      </c>
    </row>
    <row r="144" spans="1:17" ht="15">
      <c r="B144" s="1004">
        <v>1</v>
      </c>
      <c r="C144" s="1005">
        <v>98</v>
      </c>
      <c r="D144" s="2130" t="s">
        <v>2455</v>
      </c>
      <c r="E144" s="1006">
        <v>102</v>
      </c>
      <c r="F144" s="1012">
        <v>100</v>
      </c>
      <c r="G144" s="2130" t="s">
        <v>2455</v>
      </c>
      <c r="H144" s="1008">
        <v>105</v>
      </c>
      <c r="I144" s="2129" t="s">
        <v>2454</v>
      </c>
      <c r="J144" s="1005">
        <v>18</v>
      </c>
      <c r="K144" s="1010">
        <f>ROUND(100+(J144-J140)*K139*100,1)</f>
        <v>103.2</v>
      </c>
    </row>
    <row r="145" spans="2:11" ht="15.75" thickBot="1">
      <c r="B145" s="2131" t="s">
        <v>2456</v>
      </c>
      <c r="C145" s="1013">
        <f>ROUND(MAX(C139:C144)/MIN(C139:C144)-1,3)</f>
        <v>7.2999999999999995E-2</v>
      </c>
      <c r="D145" s="1014"/>
      <c r="E145" s="1014"/>
      <c r="F145" s="2132" t="s">
        <v>2457</v>
      </c>
      <c r="G145" s="2133"/>
      <c r="H145" s="2134"/>
      <c r="I145" s="2135" t="s">
        <v>2454</v>
      </c>
      <c r="J145" s="1015">
        <v>8</v>
      </c>
      <c r="K145" s="1016">
        <f>ROUND(100+(J145-J140)*K139*100,1)</f>
        <v>99.2</v>
      </c>
    </row>
    <row r="147" spans="2:11">
      <c r="B147" s="2116" t="s">
        <v>2458</v>
      </c>
    </row>
    <row r="148" spans="2:11">
      <c r="B148" s="2116"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1572</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1573</v>
      </c>
    </row>
    <row r="6" spans="1:1" ht="18.75">
      <c r="A6" s="1668" t="s">
        <v>1574</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估价对象为北京市房地产，为所有。根据《国有土地使用证》[]，估价对象（分摊）出让国有建设用地使用权面积为11.65平方米，建筑面积为240.41平方米。</v>
      </c>
    </row>
    <row r="8" spans="1:1" ht="57.75">
      <c r="A8" s="1669" t="s">
        <v>1575</v>
      </c>
    </row>
    <row r="9" spans="1:1" ht="18.75">
      <c r="A9" s="1668" t="s">
        <v>1576</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估价对象为北京市房地产,属开发建设的，该项目尚在开发建设中。根据《国有土地使用证》[]，估价对象（分摊）出让国有建设用地使用权面积为11.65平方米，规划建筑面积为240.41平方米。</v>
      </c>
    </row>
    <row r="11" spans="1:1" ht="76.5">
      <c r="A11" s="1669" t="s">
        <v>1577</v>
      </c>
    </row>
    <row r="12" spans="1:1" ht="18.75">
      <c r="A12" s="1667" t="s">
        <v>1578</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1579</v>
      </c>
    </row>
    <row r="15" spans="1:1" ht="18">
      <c r="A15" s="1672" t="str">
        <f>TEXT(项目基本情况!D3,"yyyy年m月d日;;")&amp;IF(项目基本情况!D3=项目基本情况!B3,"（评估专业人员实地查勘之日）","")</f>
        <v>2021年1月26日</v>
      </c>
    </row>
    <row r="16" spans="1:1" ht="18.75">
      <c r="A16" s="1671" t="s">
        <v>1580</v>
      </c>
    </row>
    <row r="17" spans="1:1" ht="75">
      <c r="A17" s="1666" t="s">
        <v>1581</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1570</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1571</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5" t="s">
        <v>2460</v>
      </c>
      <c r="C1" s="1405" t="s">
        <v>2348</v>
      </c>
      <c r="D1" s="1392"/>
      <c r="E1" s="2544"/>
      <c r="F1" s="2066"/>
      <c r="G1" s="1402" t="s">
        <v>2461</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2145</v>
      </c>
      <c r="B2" s="1325" t="e">
        <f ca="1">IF(C2="——",ROUND(C49*D3/10000,0),ROUND(C49*D3/10000,0)-D2)</f>
        <v>#DIV/0!</v>
      </c>
      <c r="C2" s="2068"/>
      <c r="D2" s="1274" t="e">
        <f ca="1">SUMIF(INDIRECT("'"&amp;F2&amp;"'"&amp;"!A:A"),"承租人权益价值",INDIRECT("'"&amp;F2&amp;"'"&amp;"!c:c"))</f>
        <v>#REF!</v>
      </c>
      <c r="E2" s="2069" t="s">
        <v>2146</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2147</v>
      </c>
      <c r="B3" s="566" t="e">
        <f ca="1">IF(C2="——",C49,ROUND(B2*10000/D3,0))</f>
        <v>#DIV/0!</v>
      </c>
      <c r="C3" s="360" t="s">
        <v>2462</v>
      </c>
      <c r="D3" s="359">
        <f>IF(D1="",'数据-汇总表'!E3,SUMIF('数据-汇总表'!$C19:$C33,D1,'数据-汇总表'!$E19:$E33))</f>
        <v>240.41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2463</v>
      </c>
      <c r="B4" s="362"/>
      <c r="C4" s="3352" t="s">
        <v>2464</v>
      </c>
      <c r="D4" s="3353"/>
      <c r="E4" s="3354" t="s">
        <v>2465</v>
      </c>
      <c r="F4" s="3355"/>
      <c r="G4" s="3352" t="s">
        <v>2466</v>
      </c>
      <c r="H4" s="3353"/>
      <c r="I4" s="3352" t="s">
        <v>2467</v>
      </c>
      <c r="J4" s="3353"/>
      <c r="K4" s="567" t="s">
        <v>2468</v>
      </c>
      <c r="L4" s="2945"/>
      <c r="M4" s="2946"/>
      <c r="N4" s="2946"/>
      <c r="O4" s="2946"/>
      <c r="P4" s="3356" t="s">
        <v>2469</v>
      </c>
      <c r="Q4" s="3357"/>
      <c r="R4" s="3339" t="s">
        <v>2465</v>
      </c>
      <c r="S4" s="3340"/>
      <c r="T4" s="3339" t="s">
        <v>2466</v>
      </c>
      <c r="U4" s="3340"/>
      <c r="V4" s="3364" t="s">
        <v>2467</v>
      </c>
      <c r="W4" s="3364"/>
      <c r="X4" s="1540"/>
      <c r="Y4" s="3339" t="s">
        <v>2469</v>
      </c>
      <c r="Z4" s="3340"/>
      <c r="AA4" s="3334" t="s">
        <v>2465</v>
      </c>
      <c r="AB4" s="3364" t="s">
        <v>2466</v>
      </c>
      <c r="AC4" s="3334" t="s">
        <v>2467</v>
      </c>
    </row>
    <row r="5" spans="1:29" ht="15">
      <c r="A5" s="364"/>
      <c r="B5" s="365"/>
      <c r="C5" s="3345" t="s">
        <v>2360</v>
      </c>
      <c r="D5" s="3346"/>
      <c r="E5" s="3343" t="s">
        <v>2361</v>
      </c>
      <c r="F5" s="3344"/>
      <c r="G5" s="3345" t="s">
        <v>2362</v>
      </c>
      <c r="H5" s="3346"/>
      <c r="I5" s="3345" t="s">
        <v>2363</v>
      </c>
      <c r="J5" s="3346"/>
      <c r="K5" s="567"/>
      <c r="L5" s="2945"/>
      <c r="M5" s="2946"/>
      <c r="N5" s="2946"/>
      <c r="O5" s="2946"/>
      <c r="P5" s="3358"/>
      <c r="Q5" s="3359"/>
      <c r="R5" s="3341"/>
      <c r="S5" s="3342"/>
      <c r="T5" s="3341"/>
      <c r="U5" s="3342"/>
      <c r="V5" s="3364"/>
      <c r="W5" s="3364"/>
      <c r="X5" s="1540"/>
      <c r="Y5" s="3341"/>
      <c r="Z5" s="3342"/>
      <c r="AA5" s="3335"/>
      <c r="AB5" s="3364"/>
      <c r="AC5" s="3335"/>
    </row>
    <row r="6" spans="1:29" ht="15.75" thickBot="1">
      <c r="A6" s="366"/>
      <c r="B6" s="367"/>
      <c r="C6" s="3347" t="s">
        <v>2364</v>
      </c>
      <c r="D6" s="3348"/>
      <c r="E6" s="3349" t="s">
        <v>2364</v>
      </c>
      <c r="F6" s="3350"/>
      <c r="G6" s="3347" t="s">
        <v>2364</v>
      </c>
      <c r="H6" s="3348"/>
      <c r="I6" s="3347" t="s">
        <v>2364</v>
      </c>
      <c r="J6" s="3348"/>
      <c r="K6" s="567" t="s">
        <v>2365</v>
      </c>
      <c r="L6" s="2945"/>
      <c r="M6" s="2946"/>
      <c r="N6" s="2946"/>
      <c r="O6" s="2946"/>
      <c r="P6" s="3360"/>
      <c r="Q6" s="3361"/>
      <c r="R6" s="3341"/>
      <c r="S6" s="3342"/>
      <c r="T6" s="3362"/>
      <c r="U6" s="3363"/>
      <c r="V6" s="3364"/>
      <c r="W6" s="3364"/>
      <c r="X6" s="1540"/>
      <c r="Y6" s="3362"/>
      <c r="Z6" s="3363"/>
      <c r="AA6" s="3336"/>
      <c r="AB6" s="3364"/>
      <c r="AC6" s="3336"/>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37" t="s">
        <v>2367</v>
      </c>
      <c r="Q7" s="3365"/>
      <c r="R7" s="710" t="s">
        <v>17</v>
      </c>
      <c r="S7" s="711">
        <f t="shared" ref="S7:S15" si="0">F7</f>
        <v>0</v>
      </c>
      <c r="T7" s="710" t="s">
        <v>17</v>
      </c>
      <c r="U7" s="711">
        <f t="shared" ref="U7:U15" si="1">H7</f>
        <v>0</v>
      </c>
      <c r="V7" s="710" t="s">
        <v>17</v>
      </c>
      <c r="W7" s="711">
        <f t="shared" ref="W7:W15" si="2">J7</f>
        <v>0</v>
      </c>
      <c r="X7" s="712"/>
      <c r="Y7" s="3337" t="s">
        <v>2367</v>
      </c>
      <c r="Z7" s="3338"/>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37" t="s">
        <v>2370</v>
      </c>
      <c r="Q8" s="3338"/>
      <c r="R8" s="710" t="s">
        <v>17</v>
      </c>
      <c r="S8" s="711">
        <f t="shared" si="0"/>
        <v>0</v>
      </c>
      <c r="T8" s="710" t="s">
        <v>17</v>
      </c>
      <c r="U8" s="711">
        <f t="shared" si="1"/>
        <v>0</v>
      </c>
      <c r="V8" s="710" t="s">
        <v>17</v>
      </c>
      <c r="W8" s="711">
        <f t="shared" si="2"/>
        <v>0</v>
      </c>
      <c r="X8" s="712"/>
      <c r="Y8" s="3337" t="s">
        <v>2370</v>
      </c>
      <c r="Z8" s="3338"/>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1"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1"/>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51"/>
      <c r="Q11" s="1528"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1"/>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1"/>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1"/>
      <c r="Q14" s="1528">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2377</v>
      </c>
      <c r="B15" s="65" t="s">
        <v>2471</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78" t="s">
        <v>2378</v>
      </c>
      <c r="Q15" s="1537" t="str">
        <f t="shared" si="6"/>
        <v>商业繁华度</v>
      </c>
      <c r="R15" s="714" t="s">
        <v>17</v>
      </c>
      <c r="S15" s="715">
        <f t="shared" si="0"/>
        <v>100</v>
      </c>
      <c r="T15" s="714" t="s">
        <v>17</v>
      </c>
      <c r="U15" s="715">
        <f t="shared" si="1"/>
        <v>100</v>
      </c>
      <c r="V15" s="714" t="s">
        <v>17</v>
      </c>
      <c r="W15" s="715">
        <f t="shared" si="2"/>
        <v>100</v>
      </c>
      <c r="X15" s="1540"/>
      <c r="Y15" s="3371" t="s">
        <v>2378</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79"/>
      <c r="Q16" s="1537"/>
      <c r="R16" s="714"/>
      <c r="S16" s="715"/>
      <c r="T16" s="714"/>
      <c r="U16" s="715"/>
      <c r="V16" s="714"/>
      <c r="W16" s="715"/>
      <c r="X16" s="1540"/>
      <c r="Y16" s="3372"/>
      <c r="Z16" s="1541"/>
      <c r="AA16" s="1538">
        <v>1</v>
      </c>
      <c r="AB16" s="1538">
        <v>1</v>
      </c>
      <c r="AC16" s="1538">
        <v>1</v>
      </c>
    </row>
    <row r="17" spans="1:29" ht="85.5">
      <c r="A17" s="387"/>
      <c r="B17" s="410" t="s">
        <v>1942</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79"/>
      <c r="Q17" s="1537" t="str">
        <f>B17</f>
        <v>交通便捷度</v>
      </c>
      <c r="R17" s="714" t="s">
        <v>17</v>
      </c>
      <c r="S17" s="715">
        <f>F17</f>
        <v>100</v>
      </c>
      <c r="T17" s="714" t="s">
        <v>17</v>
      </c>
      <c r="U17" s="715">
        <f>H17</f>
        <v>100</v>
      </c>
      <c r="V17" s="714" t="s">
        <v>17</v>
      </c>
      <c r="W17" s="715">
        <f>J17</f>
        <v>100</v>
      </c>
      <c r="X17" s="1540"/>
      <c r="Y17" s="337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79"/>
      <c r="Q18" s="1537"/>
      <c r="R18" s="714"/>
      <c r="S18" s="715"/>
      <c r="T18" s="714"/>
      <c r="U18" s="715"/>
      <c r="V18" s="714"/>
      <c r="W18" s="715"/>
      <c r="X18" s="1540"/>
      <c r="Y18" s="3372"/>
      <c r="Z18" s="1541"/>
      <c r="AA18" s="1538">
        <v>1</v>
      </c>
      <c r="AB18" s="1538">
        <v>1</v>
      </c>
      <c r="AC18" s="1538">
        <v>1</v>
      </c>
    </row>
    <row r="19" spans="1:29" ht="42.75">
      <c r="A19" s="387"/>
      <c r="B19" s="410" t="s">
        <v>2472</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79"/>
      <c r="Q19" s="1537" t="str">
        <f>B19</f>
        <v>公共配套设施</v>
      </c>
      <c r="R19" s="714" t="s">
        <v>17</v>
      </c>
      <c r="S19" s="715">
        <f>F19</f>
        <v>100</v>
      </c>
      <c r="T19" s="714" t="s">
        <v>17</v>
      </c>
      <c r="U19" s="715">
        <f>H19</f>
        <v>100</v>
      </c>
      <c r="V19" s="714" t="s">
        <v>17</v>
      </c>
      <c r="W19" s="715">
        <f>J19</f>
        <v>100</v>
      </c>
      <c r="X19" s="1540"/>
      <c r="Y19" s="337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79"/>
      <c r="Q20" s="1537"/>
      <c r="R20" s="714"/>
      <c r="S20" s="715"/>
      <c r="T20" s="714"/>
      <c r="U20" s="715"/>
      <c r="V20" s="714"/>
      <c r="W20" s="715"/>
      <c r="X20" s="1540"/>
      <c r="Y20" s="3372"/>
      <c r="Z20" s="1541"/>
      <c r="AA20" s="1538">
        <v>1</v>
      </c>
      <c r="AB20" s="1538">
        <v>1</v>
      </c>
      <c r="AC20" s="1538">
        <v>1</v>
      </c>
    </row>
    <row r="21" spans="1:29" ht="28.5">
      <c r="A21" s="387"/>
      <c r="B21" s="1292" t="s">
        <v>2473</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79"/>
      <c r="Q21" s="1537" t="str">
        <f>B21</f>
        <v>基础设施水平</v>
      </c>
      <c r="R21" s="714" t="s">
        <v>17</v>
      </c>
      <c r="S21" s="715">
        <f>F21</f>
        <v>100</v>
      </c>
      <c r="T21" s="714" t="s">
        <v>17</v>
      </c>
      <c r="U21" s="715">
        <f>H21</f>
        <v>100</v>
      </c>
      <c r="V21" s="714" t="s">
        <v>17</v>
      </c>
      <c r="W21" s="715">
        <f>J21</f>
        <v>100</v>
      </c>
      <c r="X21" s="1540"/>
      <c r="Y21" s="3372"/>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2952"/>
      <c r="M22" s="2946"/>
      <c r="N22" s="2946"/>
      <c r="O22" s="2946"/>
      <c r="P22" s="3379"/>
      <c r="Q22" s="1537"/>
      <c r="R22" s="714"/>
      <c r="S22" s="715"/>
      <c r="T22" s="714"/>
      <c r="U22" s="715"/>
      <c r="V22" s="714"/>
      <c r="W22" s="715"/>
      <c r="X22" s="1540"/>
      <c r="Y22" s="3372"/>
      <c r="Z22" s="1541"/>
      <c r="AA22" s="1538">
        <v>1</v>
      </c>
      <c r="AB22" s="1538">
        <v>1</v>
      </c>
      <c r="AC22" s="1538">
        <v>1</v>
      </c>
    </row>
    <row r="23" spans="1:29" ht="57">
      <c r="A23" s="387"/>
      <c r="B23" s="410" t="s">
        <v>1944</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79"/>
      <c r="Q23" s="1537" t="str">
        <f>B23</f>
        <v>自然及人文环境</v>
      </c>
      <c r="R23" s="714" t="s">
        <v>17</v>
      </c>
      <c r="S23" s="715">
        <f>F23</f>
        <v>100</v>
      </c>
      <c r="T23" s="714" t="s">
        <v>17</v>
      </c>
      <c r="U23" s="715">
        <f>H23</f>
        <v>100</v>
      </c>
      <c r="V23" s="714" t="s">
        <v>17</v>
      </c>
      <c r="W23" s="715">
        <f>J23</f>
        <v>100</v>
      </c>
      <c r="X23" s="1540"/>
      <c r="Y23" s="3372"/>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79"/>
      <c r="Q24" s="1537"/>
      <c r="R24" s="714"/>
      <c r="S24" s="715"/>
      <c r="T24" s="714"/>
      <c r="U24" s="715"/>
      <c r="V24" s="714"/>
      <c r="W24" s="715"/>
      <c r="X24" s="1540"/>
      <c r="Y24" s="3372"/>
      <c r="Z24" s="1541"/>
      <c r="AA24" s="1538">
        <v>1</v>
      </c>
      <c r="AB24" s="1538">
        <v>1</v>
      </c>
      <c r="AC24" s="1538">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79"/>
      <c r="Q25" s="1537" t="str">
        <f t="shared" ref="Q25:Q46" si="11">B25</f>
        <v>临街状况</v>
      </c>
      <c r="R25" s="714" t="s">
        <v>17</v>
      </c>
      <c r="S25" s="715">
        <f>F25</f>
        <v>100</v>
      </c>
      <c r="T25" s="714" t="s">
        <v>17</v>
      </c>
      <c r="U25" s="715">
        <f>H25</f>
        <v>100</v>
      </c>
      <c r="V25" s="714" t="s">
        <v>17</v>
      </c>
      <c r="W25" s="715">
        <f>J25</f>
        <v>100</v>
      </c>
      <c r="X25" s="1540"/>
      <c r="Y25" s="3372"/>
      <c r="Z25" s="1541" t="str">
        <f>Q25</f>
        <v>临街状况</v>
      </c>
      <c r="AA25" s="1538">
        <f t="shared" si="3"/>
        <v>1</v>
      </c>
      <c r="AB25" s="1538">
        <f t="shared" si="4"/>
        <v>1</v>
      </c>
      <c r="AC25" s="1538">
        <f t="shared" si="5"/>
        <v>1</v>
      </c>
    </row>
    <row r="26" spans="1:29" ht="15">
      <c r="A26" s="387"/>
      <c r="B26" s="1294" t="s">
        <v>2475</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79"/>
      <c r="Q26" s="1537" t="str">
        <f t="shared" si="11"/>
        <v>平面位置/可视性</v>
      </c>
      <c r="R26" s="714" t="s">
        <v>17</v>
      </c>
      <c r="S26" s="715">
        <f>F26</f>
        <v>100</v>
      </c>
      <c r="T26" s="714" t="s">
        <v>17</v>
      </c>
      <c r="U26" s="715">
        <f>H26</f>
        <v>100</v>
      </c>
      <c r="V26" s="714" t="s">
        <v>17</v>
      </c>
      <c r="W26" s="715">
        <f>J26</f>
        <v>100</v>
      </c>
      <c r="X26" s="1540"/>
      <c r="Y26" s="3372"/>
      <c r="Z26" s="1541" t="str">
        <f>Q26</f>
        <v>平面位置/可视性</v>
      </c>
      <c r="AA26" s="1538">
        <f t="shared" si="3"/>
        <v>1</v>
      </c>
      <c r="AB26" s="1538">
        <f t="shared" si="4"/>
        <v>1</v>
      </c>
      <c r="AC26" s="1538">
        <f t="shared" si="5"/>
        <v>1</v>
      </c>
    </row>
    <row r="27" spans="1:29" s="113" customFormat="1" ht="15">
      <c r="A27" s="390"/>
      <c r="B27" s="410" t="s">
        <v>2476</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79"/>
      <c r="Q27" s="1528" t="str">
        <f t="shared" si="11"/>
        <v>人流量</v>
      </c>
      <c r="R27" s="710" t="s">
        <v>17</v>
      </c>
      <c r="S27" s="711">
        <f>F27</f>
        <v>100</v>
      </c>
      <c r="T27" s="710" t="s">
        <v>17</v>
      </c>
      <c r="U27" s="711">
        <f>H27</f>
        <v>100</v>
      </c>
      <c r="V27" s="710" t="s">
        <v>17</v>
      </c>
      <c r="W27" s="711">
        <f>J27</f>
        <v>100</v>
      </c>
      <c r="X27" s="712"/>
      <c r="Y27" s="3372"/>
      <c r="Z27" s="55" t="str">
        <f>Q27</f>
        <v>人流量</v>
      </c>
      <c r="AA27" s="1538">
        <f>D27/F27</f>
        <v>1</v>
      </c>
      <c r="AB27" s="1538">
        <f>D27/H27</f>
        <v>1</v>
      </c>
      <c r="AC27" s="1538">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7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72"/>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79"/>
      <c r="Q29" s="1537">
        <f t="shared" si="11"/>
        <v>111</v>
      </c>
      <c r="R29" s="714" t="s">
        <v>17</v>
      </c>
      <c r="S29" s="715">
        <f t="shared" si="12"/>
        <v>100</v>
      </c>
      <c r="T29" s="714" t="s">
        <v>17</v>
      </c>
      <c r="U29" s="715">
        <f t="shared" si="13"/>
        <v>100</v>
      </c>
      <c r="V29" s="714" t="s">
        <v>17</v>
      </c>
      <c r="W29" s="715">
        <f t="shared" si="14"/>
        <v>100</v>
      </c>
      <c r="X29" s="1540"/>
      <c r="Y29" s="3372"/>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79"/>
      <c r="Q30" s="1537">
        <f t="shared" si="11"/>
        <v>111</v>
      </c>
      <c r="R30" s="714" t="s">
        <v>17</v>
      </c>
      <c r="S30" s="715">
        <f t="shared" si="12"/>
        <v>100</v>
      </c>
      <c r="T30" s="714" t="s">
        <v>17</v>
      </c>
      <c r="U30" s="715">
        <f t="shared" si="13"/>
        <v>100</v>
      </c>
      <c r="V30" s="714" t="s">
        <v>17</v>
      </c>
      <c r="W30" s="715">
        <f t="shared" si="14"/>
        <v>100</v>
      </c>
      <c r="X30" s="1540"/>
      <c r="Y30" s="3372"/>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79"/>
      <c r="Q31" s="1537">
        <f t="shared" si="11"/>
        <v>111</v>
      </c>
      <c r="R31" s="714" t="s">
        <v>17</v>
      </c>
      <c r="S31" s="715">
        <f t="shared" si="12"/>
        <v>100</v>
      </c>
      <c r="T31" s="714" t="s">
        <v>17</v>
      </c>
      <c r="U31" s="715">
        <f t="shared" si="13"/>
        <v>100</v>
      </c>
      <c r="V31" s="714" t="s">
        <v>17</v>
      </c>
      <c r="W31" s="715">
        <f t="shared" si="14"/>
        <v>100</v>
      </c>
      <c r="X31" s="1540"/>
      <c r="Y31" s="3372"/>
      <c r="Z31" s="1541">
        <f t="shared" si="15"/>
        <v>111</v>
      </c>
      <c r="AA31" s="1538">
        <f t="shared" si="3"/>
        <v>1</v>
      </c>
      <c r="AB31" s="1538">
        <f t="shared" si="4"/>
        <v>1</v>
      </c>
      <c r="AC31" s="1538">
        <f t="shared" si="5"/>
        <v>1</v>
      </c>
    </row>
    <row r="32" spans="1:29" ht="15">
      <c r="A32" s="399" t="s">
        <v>2381</v>
      </c>
      <c r="B32" s="67" t="s">
        <v>2478</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73" t="s">
        <v>2383</v>
      </c>
      <c r="Q32" s="1537" t="str">
        <f t="shared" si="11"/>
        <v>商业类型</v>
      </c>
      <c r="R32" s="714" t="s">
        <v>17</v>
      </c>
      <c r="S32" s="715">
        <f t="shared" si="12"/>
        <v>100</v>
      </c>
      <c r="T32" s="714" t="s">
        <v>17</v>
      </c>
      <c r="U32" s="715">
        <f t="shared" si="13"/>
        <v>100</v>
      </c>
      <c r="V32" s="714" t="s">
        <v>17</v>
      </c>
      <c r="W32" s="715">
        <f t="shared" si="14"/>
        <v>100</v>
      </c>
      <c r="X32" s="1540"/>
      <c r="Y32" s="3376" t="s">
        <v>2383</v>
      </c>
      <c r="Z32" s="1541" t="str">
        <f t="shared" si="15"/>
        <v>商业类型</v>
      </c>
      <c r="AA32" s="1538">
        <f t="shared" si="3"/>
        <v>1</v>
      </c>
      <c r="AB32" s="1538">
        <f t="shared" si="4"/>
        <v>1</v>
      </c>
      <c r="AC32" s="1538">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74"/>
      <c r="Q33" s="716" t="str">
        <f t="shared" si="11"/>
        <v>项目建筑规模</v>
      </c>
      <c r="R33" s="717" t="s">
        <v>17</v>
      </c>
      <c r="S33" s="718" t="e">
        <f t="shared" si="12"/>
        <v>#N/A</v>
      </c>
      <c r="T33" s="717" t="s">
        <v>17</v>
      </c>
      <c r="U33" s="718" t="e">
        <f t="shared" si="13"/>
        <v>#N/A</v>
      </c>
      <c r="V33" s="717" t="s">
        <v>17</v>
      </c>
      <c r="W33" s="718" t="e">
        <f t="shared" si="14"/>
        <v>#N/A</v>
      </c>
      <c r="X33" s="719"/>
      <c r="Y33" s="3376"/>
      <c r="Z33" s="720" t="str">
        <f t="shared" si="15"/>
        <v>项目建筑规模</v>
      </c>
      <c r="AA33" s="1538" t="e">
        <f t="shared" si="3"/>
        <v>#N/A</v>
      </c>
      <c r="AB33" s="1538" t="e">
        <f t="shared" si="4"/>
        <v>#N/A</v>
      </c>
      <c r="AC33" s="1538" t="e">
        <f t="shared" si="5"/>
        <v>#N/A</v>
      </c>
    </row>
    <row r="34" spans="1:29" ht="15">
      <c r="A34" s="431"/>
      <c r="B34" s="381" t="s">
        <v>2385</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74"/>
      <c r="Q34" s="1537" t="str">
        <f t="shared" si="11"/>
        <v>建筑结构</v>
      </c>
      <c r="R34" s="714" t="s">
        <v>17</v>
      </c>
      <c r="S34" s="715">
        <f t="shared" si="12"/>
        <v>100</v>
      </c>
      <c r="T34" s="714" t="s">
        <v>17</v>
      </c>
      <c r="U34" s="715">
        <f t="shared" si="13"/>
        <v>100</v>
      </c>
      <c r="V34" s="714" t="s">
        <v>17</v>
      </c>
      <c r="W34" s="715">
        <f t="shared" si="14"/>
        <v>100</v>
      </c>
      <c r="X34" s="1540"/>
      <c r="Y34" s="3376"/>
      <c r="Z34" s="1541" t="str">
        <f t="shared" si="15"/>
        <v>建筑结构</v>
      </c>
      <c r="AA34" s="1538">
        <f t="shared" si="3"/>
        <v>1</v>
      </c>
      <c r="AB34" s="1538">
        <f t="shared" si="4"/>
        <v>1</v>
      </c>
      <c r="AC34" s="1538">
        <f t="shared" si="5"/>
        <v>1</v>
      </c>
    </row>
    <row r="35" spans="1:29" ht="15">
      <c r="A35" s="431"/>
      <c r="B35" s="381" t="s">
        <v>2479</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74"/>
      <c r="Q35" s="1537" t="str">
        <f t="shared" si="11"/>
        <v>公共部分装修</v>
      </c>
      <c r="R35" s="714" t="s">
        <v>17</v>
      </c>
      <c r="S35" s="715">
        <f t="shared" si="12"/>
        <v>100</v>
      </c>
      <c r="T35" s="714" t="s">
        <v>17</v>
      </c>
      <c r="U35" s="715">
        <f t="shared" si="13"/>
        <v>100</v>
      </c>
      <c r="V35" s="714" t="s">
        <v>17</v>
      </c>
      <c r="W35" s="715">
        <f t="shared" si="14"/>
        <v>100</v>
      </c>
      <c r="X35" s="1540"/>
      <c r="Y35" s="3376"/>
      <c r="Z35" s="1541" t="str">
        <f t="shared" si="15"/>
        <v>公共部分装修</v>
      </c>
      <c r="AA35" s="1538">
        <f t="shared" si="3"/>
        <v>1</v>
      </c>
      <c r="AB35" s="1538">
        <f t="shared" si="4"/>
        <v>1</v>
      </c>
      <c r="AC35" s="1538">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74"/>
      <c r="Q36" s="1537" t="str">
        <f t="shared" si="11"/>
        <v>成新度</v>
      </c>
      <c r="R36" s="714" t="s">
        <v>17</v>
      </c>
      <c r="S36" s="715" t="e">
        <f t="shared" si="12"/>
        <v>#N/A</v>
      </c>
      <c r="T36" s="714" t="s">
        <v>17</v>
      </c>
      <c r="U36" s="715" t="e">
        <f t="shared" si="13"/>
        <v>#N/A</v>
      </c>
      <c r="V36" s="714" t="s">
        <v>17</v>
      </c>
      <c r="W36" s="715" t="e">
        <f t="shared" si="14"/>
        <v>#N/A</v>
      </c>
      <c r="X36" s="1540"/>
      <c r="Y36" s="3376"/>
      <c r="Z36" s="1541" t="str">
        <f t="shared" si="15"/>
        <v>成新度</v>
      </c>
      <c r="AA36" s="1538" t="e">
        <f t="shared" si="3"/>
        <v>#N/A</v>
      </c>
      <c r="AB36" s="1538" t="e">
        <f t="shared" si="4"/>
        <v>#N/A</v>
      </c>
      <c r="AC36" s="1538" t="e">
        <f t="shared" si="5"/>
        <v>#N/A</v>
      </c>
    </row>
    <row r="37" spans="1:29" s="113" customFormat="1" ht="15">
      <c r="A37" s="432"/>
      <c r="B37" s="381" t="s">
        <v>2481</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74"/>
      <c r="Q37" s="1528" t="str">
        <f t="shared" si="11"/>
        <v>市政基础设施</v>
      </c>
      <c r="R37" s="710" t="s">
        <v>17</v>
      </c>
      <c r="S37" s="711">
        <f t="shared" si="12"/>
        <v>100</v>
      </c>
      <c r="T37" s="710" t="s">
        <v>17</v>
      </c>
      <c r="U37" s="711">
        <f t="shared" si="13"/>
        <v>100</v>
      </c>
      <c r="V37" s="710" t="s">
        <v>17</v>
      </c>
      <c r="W37" s="711">
        <f t="shared" si="14"/>
        <v>100</v>
      </c>
      <c r="X37" s="712"/>
      <c r="Y37" s="3376"/>
      <c r="Z37" s="55" t="str">
        <f t="shared" si="15"/>
        <v>市政基础设施</v>
      </c>
      <c r="AA37" s="713">
        <f t="shared" si="3"/>
        <v>1</v>
      </c>
      <c r="AB37" s="713">
        <f t="shared" si="4"/>
        <v>1</v>
      </c>
      <c r="AC37" s="713">
        <f t="shared" si="5"/>
        <v>1</v>
      </c>
    </row>
    <row r="38" spans="1:29" ht="15">
      <c r="A38" s="431"/>
      <c r="B38" s="381" t="s">
        <v>2482</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74" t="s">
        <v>2383</v>
      </c>
      <c r="Q38" s="1537" t="str">
        <f t="shared" si="11"/>
        <v>业态</v>
      </c>
      <c r="R38" s="714" t="s">
        <v>17</v>
      </c>
      <c r="S38" s="715">
        <f t="shared" si="12"/>
        <v>100</v>
      </c>
      <c r="T38" s="714" t="s">
        <v>17</v>
      </c>
      <c r="U38" s="715">
        <f t="shared" si="13"/>
        <v>100</v>
      </c>
      <c r="V38" s="714" t="s">
        <v>17</v>
      </c>
      <c r="W38" s="715">
        <f t="shared" si="14"/>
        <v>100</v>
      </c>
      <c r="X38" s="1540"/>
      <c r="Y38" s="3376" t="s">
        <v>2383</v>
      </c>
      <c r="Z38" s="1541" t="str">
        <f t="shared" si="15"/>
        <v>业态</v>
      </c>
      <c r="AA38" s="1538">
        <f t="shared" si="3"/>
        <v>1</v>
      </c>
      <c r="AB38" s="1538">
        <f t="shared" si="4"/>
        <v>1</v>
      </c>
      <c r="AC38" s="1538">
        <f t="shared" si="5"/>
        <v>1</v>
      </c>
    </row>
    <row r="39" spans="1:29" ht="15">
      <c r="A39" s="431"/>
      <c r="B39" s="381" t="s">
        <v>2483</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74"/>
      <c r="Q39" s="1537" t="str">
        <f t="shared" si="11"/>
        <v>层高</v>
      </c>
      <c r="R39" s="714" t="s">
        <v>17</v>
      </c>
      <c r="S39" s="715">
        <f t="shared" si="12"/>
        <v>100</v>
      </c>
      <c r="T39" s="714" t="s">
        <v>17</v>
      </c>
      <c r="U39" s="715">
        <f t="shared" si="13"/>
        <v>100</v>
      </c>
      <c r="V39" s="714" t="s">
        <v>17</v>
      </c>
      <c r="W39" s="715">
        <f t="shared" si="14"/>
        <v>100</v>
      </c>
      <c r="X39" s="1540"/>
      <c r="Y39" s="3376"/>
      <c r="Z39" s="1541" t="str">
        <f t="shared" si="15"/>
        <v>层高</v>
      </c>
      <c r="AA39" s="1538">
        <f t="shared" si="3"/>
        <v>1</v>
      </c>
      <c r="AB39" s="1538">
        <f t="shared" si="4"/>
        <v>1</v>
      </c>
      <c r="AC39" s="1538">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74"/>
      <c r="Q40" s="1537" t="str">
        <f t="shared" si="11"/>
        <v>单套建筑面积</v>
      </c>
      <c r="R40" s="714" t="s">
        <v>17</v>
      </c>
      <c r="S40" s="715">
        <f t="shared" si="12"/>
        <v>100</v>
      </c>
      <c r="T40" s="714" t="s">
        <v>17</v>
      </c>
      <c r="U40" s="715">
        <f t="shared" si="13"/>
        <v>100</v>
      </c>
      <c r="V40" s="714" t="s">
        <v>17</v>
      </c>
      <c r="W40" s="715">
        <f t="shared" si="14"/>
        <v>100</v>
      </c>
      <c r="X40" s="1540"/>
      <c r="Y40" s="3376"/>
      <c r="Z40" s="1541" t="str">
        <f t="shared" si="15"/>
        <v>单套建筑面积</v>
      </c>
      <c r="AA40" s="1538">
        <f t="shared" si="3"/>
        <v>1</v>
      </c>
      <c r="AB40" s="1538">
        <f t="shared" si="4"/>
        <v>1</v>
      </c>
      <c r="AC40" s="1538">
        <f t="shared" si="5"/>
        <v>1</v>
      </c>
    </row>
    <row r="41" spans="1:29" s="430" customFormat="1" ht="15">
      <c r="A41" s="427"/>
      <c r="B41" s="1539"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74"/>
      <c r="Q41" s="716" t="str">
        <f t="shared" si="11"/>
        <v>进深比</v>
      </c>
      <c r="R41" s="717" t="s">
        <v>17</v>
      </c>
      <c r="S41" s="718">
        <f t="shared" si="12"/>
        <v>100</v>
      </c>
      <c r="T41" s="717" t="s">
        <v>17</v>
      </c>
      <c r="U41" s="718">
        <f t="shared" si="13"/>
        <v>100</v>
      </c>
      <c r="V41" s="717" t="s">
        <v>17</v>
      </c>
      <c r="W41" s="718">
        <f t="shared" si="14"/>
        <v>100</v>
      </c>
      <c r="X41" s="719"/>
      <c r="Y41" s="3376"/>
      <c r="Z41" s="720" t="str">
        <f t="shared" si="15"/>
        <v>进深比</v>
      </c>
      <c r="AA41" s="1538">
        <f t="shared" si="3"/>
        <v>1</v>
      </c>
      <c r="AB41" s="1538">
        <f t="shared" si="4"/>
        <v>1</v>
      </c>
      <c r="AC41" s="1538">
        <f t="shared" si="5"/>
        <v>1</v>
      </c>
    </row>
    <row r="42" spans="1:29" ht="15">
      <c r="A42" s="431"/>
      <c r="B42" s="381" t="s">
        <v>2486</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74"/>
      <c r="Q42" s="1537" t="str">
        <f t="shared" si="11"/>
        <v>内部装修</v>
      </c>
      <c r="R42" s="714" t="s">
        <v>17</v>
      </c>
      <c r="S42" s="715">
        <f t="shared" si="12"/>
        <v>100</v>
      </c>
      <c r="T42" s="714" t="s">
        <v>17</v>
      </c>
      <c r="U42" s="715">
        <f t="shared" si="13"/>
        <v>100</v>
      </c>
      <c r="V42" s="714" t="s">
        <v>17</v>
      </c>
      <c r="W42" s="715">
        <f t="shared" si="14"/>
        <v>100</v>
      </c>
      <c r="X42" s="1540"/>
      <c r="Y42" s="3376"/>
      <c r="Z42" s="1541" t="str">
        <f t="shared" si="15"/>
        <v>内部装修</v>
      </c>
      <c r="AA42" s="1538">
        <f t="shared" si="3"/>
        <v>1</v>
      </c>
      <c r="AB42" s="1538">
        <f t="shared" si="4"/>
        <v>1</v>
      </c>
      <c r="AC42" s="1538">
        <f t="shared" si="5"/>
        <v>1</v>
      </c>
    </row>
    <row r="43" spans="1:29" ht="15">
      <c r="A43" s="431"/>
      <c r="B43" s="381" t="s">
        <v>2394</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74"/>
      <c r="Q43" s="1537" t="str">
        <f t="shared" si="11"/>
        <v>内部装修维护情况</v>
      </c>
      <c r="R43" s="714" t="s">
        <v>17</v>
      </c>
      <c r="S43" s="715">
        <f t="shared" si="12"/>
        <v>100</v>
      </c>
      <c r="T43" s="714" t="s">
        <v>17</v>
      </c>
      <c r="U43" s="715">
        <f t="shared" si="13"/>
        <v>100</v>
      </c>
      <c r="V43" s="714" t="s">
        <v>17</v>
      </c>
      <c r="W43" s="715">
        <f t="shared" si="14"/>
        <v>100</v>
      </c>
      <c r="X43" s="1540"/>
      <c r="Y43" s="3376"/>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74"/>
      <c r="Q44" s="1528">
        <f t="shared" si="11"/>
        <v>111</v>
      </c>
      <c r="R44" s="710" t="s">
        <v>17</v>
      </c>
      <c r="S44" s="711">
        <f t="shared" si="12"/>
        <v>100</v>
      </c>
      <c r="T44" s="710" t="s">
        <v>17</v>
      </c>
      <c r="U44" s="711">
        <f t="shared" si="13"/>
        <v>100</v>
      </c>
      <c r="V44" s="710" t="s">
        <v>17</v>
      </c>
      <c r="W44" s="711">
        <f t="shared" si="14"/>
        <v>100</v>
      </c>
      <c r="X44" s="712"/>
      <c r="Y44" s="3376"/>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74"/>
      <c r="Q45" s="1537">
        <f t="shared" si="11"/>
        <v>111</v>
      </c>
      <c r="R45" s="714" t="s">
        <v>17</v>
      </c>
      <c r="S45" s="715">
        <f t="shared" si="12"/>
        <v>100</v>
      </c>
      <c r="T45" s="714" t="s">
        <v>17</v>
      </c>
      <c r="U45" s="715">
        <f t="shared" si="13"/>
        <v>100</v>
      </c>
      <c r="V45" s="714" t="s">
        <v>17</v>
      </c>
      <c r="W45" s="715">
        <f t="shared" si="14"/>
        <v>100</v>
      </c>
      <c r="X45" s="1540"/>
      <c r="Y45" s="3376"/>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5"/>
      <c r="Q46" s="1537">
        <f t="shared" si="11"/>
        <v>111</v>
      </c>
      <c r="R46" s="714" t="s">
        <v>17</v>
      </c>
      <c r="S46" s="715">
        <f t="shared" si="12"/>
        <v>100</v>
      </c>
      <c r="T46" s="714" t="s">
        <v>17</v>
      </c>
      <c r="U46" s="715">
        <f t="shared" si="13"/>
        <v>100</v>
      </c>
      <c r="V46" s="714" t="s">
        <v>17</v>
      </c>
      <c r="W46" s="715">
        <f t="shared" si="14"/>
        <v>100</v>
      </c>
      <c r="X46" s="1540"/>
      <c r="Y46" s="3377"/>
      <c r="Z46" s="1541">
        <f t="shared" si="15"/>
        <v>111</v>
      </c>
      <c r="AA46" s="1538">
        <f t="shared" si="3"/>
        <v>1</v>
      </c>
      <c r="AB46" s="1538">
        <f t="shared" si="4"/>
        <v>1</v>
      </c>
      <c r="AC46" s="1538">
        <f t="shared" si="5"/>
        <v>1</v>
      </c>
    </row>
    <row r="47" spans="1:29" ht="15">
      <c r="A47" s="438" t="s">
        <v>2395</v>
      </c>
      <c r="B47" s="439"/>
      <c r="C47" s="1315" t="s">
        <v>1</v>
      </c>
      <c r="D47" s="1316"/>
      <c r="E47" s="1317"/>
      <c r="F47" s="1318"/>
      <c r="G47" s="1319"/>
      <c r="H47" s="1320"/>
      <c r="I47" s="1317"/>
      <c r="J47" s="1320"/>
      <c r="K47" s="723"/>
      <c r="L47" s="2954"/>
      <c r="M47" s="2955"/>
      <c r="N47" s="2946"/>
      <c r="O47" s="2955"/>
      <c r="P47" s="3369" t="str">
        <f>A47</f>
        <v>成交单价（元/平方米）</v>
      </c>
      <c r="Q47" s="3369"/>
      <c r="R47" s="3364">
        <f>E47</f>
        <v>0</v>
      </c>
      <c r="S47" s="3364"/>
      <c r="T47" s="3364">
        <f>G47</f>
        <v>0</v>
      </c>
      <c r="U47" s="3364"/>
      <c r="V47" s="3364">
        <f>I47</f>
        <v>0</v>
      </c>
      <c r="W47" s="3364"/>
      <c r="X47" s="699"/>
      <c r="Y47" s="721"/>
      <c r="Z47" s="699"/>
      <c r="AA47" s="699"/>
      <c r="AB47" s="699"/>
      <c r="AC47" s="699"/>
    </row>
    <row r="48" spans="1:29" ht="15.75" thickBot="1">
      <c r="A48" s="445" t="s">
        <v>2487</v>
      </c>
      <c r="B48" s="446"/>
      <c r="C48" s="1321" t="e">
        <f>R49</f>
        <v>#DIV/0!</v>
      </c>
      <c r="D48" s="2539" t="s">
        <v>2876</v>
      </c>
      <c r="E48" s="1322" t="e">
        <f>R48</f>
        <v>#DIV/0!</v>
      </c>
      <c r="F48" s="2540"/>
      <c r="G48" s="1321" t="e">
        <f>T48</f>
        <v>#DIV/0!</v>
      </c>
      <c r="H48" s="2540"/>
      <c r="I48" s="1322" t="e">
        <f>V48</f>
        <v>#DIV/0!</v>
      </c>
      <c r="J48" s="2540"/>
      <c r="K48" s="2542">
        <f>F48+H48+J48</f>
        <v>0</v>
      </c>
      <c r="L48" s="2954"/>
      <c r="M48" s="2955"/>
      <c r="N48" s="2946"/>
      <c r="O48" s="2955"/>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9"/>
      <c r="Y48" s="699"/>
      <c r="Z48" s="699"/>
      <c r="AA48" s="699"/>
      <c r="AB48" s="699"/>
      <c r="AC48" s="699"/>
    </row>
    <row r="49" spans="1:29" ht="15.75" thickBot="1">
      <c r="A49" s="449" t="s">
        <v>2488</v>
      </c>
      <c r="B49" s="450"/>
      <c r="C49" s="1324" t="e">
        <f>R49</f>
        <v>#DIV/0!</v>
      </c>
      <c r="D49" s="1324"/>
      <c r="E49" s="1324"/>
      <c r="F49" s="1324"/>
      <c r="G49" s="1324"/>
      <c r="H49" s="1324"/>
      <c r="I49" s="1324"/>
      <c r="J49" s="1324"/>
      <c r="K49" s="724"/>
      <c r="L49" s="2954"/>
      <c r="M49" s="2955"/>
      <c r="N49" s="2946"/>
      <c r="O49" s="2955"/>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2492</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2366</v>
      </c>
      <c r="B58" s="463"/>
      <c r="C58" s="1345" t="str">
        <f>YEAR(C7)&amp;"-"&amp;MONTH(C7)</f>
        <v>2021-1</v>
      </c>
      <c r="D58" s="1346">
        <f>EDATE(C58,-1)</f>
        <v>44166</v>
      </c>
      <c r="E58" s="1346">
        <f t="shared" ref="E58:N58" si="16">EDATE(D58,-1)</f>
        <v>44136</v>
      </c>
      <c r="F58" s="1346">
        <f t="shared" si="16"/>
        <v>44105</v>
      </c>
      <c r="G58" s="1346">
        <f t="shared" si="16"/>
        <v>44075</v>
      </c>
      <c r="H58" s="1346">
        <f t="shared" si="16"/>
        <v>44044</v>
      </c>
      <c r="I58" s="1346">
        <f t="shared" si="16"/>
        <v>44013</v>
      </c>
      <c r="J58" s="1346">
        <f t="shared" si="16"/>
        <v>43983</v>
      </c>
      <c r="K58" s="1346">
        <f t="shared" si="16"/>
        <v>43952</v>
      </c>
      <c r="L58" s="1346">
        <f t="shared" si="16"/>
        <v>43922</v>
      </c>
      <c r="M58" s="1346">
        <f t="shared" si="16"/>
        <v>43891</v>
      </c>
      <c r="N58" s="1346">
        <f t="shared" si="16"/>
        <v>43862</v>
      </c>
      <c r="O58" s="1346">
        <f>EDATE(N58,-1)</f>
        <v>43831</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2403</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2368</v>
      </c>
      <c r="B61" s="467"/>
      <c r="C61" s="479" t="s">
        <v>2470</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2406</v>
      </c>
      <c r="B63" s="485" t="s">
        <v>2372</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2377</v>
      </c>
      <c r="B76" s="485" t="s">
        <v>2414</v>
      </c>
      <c r="C76" s="530" t="s">
        <v>2415</v>
      </c>
      <c r="D76" s="530" t="s">
        <v>2416</v>
      </c>
      <c r="E76" s="530" t="s">
        <v>2417</v>
      </c>
      <c r="F76" s="530" t="s">
        <v>2418</v>
      </c>
      <c r="G76" s="530" t="s">
        <v>2419</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2420</v>
      </c>
      <c r="C78" s="535" t="s">
        <v>2415</v>
      </c>
      <c r="D78" s="535" t="s">
        <v>2416</v>
      </c>
      <c r="E78" s="535" t="s">
        <v>2417</v>
      </c>
      <c r="F78" s="535" t="s">
        <v>2418</v>
      </c>
      <c r="G78" s="535" t="s">
        <v>2419</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2421</v>
      </c>
      <c r="C80" s="535" t="s">
        <v>2415</v>
      </c>
      <c r="D80" s="535" t="s">
        <v>2416</v>
      </c>
      <c r="E80" s="535" t="s">
        <v>2417</v>
      </c>
      <c r="F80" s="535" t="s">
        <v>2418</v>
      </c>
      <c r="G80" s="535" t="s">
        <v>2419</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2473</v>
      </c>
      <c r="C82" s="616" t="s">
        <v>2493</v>
      </c>
      <c r="D82" s="616" t="s">
        <v>2494</v>
      </c>
      <c r="E82" s="616" t="s">
        <v>2495</v>
      </c>
      <c r="F82" s="616" t="s">
        <v>2496</v>
      </c>
      <c r="G82" s="616" t="s">
        <v>2497</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2427</v>
      </c>
      <c r="C84" s="535" t="s">
        <v>2415</v>
      </c>
      <c r="D84" s="535" t="s">
        <v>2416</v>
      </c>
      <c r="E84" s="535" t="s">
        <v>2417</v>
      </c>
      <c r="F84" s="535" t="s">
        <v>2418</v>
      </c>
      <c r="G84" s="535" t="s">
        <v>2419</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2498</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2381</v>
      </c>
      <c r="B100" s="485" t="s">
        <v>2499</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2432</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2434</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2436</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2500</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2501</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2502</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2503</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2438</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4" t="s">
        <v>2504</v>
      </c>
      <c r="C1" s="1391" t="s">
        <v>2348</v>
      </c>
      <c r="D1" s="1392"/>
      <c r="E1" s="1401"/>
      <c r="F1" s="2066"/>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2145</v>
      </c>
      <c r="B2" s="1325" t="e">
        <f ca="1">IF(C2="——",ROUND(C50*D3/10000,0),ROUND(C50*D3/10000,0)-D2)</f>
        <v>#DIV/0!</v>
      </c>
      <c r="C2" s="2068"/>
      <c r="D2" s="1274" t="e">
        <f ca="1">SUMIF(INDIRECT("'"&amp;F2&amp;"'"&amp;"!A:A"),"承租人权益价值",INDIRECT("'"&amp;F2&amp;"'"&amp;"!c:c"))</f>
        <v>#REF!</v>
      </c>
      <c r="E2" s="2069" t="s">
        <v>2146</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240.41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2463</v>
      </c>
      <c r="B4" s="362"/>
      <c r="C4" s="3352" t="s">
        <v>2464</v>
      </c>
      <c r="D4" s="3353"/>
      <c r="E4" s="3354" t="s">
        <v>2465</v>
      </c>
      <c r="F4" s="3355"/>
      <c r="G4" s="3352" t="s">
        <v>2466</v>
      </c>
      <c r="H4" s="3353"/>
      <c r="I4" s="3352" t="s">
        <v>2467</v>
      </c>
      <c r="J4" s="3353"/>
      <c r="K4" s="567" t="s">
        <v>2468</v>
      </c>
      <c r="L4" s="2945"/>
      <c r="M4" s="2946"/>
      <c r="N4" s="2946"/>
      <c r="O4" s="2946"/>
      <c r="P4" s="3386" t="s">
        <v>2469</v>
      </c>
      <c r="Q4" s="3387"/>
      <c r="R4" s="3381" t="s">
        <v>2465</v>
      </c>
      <c r="S4" s="3382"/>
      <c r="T4" s="3381" t="s">
        <v>2466</v>
      </c>
      <c r="U4" s="3382"/>
      <c r="V4" s="3390" t="s">
        <v>2467</v>
      </c>
      <c r="W4" s="3390"/>
      <c r="X4" s="2145"/>
      <c r="Y4" s="3381" t="s">
        <v>2469</v>
      </c>
      <c r="Z4" s="3382"/>
      <c r="AA4" s="3380" t="s">
        <v>2465</v>
      </c>
      <c r="AB4" s="3380" t="s">
        <v>2466</v>
      </c>
      <c r="AC4" s="3383" t="s">
        <v>2467</v>
      </c>
    </row>
    <row r="5" spans="1:29" ht="15">
      <c r="A5" s="364"/>
      <c r="B5" s="365"/>
      <c r="C5" s="3345" t="s">
        <v>2360</v>
      </c>
      <c r="D5" s="3346"/>
      <c r="E5" s="3343" t="s">
        <v>2361</v>
      </c>
      <c r="F5" s="3344"/>
      <c r="G5" s="3345" t="s">
        <v>2362</v>
      </c>
      <c r="H5" s="3346"/>
      <c r="I5" s="3345" t="s">
        <v>2363</v>
      </c>
      <c r="J5" s="3346"/>
      <c r="K5" s="567"/>
      <c r="L5" s="2945"/>
      <c r="M5" s="2946"/>
      <c r="N5" s="2946"/>
      <c r="O5" s="2946"/>
      <c r="P5" s="3388"/>
      <c r="Q5" s="3359"/>
      <c r="R5" s="3341"/>
      <c r="S5" s="3342"/>
      <c r="T5" s="3341"/>
      <c r="U5" s="3342"/>
      <c r="V5" s="3364"/>
      <c r="W5" s="3364"/>
      <c r="X5" s="1540"/>
      <c r="Y5" s="3341"/>
      <c r="Z5" s="3342"/>
      <c r="AA5" s="3335"/>
      <c r="AB5" s="3335"/>
      <c r="AC5" s="3384"/>
    </row>
    <row r="6" spans="1:29" ht="15.75" thickBot="1">
      <c r="A6" s="366"/>
      <c r="B6" s="367"/>
      <c r="C6" s="3347" t="s">
        <v>2364</v>
      </c>
      <c r="D6" s="3348"/>
      <c r="E6" s="3349" t="s">
        <v>2364</v>
      </c>
      <c r="F6" s="3350"/>
      <c r="G6" s="3347" t="s">
        <v>2364</v>
      </c>
      <c r="H6" s="3348"/>
      <c r="I6" s="3347" t="s">
        <v>2364</v>
      </c>
      <c r="J6" s="3348"/>
      <c r="K6" s="567" t="s">
        <v>2365</v>
      </c>
      <c r="L6" s="2945"/>
      <c r="M6" s="2946"/>
      <c r="N6" s="2946"/>
      <c r="O6" s="2946"/>
      <c r="P6" s="3389"/>
      <c r="Q6" s="3361"/>
      <c r="R6" s="3341"/>
      <c r="S6" s="3342"/>
      <c r="T6" s="3362"/>
      <c r="U6" s="3363"/>
      <c r="V6" s="3364"/>
      <c r="W6" s="3364"/>
      <c r="X6" s="1540"/>
      <c r="Y6" s="3362"/>
      <c r="Z6" s="3363"/>
      <c r="AA6" s="3336"/>
      <c r="AB6" s="3336"/>
      <c r="AC6" s="3385"/>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91" t="s">
        <v>2367</v>
      </c>
      <c r="Q7" s="3365"/>
      <c r="R7" s="710" t="s">
        <v>17</v>
      </c>
      <c r="S7" s="711">
        <f t="shared" ref="S7:S15" si="0">F7</f>
        <v>0</v>
      </c>
      <c r="T7" s="710" t="s">
        <v>17</v>
      </c>
      <c r="U7" s="711">
        <f t="shared" ref="U7:U15" si="1">H7</f>
        <v>0</v>
      </c>
      <c r="V7" s="710" t="s">
        <v>17</v>
      </c>
      <c r="W7" s="711">
        <f t="shared" ref="W7:W15" si="2">J7</f>
        <v>0</v>
      </c>
      <c r="X7" s="712"/>
      <c r="Y7" s="3337" t="s">
        <v>2367</v>
      </c>
      <c r="Z7" s="3338"/>
      <c r="AA7" s="713" t="e">
        <f>D7/F7</f>
        <v>#DIV/0!</v>
      </c>
      <c r="AB7" s="713" t="e">
        <f>D7/H7</f>
        <v>#DIV/0!</v>
      </c>
      <c r="AC7" s="2146"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91" t="s">
        <v>2370</v>
      </c>
      <c r="Q8" s="3338"/>
      <c r="R8" s="710" t="s">
        <v>17</v>
      </c>
      <c r="S8" s="711">
        <f t="shared" si="0"/>
        <v>0</v>
      </c>
      <c r="T8" s="710" t="s">
        <v>17</v>
      </c>
      <c r="U8" s="711">
        <f t="shared" si="1"/>
        <v>0</v>
      </c>
      <c r="V8" s="710" t="s">
        <v>17</v>
      </c>
      <c r="W8" s="711">
        <f t="shared" si="2"/>
        <v>0</v>
      </c>
      <c r="X8" s="712"/>
      <c r="Y8" s="3337" t="s">
        <v>2370</v>
      </c>
      <c r="Z8" s="3338"/>
      <c r="AA8" s="713" t="e">
        <f t="shared" ref="AA8:AA47" si="3">D8/F8</f>
        <v>#DIV/0!</v>
      </c>
      <c r="AB8" s="713" t="e">
        <f t="shared" ref="AB8:AB47" si="4">D8/H8</f>
        <v>#DIV/0!</v>
      </c>
      <c r="AC8" s="2146"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51"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2146">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51"/>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46">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51"/>
      <c r="Q11" s="1528"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51"/>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51"/>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51"/>
      <c r="Q14" s="1528">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46">
        <f t="shared" si="5"/>
        <v>1</v>
      </c>
    </row>
    <row r="15" spans="1:29" ht="71.25">
      <c r="A15" s="399" t="s">
        <v>2377</v>
      </c>
      <c r="B15" s="585" t="s">
        <v>2505</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78" t="s">
        <v>2378</v>
      </c>
      <c r="Q15" s="1537" t="str">
        <f t="shared" si="6"/>
        <v>办公集聚程度</v>
      </c>
      <c r="R15" s="714" t="s">
        <v>17</v>
      </c>
      <c r="S15" s="715">
        <f t="shared" si="0"/>
        <v>100</v>
      </c>
      <c r="T15" s="714" t="s">
        <v>17</v>
      </c>
      <c r="U15" s="715">
        <f t="shared" si="1"/>
        <v>100</v>
      </c>
      <c r="V15" s="714" t="s">
        <v>17</v>
      </c>
      <c r="W15" s="715">
        <f t="shared" si="2"/>
        <v>100</v>
      </c>
      <c r="X15" s="1540"/>
      <c r="Y15" s="3371" t="s">
        <v>2378</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79"/>
      <c r="Q16" s="1537"/>
      <c r="R16" s="714"/>
      <c r="S16" s="715"/>
      <c r="T16" s="714"/>
      <c r="U16" s="715"/>
      <c r="V16" s="714"/>
      <c r="W16" s="715"/>
      <c r="X16" s="1540"/>
      <c r="Y16" s="3372"/>
      <c r="Z16" s="1541"/>
      <c r="AA16" s="1538">
        <v>1</v>
      </c>
      <c r="AB16" s="1538">
        <v>1</v>
      </c>
      <c r="AC16" s="2149">
        <v>1</v>
      </c>
    </row>
    <row r="17" spans="1:29" ht="71.25">
      <c r="A17" s="387"/>
      <c r="B17" s="587" t="s">
        <v>1942</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79"/>
      <c r="Q17" s="1537" t="str">
        <f>B17</f>
        <v>交通便捷度</v>
      </c>
      <c r="R17" s="714" t="s">
        <v>17</v>
      </c>
      <c r="S17" s="715">
        <f>F17</f>
        <v>100</v>
      </c>
      <c r="T17" s="714" t="s">
        <v>17</v>
      </c>
      <c r="U17" s="715">
        <f>H17</f>
        <v>100</v>
      </c>
      <c r="V17" s="714" t="s">
        <v>17</v>
      </c>
      <c r="W17" s="715">
        <f>J17</f>
        <v>100</v>
      </c>
      <c r="X17" s="1540"/>
      <c r="Y17" s="3372"/>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79"/>
      <c r="Q18" s="1537"/>
      <c r="R18" s="714"/>
      <c r="S18" s="715"/>
      <c r="T18" s="714"/>
      <c r="U18" s="715"/>
      <c r="V18" s="714"/>
      <c r="W18" s="715"/>
      <c r="X18" s="1540"/>
      <c r="Y18" s="3372"/>
      <c r="Z18" s="1541"/>
      <c r="AA18" s="1538">
        <v>1</v>
      </c>
      <c r="AB18" s="1538">
        <v>1</v>
      </c>
      <c r="AC18" s="2149">
        <v>1</v>
      </c>
    </row>
    <row r="19" spans="1:29" ht="42.75">
      <c r="A19" s="387"/>
      <c r="B19" s="587" t="s">
        <v>2506</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79"/>
      <c r="Q19" s="1537" t="str">
        <f>B19</f>
        <v>公共配套设施</v>
      </c>
      <c r="R19" s="714" t="s">
        <v>17</v>
      </c>
      <c r="S19" s="715">
        <f>F19</f>
        <v>100</v>
      </c>
      <c r="T19" s="714" t="s">
        <v>17</v>
      </c>
      <c r="U19" s="715">
        <f>H19</f>
        <v>100</v>
      </c>
      <c r="V19" s="714" t="s">
        <v>17</v>
      </c>
      <c r="W19" s="715">
        <f>J19</f>
        <v>100</v>
      </c>
      <c r="X19" s="1540"/>
      <c r="Y19" s="3372"/>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79"/>
      <c r="Q20" s="1537"/>
      <c r="R20" s="714"/>
      <c r="S20" s="715"/>
      <c r="T20" s="714"/>
      <c r="U20" s="715"/>
      <c r="V20" s="714"/>
      <c r="W20" s="715"/>
      <c r="X20" s="1540"/>
      <c r="Y20" s="3372"/>
      <c r="Z20" s="1541"/>
      <c r="AA20" s="1538">
        <v>1</v>
      </c>
      <c r="AB20" s="1538">
        <v>1</v>
      </c>
      <c r="AC20" s="2149">
        <v>1</v>
      </c>
    </row>
    <row r="21" spans="1:29" ht="28.5">
      <c r="A21" s="387"/>
      <c r="B21" s="589" t="s">
        <v>2507</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79"/>
      <c r="Q21" s="1537" t="str">
        <f>B21</f>
        <v>基础设施水平</v>
      </c>
      <c r="R21" s="714" t="s">
        <v>17</v>
      </c>
      <c r="S21" s="715">
        <f>F21</f>
        <v>100</v>
      </c>
      <c r="T21" s="714" t="s">
        <v>17</v>
      </c>
      <c r="U21" s="715">
        <f>H21</f>
        <v>100</v>
      </c>
      <c r="V21" s="714" t="s">
        <v>17</v>
      </c>
      <c r="W21" s="715">
        <f>J21</f>
        <v>100</v>
      </c>
      <c r="X21" s="1540"/>
      <c r="Y21" s="3372"/>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1"/>
      <c r="L22" s="2952"/>
      <c r="M22" s="2946"/>
      <c r="N22" s="2946"/>
      <c r="O22" s="2946"/>
      <c r="P22" s="3379"/>
      <c r="Q22" s="1537"/>
      <c r="R22" s="714"/>
      <c r="S22" s="715"/>
      <c r="T22" s="714"/>
      <c r="U22" s="715"/>
      <c r="V22" s="714"/>
      <c r="W22" s="715"/>
      <c r="X22" s="1540"/>
      <c r="Y22" s="3372"/>
      <c r="Z22" s="1541"/>
      <c r="AA22" s="1538">
        <v>1</v>
      </c>
      <c r="AB22" s="1538">
        <v>1</v>
      </c>
      <c r="AC22" s="2149">
        <v>1</v>
      </c>
    </row>
    <row r="23" spans="1:29" ht="42.75">
      <c r="A23" s="387"/>
      <c r="B23" s="587" t="s">
        <v>2508</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79"/>
      <c r="Q23" s="1537" t="str">
        <f>B23</f>
        <v>环境质量</v>
      </c>
      <c r="R23" s="714" t="s">
        <v>17</v>
      </c>
      <c r="S23" s="715">
        <f>F23</f>
        <v>100</v>
      </c>
      <c r="T23" s="714" t="s">
        <v>17</v>
      </c>
      <c r="U23" s="715">
        <f>H23</f>
        <v>100</v>
      </c>
      <c r="V23" s="714" t="s">
        <v>17</v>
      </c>
      <c r="W23" s="715">
        <f>J23</f>
        <v>100</v>
      </c>
      <c r="X23" s="1540"/>
      <c r="Y23" s="3372"/>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79"/>
      <c r="Q24" s="1537"/>
      <c r="R24" s="714"/>
      <c r="S24" s="715"/>
      <c r="T24" s="714"/>
      <c r="U24" s="715"/>
      <c r="V24" s="714"/>
      <c r="W24" s="715"/>
      <c r="X24" s="1540"/>
      <c r="Y24" s="3372"/>
      <c r="Z24" s="1541"/>
      <c r="AA24" s="1538">
        <v>1</v>
      </c>
      <c r="AB24" s="1538">
        <v>1</v>
      </c>
      <c r="AC24" s="2149">
        <v>1</v>
      </c>
    </row>
    <row r="25" spans="1:29" ht="27">
      <c r="A25" s="364"/>
      <c r="B25" s="587" t="s">
        <v>2509</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79"/>
      <c r="Q25" s="1537" t="str">
        <f>B25</f>
        <v>毗邻道路的类型与等级</v>
      </c>
      <c r="R25" s="714" t="s">
        <v>17</v>
      </c>
      <c r="S25" s="715">
        <f>F25</f>
        <v>100</v>
      </c>
      <c r="T25" s="714" t="s">
        <v>17</v>
      </c>
      <c r="U25" s="715">
        <f>H25</f>
        <v>100</v>
      </c>
      <c r="V25" s="714" t="s">
        <v>17</v>
      </c>
      <c r="W25" s="715">
        <f>J25</f>
        <v>100</v>
      </c>
      <c r="X25" s="1540"/>
      <c r="Y25" s="3372"/>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79"/>
      <c r="Q26" s="1537"/>
      <c r="R26" s="714"/>
      <c r="S26" s="715"/>
      <c r="T26" s="714"/>
      <c r="U26" s="715"/>
      <c r="V26" s="714"/>
      <c r="W26" s="715"/>
      <c r="X26" s="1540"/>
      <c r="Y26" s="3372"/>
      <c r="Z26" s="1541"/>
      <c r="AA26" s="1538">
        <v>1</v>
      </c>
      <c r="AB26" s="1538">
        <v>1</v>
      </c>
      <c r="AC26" s="2149">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79"/>
      <c r="Q27" s="1537" t="str">
        <f t="shared" ref="Q27:Q47" si="11">B27</f>
        <v>楼层</v>
      </c>
      <c r="R27" s="714" t="s">
        <v>17</v>
      </c>
      <c r="S27" s="715">
        <f>F27</f>
        <v>100</v>
      </c>
      <c r="T27" s="714" t="s">
        <v>17</v>
      </c>
      <c r="U27" s="715">
        <f>H27</f>
        <v>100</v>
      </c>
      <c r="V27" s="714" t="s">
        <v>17</v>
      </c>
      <c r="W27" s="715">
        <f>J27</f>
        <v>100</v>
      </c>
      <c r="X27" s="1540"/>
      <c r="Y27" s="3372"/>
      <c r="Z27" s="1541" t="str">
        <f>Q27</f>
        <v>楼层</v>
      </c>
      <c r="AA27" s="1538">
        <f t="shared" si="3"/>
        <v>1</v>
      </c>
      <c r="AB27" s="1538">
        <f t="shared" si="4"/>
        <v>1</v>
      </c>
      <c r="AC27" s="2149">
        <f t="shared" si="5"/>
        <v>1</v>
      </c>
    </row>
    <row r="28" spans="1:29" s="113" customFormat="1" ht="15">
      <c r="A28" s="390"/>
      <c r="B28" s="587" t="s">
        <v>2510</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79"/>
      <c r="Q28" s="1528" t="str">
        <f t="shared" si="11"/>
        <v>朝向</v>
      </c>
      <c r="R28" s="710" t="s">
        <v>17</v>
      </c>
      <c r="S28" s="711">
        <f>F28</f>
        <v>100</v>
      </c>
      <c r="T28" s="710" t="s">
        <v>17</v>
      </c>
      <c r="U28" s="711">
        <f>H28</f>
        <v>100</v>
      </c>
      <c r="V28" s="710" t="s">
        <v>17</v>
      </c>
      <c r="W28" s="711">
        <f>J28</f>
        <v>100</v>
      </c>
      <c r="X28" s="712"/>
      <c r="Y28" s="3372"/>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79"/>
      <c r="Q29" s="1537">
        <f t="shared" si="11"/>
        <v>111</v>
      </c>
      <c r="R29" s="714" t="s">
        <v>17</v>
      </c>
      <c r="S29" s="715">
        <f t="shared" ref="S29:S47" si="12">F29</f>
        <v>100</v>
      </c>
      <c r="T29" s="714" t="s">
        <v>17</v>
      </c>
      <c r="U29" s="715">
        <f t="shared" ref="U29:U47" si="13">H29</f>
        <v>100</v>
      </c>
      <c r="V29" s="714" t="s">
        <v>17</v>
      </c>
      <c r="W29" s="715">
        <f t="shared" ref="W29:W47" si="14">J29</f>
        <v>100</v>
      </c>
      <c r="X29" s="1540"/>
      <c r="Y29" s="3372"/>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79"/>
      <c r="Q30" s="1537">
        <f t="shared" si="11"/>
        <v>111</v>
      </c>
      <c r="R30" s="714" t="s">
        <v>17</v>
      </c>
      <c r="S30" s="715">
        <f t="shared" si="12"/>
        <v>100</v>
      </c>
      <c r="T30" s="714" t="s">
        <v>17</v>
      </c>
      <c r="U30" s="715">
        <f t="shared" si="13"/>
        <v>100</v>
      </c>
      <c r="V30" s="714" t="s">
        <v>17</v>
      </c>
      <c r="W30" s="715">
        <f t="shared" si="14"/>
        <v>100</v>
      </c>
      <c r="X30" s="1540"/>
      <c r="Y30" s="3372"/>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79"/>
      <c r="Q31" s="1537">
        <f t="shared" si="11"/>
        <v>111</v>
      </c>
      <c r="R31" s="714" t="s">
        <v>17</v>
      </c>
      <c r="S31" s="715">
        <f t="shared" si="12"/>
        <v>100</v>
      </c>
      <c r="T31" s="714" t="s">
        <v>17</v>
      </c>
      <c r="U31" s="715">
        <f t="shared" si="13"/>
        <v>100</v>
      </c>
      <c r="V31" s="714" t="s">
        <v>17</v>
      </c>
      <c r="W31" s="715">
        <f t="shared" si="14"/>
        <v>100</v>
      </c>
      <c r="X31" s="1540"/>
      <c r="Y31" s="3372"/>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79"/>
      <c r="Q32" s="1537">
        <f t="shared" si="11"/>
        <v>111</v>
      </c>
      <c r="R32" s="714" t="s">
        <v>17</v>
      </c>
      <c r="S32" s="715">
        <f t="shared" si="12"/>
        <v>100</v>
      </c>
      <c r="T32" s="714" t="s">
        <v>17</v>
      </c>
      <c r="U32" s="715">
        <f t="shared" si="13"/>
        <v>100</v>
      </c>
      <c r="V32" s="714" t="s">
        <v>17</v>
      </c>
      <c r="W32" s="715">
        <f t="shared" si="14"/>
        <v>100</v>
      </c>
      <c r="X32" s="1540"/>
      <c r="Y32" s="3372"/>
      <c r="Z32" s="1541">
        <f t="shared" si="15"/>
        <v>111</v>
      </c>
      <c r="AA32" s="1538">
        <f t="shared" si="3"/>
        <v>1</v>
      </c>
      <c r="AB32" s="1538">
        <f t="shared" si="4"/>
        <v>1</v>
      </c>
      <c r="AC32" s="2149">
        <f t="shared" si="5"/>
        <v>1</v>
      </c>
    </row>
    <row r="33" spans="1:29" ht="15">
      <c r="A33" s="399" t="s">
        <v>2381</v>
      </c>
      <c r="B33" s="67" t="s">
        <v>2511</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73" t="s">
        <v>2383</v>
      </c>
      <c r="Q33" s="1537" t="str">
        <f t="shared" si="11"/>
        <v>建筑类型</v>
      </c>
      <c r="R33" s="714" t="s">
        <v>17</v>
      </c>
      <c r="S33" s="715">
        <f t="shared" si="12"/>
        <v>100</v>
      </c>
      <c r="T33" s="714" t="s">
        <v>17</v>
      </c>
      <c r="U33" s="715">
        <f t="shared" si="13"/>
        <v>100</v>
      </c>
      <c r="V33" s="714" t="s">
        <v>17</v>
      </c>
      <c r="W33" s="715">
        <f t="shared" si="14"/>
        <v>100</v>
      </c>
      <c r="X33" s="1540"/>
      <c r="Y33" s="3376" t="s">
        <v>2383</v>
      </c>
      <c r="Z33" s="1541" t="str">
        <f t="shared" si="15"/>
        <v>建筑类型</v>
      </c>
      <c r="AA33" s="1538">
        <f t="shared" si="3"/>
        <v>1</v>
      </c>
      <c r="AB33" s="1538">
        <f t="shared" si="4"/>
        <v>1</v>
      </c>
      <c r="AC33" s="2149">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74"/>
      <c r="Q34" s="716" t="str">
        <f t="shared" si="11"/>
        <v>项目建筑规模</v>
      </c>
      <c r="R34" s="717" t="s">
        <v>17</v>
      </c>
      <c r="S34" s="718" t="e">
        <f t="shared" si="12"/>
        <v>#N/A</v>
      </c>
      <c r="T34" s="717" t="s">
        <v>17</v>
      </c>
      <c r="U34" s="718" t="e">
        <f t="shared" si="13"/>
        <v>#N/A</v>
      </c>
      <c r="V34" s="717" t="s">
        <v>17</v>
      </c>
      <c r="W34" s="718" t="e">
        <f t="shared" si="14"/>
        <v>#N/A</v>
      </c>
      <c r="X34" s="719"/>
      <c r="Y34" s="3376"/>
      <c r="Z34" s="720" t="str">
        <f t="shared" si="15"/>
        <v>项目建筑规模</v>
      </c>
      <c r="AA34" s="1538" t="e">
        <f t="shared" si="3"/>
        <v>#N/A</v>
      </c>
      <c r="AB34" s="1538" t="e">
        <f t="shared" si="4"/>
        <v>#N/A</v>
      </c>
      <c r="AC34" s="2149"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74"/>
      <c r="Q35" s="1537" t="str">
        <f t="shared" si="11"/>
        <v>建筑结构</v>
      </c>
      <c r="R35" s="714" t="s">
        <v>17</v>
      </c>
      <c r="S35" s="715">
        <f t="shared" si="12"/>
        <v>100</v>
      </c>
      <c r="T35" s="714" t="s">
        <v>17</v>
      </c>
      <c r="U35" s="715">
        <f t="shared" si="13"/>
        <v>100</v>
      </c>
      <c r="V35" s="714" t="s">
        <v>17</v>
      </c>
      <c r="W35" s="715">
        <f t="shared" si="14"/>
        <v>100</v>
      </c>
      <c r="X35" s="1540"/>
      <c r="Y35" s="3376"/>
      <c r="Z35" s="1541" t="str">
        <f t="shared" si="15"/>
        <v>建筑结构</v>
      </c>
      <c r="AA35" s="1538">
        <f t="shared" si="3"/>
        <v>1</v>
      </c>
      <c r="AB35" s="1538">
        <f t="shared" si="4"/>
        <v>1</v>
      </c>
      <c r="AC35" s="2149">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74"/>
      <c r="Q36" s="1537" t="str">
        <f t="shared" si="11"/>
        <v>公共部分装修</v>
      </c>
      <c r="R36" s="714" t="s">
        <v>17</v>
      </c>
      <c r="S36" s="715">
        <f t="shared" si="12"/>
        <v>100</v>
      </c>
      <c r="T36" s="714" t="s">
        <v>17</v>
      </c>
      <c r="U36" s="715">
        <f t="shared" si="13"/>
        <v>100</v>
      </c>
      <c r="V36" s="714" t="s">
        <v>17</v>
      </c>
      <c r="W36" s="715">
        <f t="shared" si="14"/>
        <v>100</v>
      </c>
      <c r="X36" s="1540"/>
      <c r="Y36" s="3376"/>
      <c r="Z36" s="1541" t="str">
        <f t="shared" si="15"/>
        <v>公共部分装修</v>
      </c>
      <c r="AA36" s="1538">
        <f t="shared" si="3"/>
        <v>1</v>
      </c>
      <c r="AB36" s="1538">
        <f t="shared" si="4"/>
        <v>1</v>
      </c>
      <c r="AC36" s="2149">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74"/>
      <c r="Q37" s="1537" t="str">
        <f t="shared" si="11"/>
        <v>成新度</v>
      </c>
      <c r="R37" s="714" t="s">
        <v>17</v>
      </c>
      <c r="S37" s="715" t="e">
        <f t="shared" si="12"/>
        <v>#N/A</v>
      </c>
      <c r="T37" s="714" t="s">
        <v>17</v>
      </c>
      <c r="U37" s="715" t="e">
        <f t="shared" si="13"/>
        <v>#N/A</v>
      </c>
      <c r="V37" s="714" t="s">
        <v>17</v>
      </c>
      <c r="W37" s="715" t="e">
        <f t="shared" si="14"/>
        <v>#N/A</v>
      </c>
      <c r="X37" s="1540"/>
      <c r="Y37" s="3376"/>
      <c r="Z37" s="1541" t="str">
        <f t="shared" si="15"/>
        <v>成新度</v>
      </c>
      <c r="AA37" s="1538" t="e">
        <f t="shared" si="3"/>
        <v>#N/A</v>
      </c>
      <c r="AB37" s="1538" t="e">
        <f t="shared" si="4"/>
        <v>#N/A</v>
      </c>
      <c r="AC37" s="2149"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74"/>
      <c r="Q38" s="1528" t="str">
        <f t="shared" si="11"/>
        <v>写字楼等级</v>
      </c>
      <c r="R38" s="710" t="s">
        <v>17</v>
      </c>
      <c r="S38" s="711">
        <f t="shared" si="12"/>
        <v>100</v>
      </c>
      <c r="T38" s="710" t="s">
        <v>17</v>
      </c>
      <c r="U38" s="711">
        <f t="shared" si="13"/>
        <v>100</v>
      </c>
      <c r="V38" s="710" t="s">
        <v>17</v>
      </c>
      <c r="W38" s="711">
        <f t="shared" si="14"/>
        <v>100</v>
      </c>
      <c r="X38" s="712"/>
      <c r="Y38" s="3376"/>
      <c r="Z38" s="55" t="str">
        <f t="shared" si="15"/>
        <v>写字楼等级</v>
      </c>
      <c r="AA38" s="713">
        <f t="shared" si="3"/>
        <v>1</v>
      </c>
      <c r="AB38" s="713">
        <f t="shared" si="4"/>
        <v>1</v>
      </c>
      <c r="AC38" s="2146">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74" t="s">
        <v>2383</v>
      </c>
      <c r="Q39" s="1537" t="str">
        <f t="shared" si="11"/>
        <v>物业管理</v>
      </c>
      <c r="R39" s="714" t="s">
        <v>17</v>
      </c>
      <c r="S39" s="715">
        <f t="shared" si="12"/>
        <v>100</v>
      </c>
      <c r="T39" s="714" t="s">
        <v>17</v>
      </c>
      <c r="U39" s="715">
        <f t="shared" si="13"/>
        <v>100</v>
      </c>
      <c r="V39" s="714" t="s">
        <v>17</v>
      </c>
      <c r="W39" s="715">
        <f t="shared" si="14"/>
        <v>100</v>
      </c>
      <c r="X39" s="1540"/>
      <c r="Y39" s="3376" t="s">
        <v>2383</v>
      </c>
      <c r="Z39" s="1541" t="str">
        <f t="shared" si="15"/>
        <v>物业管理</v>
      </c>
      <c r="AA39" s="1538">
        <f t="shared" si="3"/>
        <v>1</v>
      </c>
      <c r="AB39" s="1538">
        <f t="shared" si="4"/>
        <v>1</v>
      </c>
      <c r="AC39" s="2149">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74"/>
      <c r="Q40" s="1537" t="str">
        <f t="shared" si="11"/>
        <v>市政基础设施</v>
      </c>
      <c r="R40" s="714" t="s">
        <v>17</v>
      </c>
      <c r="S40" s="715">
        <f t="shared" si="12"/>
        <v>100</v>
      </c>
      <c r="T40" s="714" t="s">
        <v>17</v>
      </c>
      <c r="U40" s="715">
        <f t="shared" si="13"/>
        <v>100</v>
      </c>
      <c r="V40" s="714" t="s">
        <v>17</v>
      </c>
      <c r="W40" s="715">
        <f t="shared" si="14"/>
        <v>100</v>
      </c>
      <c r="X40" s="1540"/>
      <c r="Y40" s="3376"/>
      <c r="Z40" s="1541" t="str">
        <f t="shared" si="15"/>
        <v>市政基础设施</v>
      </c>
      <c r="AA40" s="1538">
        <f t="shared" si="3"/>
        <v>1</v>
      </c>
      <c r="AB40" s="1538">
        <f t="shared" si="4"/>
        <v>1</v>
      </c>
      <c r="AC40" s="2149">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74"/>
      <c r="Q41" s="1537" t="str">
        <f t="shared" si="11"/>
        <v>层高</v>
      </c>
      <c r="R41" s="714" t="s">
        <v>17</v>
      </c>
      <c r="S41" s="715">
        <f t="shared" si="12"/>
        <v>100</v>
      </c>
      <c r="T41" s="714" t="s">
        <v>17</v>
      </c>
      <c r="U41" s="715">
        <f t="shared" si="13"/>
        <v>100</v>
      </c>
      <c r="V41" s="714" t="s">
        <v>17</v>
      </c>
      <c r="W41" s="715">
        <f t="shared" si="14"/>
        <v>100</v>
      </c>
      <c r="X41" s="1540"/>
      <c r="Y41" s="3376"/>
      <c r="Z41" s="1541" t="str">
        <f t="shared" si="15"/>
        <v>层高</v>
      </c>
      <c r="AA41" s="1538">
        <f t="shared" si="3"/>
        <v>1</v>
      </c>
      <c r="AB41" s="1538">
        <f t="shared" si="4"/>
        <v>1</v>
      </c>
      <c r="AC41" s="2149">
        <f t="shared" si="5"/>
        <v>1</v>
      </c>
    </row>
    <row r="42" spans="1:29" s="430" customFormat="1" ht="15">
      <c r="A42" s="427"/>
      <c r="B42" s="1539"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74"/>
      <c r="Q42" s="716" t="str">
        <f t="shared" si="11"/>
        <v>单套建筑面积</v>
      </c>
      <c r="R42" s="717" t="s">
        <v>17</v>
      </c>
      <c r="S42" s="718">
        <f t="shared" si="12"/>
        <v>100</v>
      </c>
      <c r="T42" s="717" t="s">
        <v>17</v>
      </c>
      <c r="U42" s="718">
        <f t="shared" si="13"/>
        <v>100</v>
      </c>
      <c r="V42" s="717" t="s">
        <v>17</v>
      </c>
      <c r="W42" s="718">
        <f t="shared" si="14"/>
        <v>100</v>
      </c>
      <c r="X42" s="719"/>
      <c r="Y42" s="3376"/>
      <c r="Z42" s="720" t="str">
        <f t="shared" si="15"/>
        <v>单套建筑面积</v>
      </c>
      <c r="AA42" s="1538">
        <f t="shared" si="3"/>
        <v>1</v>
      </c>
      <c r="AB42" s="1538">
        <f t="shared" si="4"/>
        <v>1</v>
      </c>
      <c r="AC42" s="2149">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74"/>
      <c r="Q43" s="1537" t="str">
        <f t="shared" si="11"/>
        <v>内部装修</v>
      </c>
      <c r="R43" s="714" t="s">
        <v>17</v>
      </c>
      <c r="S43" s="715">
        <f t="shared" si="12"/>
        <v>100</v>
      </c>
      <c r="T43" s="714" t="s">
        <v>17</v>
      </c>
      <c r="U43" s="715">
        <f t="shared" si="13"/>
        <v>100</v>
      </c>
      <c r="V43" s="714" t="s">
        <v>17</v>
      </c>
      <c r="W43" s="715">
        <f t="shared" si="14"/>
        <v>100</v>
      </c>
      <c r="X43" s="1540"/>
      <c r="Y43" s="3376"/>
      <c r="Z43" s="1541" t="str">
        <f t="shared" si="15"/>
        <v>内部装修</v>
      </c>
      <c r="AA43" s="1538">
        <f t="shared" si="3"/>
        <v>1</v>
      </c>
      <c r="AB43" s="1538">
        <f t="shared" si="4"/>
        <v>1</v>
      </c>
      <c r="AC43" s="2149">
        <f t="shared" si="5"/>
        <v>1</v>
      </c>
    </row>
    <row r="44" spans="1:29" ht="15">
      <c r="A44" s="431"/>
      <c r="B44" s="381" t="s">
        <v>2394</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74"/>
      <c r="Q44" s="1537" t="str">
        <f t="shared" si="11"/>
        <v>内部装修维护情况</v>
      </c>
      <c r="R44" s="714" t="s">
        <v>17</v>
      </c>
      <c r="S44" s="715">
        <f t="shared" si="12"/>
        <v>100</v>
      </c>
      <c r="T44" s="714" t="s">
        <v>17</v>
      </c>
      <c r="U44" s="715">
        <f t="shared" si="13"/>
        <v>100</v>
      </c>
      <c r="V44" s="714" t="s">
        <v>17</v>
      </c>
      <c r="W44" s="715">
        <f t="shared" si="14"/>
        <v>100</v>
      </c>
      <c r="X44" s="1540"/>
      <c r="Y44" s="3376"/>
      <c r="Z44" s="1541" t="str">
        <f t="shared" si="15"/>
        <v>内部装修维护情况</v>
      </c>
      <c r="AA44" s="1538">
        <f t="shared" si="3"/>
        <v>1</v>
      </c>
      <c r="AB44" s="1538">
        <f t="shared" si="4"/>
        <v>1</v>
      </c>
      <c r="AC44" s="2149">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74"/>
      <c r="Q45" s="1528">
        <f t="shared" si="11"/>
        <v>111</v>
      </c>
      <c r="R45" s="710" t="s">
        <v>17</v>
      </c>
      <c r="S45" s="711">
        <f t="shared" si="12"/>
        <v>100</v>
      </c>
      <c r="T45" s="710" t="s">
        <v>17</v>
      </c>
      <c r="U45" s="711">
        <f t="shared" si="13"/>
        <v>100</v>
      </c>
      <c r="V45" s="710" t="s">
        <v>17</v>
      </c>
      <c r="W45" s="711">
        <f t="shared" si="14"/>
        <v>100</v>
      </c>
      <c r="X45" s="712"/>
      <c r="Y45" s="3376"/>
      <c r="Z45" s="55">
        <f t="shared" si="15"/>
        <v>111</v>
      </c>
      <c r="AA45" s="713">
        <f t="shared" si="3"/>
        <v>1</v>
      </c>
      <c r="AB45" s="713">
        <f t="shared" si="4"/>
        <v>1</v>
      </c>
      <c r="AC45" s="2146">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74"/>
      <c r="Q46" s="1537">
        <f t="shared" si="11"/>
        <v>111</v>
      </c>
      <c r="R46" s="714" t="s">
        <v>17</v>
      </c>
      <c r="S46" s="715">
        <f t="shared" si="12"/>
        <v>100</v>
      </c>
      <c r="T46" s="714" t="s">
        <v>17</v>
      </c>
      <c r="U46" s="715">
        <f t="shared" si="13"/>
        <v>100</v>
      </c>
      <c r="V46" s="714" t="s">
        <v>17</v>
      </c>
      <c r="W46" s="715">
        <f t="shared" si="14"/>
        <v>100</v>
      </c>
      <c r="X46" s="1540"/>
      <c r="Y46" s="3376"/>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75"/>
      <c r="Q47" s="1537">
        <f t="shared" si="11"/>
        <v>111</v>
      </c>
      <c r="R47" s="714" t="s">
        <v>17</v>
      </c>
      <c r="S47" s="715">
        <f t="shared" si="12"/>
        <v>100</v>
      </c>
      <c r="T47" s="714" t="s">
        <v>17</v>
      </c>
      <c r="U47" s="715">
        <f t="shared" si="13"/>
        <v>100</v>
      </c>
      <c r="V47" s="714" t="s">
        <v>17</v>
      </c>
      <c r="W47" s="715">
        <f t="shared" si="14"/>
        <v>100</v>
      </c>
      <c r="X47" s="1540"/>
      <c r="Y47" s="3377"/>
      <c r="Z47" s="1541">
        <f t="shared" si="15"/>
        <v>111</v>
      </c>
      <c r="AA47" s="1538">
        <f t="shared" si="3"/>
        <v>1</v>
      </c>
      <c r="AB47" s="1538">
        <f t="shared" si="4"/>
        <v>1</v>
      </c>
      <c r="AC47" s="2149">
        <f t="shared" si="5"/>
        <v>1</v>
      </c>
    </row>
    <row r="48" spans="1:29" ht="15">
      <c r="A48" s="438" t="s">
        <v>2395</v>
      </c>
      <c r="B48" s="439"/>
      <c r="C48" s="1315" t="s">
        <v>1</v>
      </c>
      <c r="D48" s="1316"/>
      <c r="E48" s="1317"/>
      <c r="F48" s="1318"/>
      <c r="G48" s="1319"/>
      <c r="H48" s="1320"/>
      <c r="I48" s="1317"/>
      <c r="J48" s="444"/>
      <c r="K48" s="723"/>
      <c r="L48" s="2954"/>
      <c r="M48" s="2946"/>
      <c r="N48" s="2946"/>
      <c r="O48" s="2946"/>
      <c r="P48" s="3351" t="str">
        <f>A48</f>
        <v>成交单价（元/平方米）</v>
      </c>
      <c r="Q48" s="3369"/>
      <c r="R48" s="3370">
        <f>E48</f>
        <v>0</v>
      </c>
      <c r="S48" s="3370"/>
      <c r="T48" s="3370">
        <f>G48</f>
        <v>0</v>
      </c>
      <c r="U48" s="3370"/>
      <c r="V48" s="3370">
        <f>I48</f>
        <v>0</v>
      </c>
      <c r="W48" s="3370"/>
      <c r="X48" s="405"/>
      <c r="Y48" s="721"/>
      <c r="Z48" s="405"/>
      <c r="AA48" s="405"/>
      <c r="AB48" s="405"/>
      <c r="AC48" s="586"/>
    </row>
    <row r="49" spans="1:29" ht="15.75" thickBot="1">
      <c r="A49" s="445" t="s">
        <v>2487</v>
      </c>
      <c r="B49" s="446"/>
      <c r="C49" s="1321" t="e">
        <f>R50</f>
        <v>#DIV/0!</v>
      </c>
      <c r="D49" s="2539" t="s">
        <v>2876</v>
      </c>
      <c r="E49" s="1322" t="e">
        <f>R49</f>
        <v>#DIV/0!</v>
      </c>
      <c r="F49" s="2540"/>
      <c r="G49" s="1321" t="e">
        <f>T49</f>
        <v>#DIV/0!</v>
      </c>
      <c r="H49" s="2540"/>
      <c r="I49" s="1322" t="e">
        <f>V49</f>
        <v>#DIV/0!</v>
      </c>
      <c r="J49" s="2540"/>
      <c r="K49" s="2542">
        <f>F49+H49+J49</f>
        <v>0</v>
      </c>
      <c r="L49" s="2954"/>
      <c r="M49" s="2946"/>
      <c r="N49" s="2946"/>
      <c r="O49" s="2946"/>
      <c r="P49" s="3351"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405"/>
      <c r="Y49" s="405"/>
      <c r="Z49" s="405"/>
      <c r="AA49" s="405"/>
      <c r="AB49" s="405"/>
      <c r="AC49" s="586"/>
    </row>
    <row r="50" spans="1:29" ht="15.75" thickBot="1">
      <c r="A50" s="449" t="s">
        <v>2488</v>
      </c>
      <c r="B50" s="450"/>
      <c r="C50" s="1324" t="e">
        <f>R50</f>
        <v>#DIV/0!</v>
      </c>
      <c r="D50" s="1324"/>
      <c r="E50" s="1324"/>
      <c r="F50" s="1324"/>
      <c r="G50" s="1324"/>
      <c r="H50" s="1324"/>
      <c r="I50" s="1324"/>
      <c r="J50" s="451"/>
      <c r="K50" s="724"/>
      <c r="L50" s="2954"/>
      <c r="M50" s="2946"/>
      <c r="N50" s="2946"/>
      <c r="O50" s="2946"/>
      <c r="P50" s="3392" t="str">
        <f>A50</f>
        <v>估价对象XX用房的比较价值（楼面单价，元/平方米）</v>
      </c>
      <c r="Q50" s="3393"/>
      <c r="R50" s="3394" t="e">
        <f>IF(F1="售价",ROUND(IF(D49="简单平均",AVERAGE(R49:V49),R49*F49+T49*H49+V49*J49),0),ROUND(IF(D49="简单平均",AVERAGE(R49:V49),R49*F49+T49*H49+V49*J49),1))</f>
        <v>#DIV/0!</v>
      </c>
      <c r="S50" s="3394"/>
      <c r="T50" s="3394"/>
      <c r="U50" s="3394"/>
      <c r="V50" s="3394"/>
      <c r="W50" s="3394"/>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2492</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2366</v>
      </c>
      <c r="B59" s="463"/>
      <c r="C59" s="1345" t="str">
        <f>YEAR(C7)&amp;"-"&amp;MONTH(C7)</f>
        <v>2021-1</v>
      </c>
      <c r="D59" s="1346">
        <f>EDATE(C59,-1)</f>
        <v>44166</v>
      </c>
      <c r="E59" s="1346">
        <f>EDATE(D59,-1)</f>
        <v>44136</v>
      </c>
      <c r="F59" s="1346">
        <f t="shared" ref="F59:O59" si="16">EDATE(E59,-1)</f>
        <v>44105</v>
      </c>
      <c r="G59" s="1346">
        <f t="shared" si="16"/>
        <v>44075</v>
      </c>
      <c r="H59" s="1346">
        <f t="shared" si="16"/>
        <v>44044</v>
      </c>
      <c r="I59" s="1346">
        <f t="shared" si="16"/>
        <v>44013</v>
      </c>
      <c r="J59" s="1346">
        <f t="shared" si="16"/>
        <v>43983</v>
      </c>
      <c r="K59" s="1346">
        <f t="shared" si="16"/>
        <v>43952</v>
      </c>
      <c r="L59" s="1346">
        <f t="shared" si="16"/>
        <v>43922</v>
      </c>
      <c r="M59" s="1346">
        <f t="shared" si="16"/>
        <v>43891</v>
      </c>
      <c r="N59" s="1346">
        <f t="shared" si="16"/>
        <v>43862</v>
      </c>
      <c r="O59" s="1346">
        <f t="shared" si="16"/>
        <v>43831</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2403</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2368</v>
      </c>
      <c r="B62" s="467"/>
      <c r="C62" s="479" t="s">
        <v>2470</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2406</v>
      </c>
      <c r="B64" s="485" t="s">
        <v>2372</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2377</v>
      </c>
      <c r="B77" s="485" t="s">
        <v>2515</v>
      </c>
      <c r="C77" s="530" t="s">
        <v>2415</v>
      </c>
      <c r="D77" s="530" t="s">
        <v>2416</v>
      </c>
      <c r="E77" s="530" t="s">
        <v>2417</v>
      </c>
      <c r="F77" s="530" t="s">
        <v>2418</v>
      </c>
      <c r="G77" s="530" t="s">
        <v>2419</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2420</v>
      </c>
      <c r="C79" s="535" t="s">
        <v>2415</v>
      </c>
      <c r="D79" s="535" t="s">
        <v>2416</v>
      </c>
      <c r="E79" s="535" t="s">
        <v>2417</v>
      </c>
      <c r="F79" s="535" t="s">
        <v>2418</v>
      </c>
      <c r="G79" s="535" t="s">
        <v>2419</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2421</v>
      </c>
      <c r="C81" s="535" t="s">
        <v>2415</v>
      </c>
      <c r="D81" s="535" t="s">
        <v>2416</v>
      </c>
      <c r="E81" s="535" t="s">
        <v>2417</v>
      </c>
      <c r="F81" s="535" t="s">
        <v>2418</v>
      </c>
      <c r="G81" s="535" t="s">
        <v>2419</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2507</v>
      </c>
      <c r="C83" s="616" t="s">
        <v>2493</v>
      </c>
      <c r="D83" s="616" t="s">
        <v>2494</v>
      </c>
      <c r="E83" s="616" t="s">
        <v>2495</v>
      </c>
      <c r="F83" s="616" t="s">
        <v>2496</v>
      </c>
      <c r="G83" s="616" t="s">
        <v>2497</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2516</v>
      </c>
      <c r="C85" s="535" t="s">
        <v>2415</v>
      </c>
      <c r="D85" s="535" t="s">
        <v>2416</v>
      </c>
      <c r="E85" s="535" t="s">
        <v>2417</v>
      </c>
      <c r="F85" s="535" t="s">
        <v>2418</v>
      </c>
      <c r="G85" s="535" t="s">
        <v>2419</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2517</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2381</v>
      </c>
      <c r="B101" s="485" t="s">
        <v>2430</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2432</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2434</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2518</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2435</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2436</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2519</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2502</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2438</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4" t="s">
        <v>2520</v>
      </c>
      <c r="C1" s="1391" t="s">
        <v>2348</v>
      </c>
      <c r="D1" s="1392"/>
      <c r="E1" s="1401"/>
      <c r="F1" s="2066"/>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2145</v>
      </c>
      <c r="B2" s="1325" t="e">
        <f ca="1">IF(C2="——",ROUND(C43*D3/10000,0),ROUND(C43*D3/10000,0)-D2)</f>
        <v>#DIV/0!</v>
      </c>
      <c r="C2" s="2068"/>
      <c r="D2" s="1038" t="e">
        <f ca="1">SUMIF(INDIRECT("'"&amp;F2&amp;"'"&amp;"!A:A"),"承租人权益价值",INDIRECT("'"&amp;F2&amp;"'"&amp;"!c:c"))</f>
        <v>#REF!</v>
      </c>
      <c r="E2" s="2069" t="s">
        <v>2146</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240.41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52" t="s">
        <v>2464</v>
      </c>
      <c r="D4" s="3353"/>
      <c r="E4" s="3354" t="s">
        <v>2465</v>
      </c>
      <c r="F4" s="3355"/>
      <c r="G4" s="3352" t="s">
        <v>2466</v>
      </c>
      <c r="H4" s="3353"/>
      <c r="I4" s="3352" t="s">
        <v>2467</v>
      </c>
      <c r="J4" s="3353"/>
      <c r="K4" s="567" t="s">
        <v>2468</v>
      </c>
      <c r="L4" s="1044"/>
      <c r="M4" s="1045"/>
      <c r="N4" s="1045"/>
      <c r="O4" s="1045"/>
      <c r="P4" s="3356" t="s">
        <v>2469</v>
      </c>
      <c r="Q4" s="3357"/>
      <c r="R4" s="3339" t="s">
        <v>2465</v>
      </c>
      <c r="S4" s="3340"/>
      <c r="T4" s="3339" t="s">
        <v>2466</v>
      </c>
      <c r="U4" s="3340"/>
      <c r="V4" s="3364" t="s">
        <v>2467</v>
      </c>
      <c r="W4" s="3364"/>
      <c r="X4" s="1540"/>
      <c r="Y4" s="3339" t="s">
        <v>2469</v>
      </c>
      <c r="Z4" s="3340"/>
      <c r="AA4" s="3334" t="s">
        <v>2465</v>
      </c>
      <c r="AB4" s="3335" t="s">
        <v>2466</v>
      </c>
      <c r="AC4" s="3334" t="s">
        <v>2467</v>
      </c>
    </row>
    <row r="5" spans="1:29" ht="15">
      <c r="A5" s="364"/>
      <c r="B5" s="365"/>
      <c r="C5" s="3345" t="s">
        <v>2360</v>
      </c>
      <c r="D5" s="3346"/>
      <c r="E5" s="3343" t="s">
        <v>2361</v>
      </c>
      <c r="F5" s="3344"/>
      <c r="G5" s="3345" t="s">
        <v>2362</v>
      </c>
      <c r="H5" s="3346"/>
      <c r="I5" s="3345" t="s">
        <v>2363</v>
      </c>
      <c r="J5" s="3346"/>
      <c r="K5" s="567"/>
      <c r="L5" s="1044"/>
      <c r="M5" s="1045"/>
      <c r="N5" s="1045"/>
      <c r="O5" s="1045"/>
      <c r="P5" s="3358"/>
      <c r="Q5" s="3359"/>
      <c r="R5" s="3341"/>
      <c r="S5" s="3342"/>
      <c r="T5" s="3341"/>
      <c r="U5" s="3342"/>
      <c r="V5" s="3364"/>
      <c r="W5" s="3364"/>
      <c r="X5" s="1540"/>
      <c r="Y5" s="3341"/>
      <c r="Z5" s="3342"/>
      <c r="AA5" s="3335"/>
      <c r="AB5" s="3335"/>
      <c r="AC5" s="3335"/>
    </row>
    <row r="6" spans="1:29" ht="15.75" thickBot="1">
      <c r="A6" s="366"/>
      <c r="B6" s="367"/>
      <c r="C6" s="3347" t="s">
        <v>2364</v>
      </c>
      <c r="D6" s="3348"/>
      <c r="E6" s="3349" t="s">
        <v>2364</v>
      </c>
      <c r="F6" s="3350"/>
      <c r="G6" s="3347" t="s">
        <v>2364</v>
      </c>
      <c r="H6" s="3348"/>
      <c r="I6" s="3347" t="s">
        <v>2364</v>
      </c>
      <c r="J6" s="3348"/>
      <c r="K6" s="567" t="s">
        <v>2365</v>
      </c>
      <c r="L6" s="1044"/>
      <c r="M6" s="1045"/>
      <c r="N6" s="1045"/>
      <c r="O6" s="1045"/>
      <c r="P6" s="3360"/>
      <c r="Q6" s="3361"/>
      <c r="R6" s="3341"/>
      <c r="S6" s="3342"/>
      <c r="T6" s="3362"/>
      <c r="U6" s="3363"/>
      <c r="V6" s="3364"/>
      <c r="W6" s="3364"/>
      <c r="X6" s="1540"/>
      <c r="Y6" s="3362"/>
      <c r="Z6" s="3363"/>
      <c r="AA6" s="3336"/>
      <c r="AB6" s="3336"/>
      <c r="AC6" s="3336"/>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7" t="s">
        <v>2367</v>
      </c>
      <c r="Q7" s="3365"/>
      <c r="R7" s="710" t="s">
        <v>17</v>
      </c>
      <c r="S7" s="711">
        <f t="shared" ref="S7:S15" si="0">F7</f>
        <v>0</v>
      </c>
      <c r="T7" s="710" t="s">
        <v>17</v>
      </c>
      <c r="U7" s="711">
        <f t="shared" ref="U7:U15" si="1">H7</f>
        <v>0</v>
      </c>
      <c r="V7" s="710" t="s">
        <v>17</v>
      </c>
      <c r="W7" s="711">
        <f t="shared" ref="W7:W15" si="2">J7</f>
        <v>0</v>
      </c>
      <c r="X7" s="712"/>
      <c r="Y7" s="3337" t="s">
        <v>2367</v>
      </c>
      <c r="Z7" s="3338"/>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7" t="s">
        <v>2370</v>
      </c>
      <c r="Q8" s="3338"/>
      <c r="R8" s="710" t="s">
        <v>17</v>
      </c>
      <c r="S8" s="711">
        <f t="shared" si="0"/>
        <v>0</v>
      </c>
      <c r="T8" s="710" t="s">
        <v>17</v>
      </c>
      <c r="U8" s="711">
        <f t="shared" si="1"/>
        <v>0</v>
      </c>
      <c r="V8" s="710" t="s">
        <v>17</v>
      </c>
      <c r="W8" s="711">
        <f t="shared" si="2"/>
        <v>0</v>
      </c>
      <c r="X8" s="712"/>
      <c r="Y8" s="3337" t="s">
        <v>2370</v>
      </c>
      <c r="Z8" s="3338"/>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9"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9"/>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9"/>
      <c r="Q11" s="1528"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69"/>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69"/>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69"/>
      <c r="Q14" s="1528">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65" t="s">
        <v>2521</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1" t="s">
        <v>2378</v>
      </c>
      <c r="Q15" s="1537" t="str">
        <f t="shared" si="6"/>
        <v>产业集聚程度</v>
      </c>
      <c r="R15" s="714" t="s">
        <v>17</v>
      </c>
      <c r="S15" s="715">
        <f t="shared" si="0"/>
        <v>100</v>
      </c>
      <c r="T15" s="714" t="s">
        <v>17</v>
      </c>
      <c r="U15" s="715">
        <f t="shared" si="1"/>
        <v>100</v>
      </c>
      <c r="V15" s="714" t="s">
        <v>17</v>
      </c>
      <c r="W15" s="715">
        <f t="shared" si="2"/>
        <v>100</v>
      </c>
      <c r="X15" s="1540"/>
      <c r="Y15" s="3371" t="s">
        <v>2378</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72"/>
      <c r="Q16" s="1537"/>
      <c r="R16" s="714"/>
      <c r="S16" s="715"/>
      <c r="T16" s="714"/>
      <c r="U16" s="715"/>
      <c r="V16" s="714"/>
      <c r="W16" s="715"/>
      <c r="X16" s="1540"/>
      <c r="Y16" s="3372"/>
      <c r="Z16" s="1541"/>
      <c r="AA16" s="1538">
        <v>1</v>
      </c>
      <c r="AB16" s="1538">
        <v>1</v>
      </c>
      <c r="AC16" s="1538">
        <v>1</v>
      </c>
    </row>
    <row r="17" spans="1:29" ht="85.5">
      <c r="A17" s="387"/>
      <c r="B17" s="410" t="s">
        <v>1942</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2"/>
      <c r="Q17" s="1537" t="str">
        <f>B17</f>
        <v>交通便捷度</v>
      </c>
      <c r="R17" s="714" t="s">
        <v>17</v>
      </c>
      <c r="S17" s="715">
        <f>F17</f>
        <v>100</v>
      </c>
      <c r="T17" s="714" t="s">
        <v>17</v>
      </c>
      <c r="U17" s="715">
        <f>H17</f>
        <v>100</v>
      </c>
      <c r="V17" s="714" t="s">
        <v>17</v>
      </c>
      <c r="W17" s="715">
        <f>J17</f>
        <v>100</v>
      </c>
      <c r="X17" s="1540"/>
      <c r="Y17" s="337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72"/>
      <c r="Q18" s="1537"/>
      <c r="R18" s="714"/>
      <c r="S18" s="715"/>
      <c r="T18" s="714"/>
      <c r="U18" s="715"/>
      <c r="V18" s="714"/>
      <c r="W18" s="715"/>
      <c r="X18" s="1540"/>
      <c r="Y18" s="3372"/>
      <c r="Z18" s="1541"/>
      <c r="AA18" s="1538">
        <v>1</v>
      </c>
      <c r="AB18" s="1538">
        <v>1</v>
      </c>
      <c r="AC18" s="1538">
        <v>1</v>
      </c>
    </row>
    <row r="19" spans="1:29" ht="42.75">
      <c r="A19" s="387"/>
      <c r="B19" s="410" t="s">
        <v>2506</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2"/>
      <c r="Q19" s="1537" t="str">
        <f>B19</f>
        <v>公共配套设施</v>
      </c>
      <c r="R19" s="714" t="s">
        <v>17</v>
      </c>
      <c r="S19" s="715">
        <f>F19</f>
        <v>100</v>
      </c>
      <c r="T19" s="714" t="s">
        <v>17</v>
      </c>
      <c r="U19" s="715">
        <f>H19</f>
        <v>100</v>
      </c>
      <c r="V19" s="714" t="s">
        <v>17</v>
      </c>
      <c r="W19" s="715">
        <f>J19</f>
        <v>100</v>
      </c>
      <c r="X19" s="1540"/>
      <c r="Y19" s="337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72"/>
      <c r="Q20" s="1537"/>
      <c r="R20" s="714"/>
      <c r="S20" s="715"/>
      <c r="T20" s="714"/>
      <c r="U20" s="715"/>
      <c r="V20" s="714"/>
      <c r="W20" s="715"/>
      <c r="X20" s="1540"/>
      <c r="Y20" s="3372"/>
      <c r="Z20" s="1541"/>
      <c r="AA20" s="1538">
        <v>1</v>
      </c>
      <c r="AB20" s="1538">
        <v>1</v>
      </c>
      <c r="AC20" s="1538">
        <v>1</v>
      </c>
    </row>
    <row r="21" spans="1:29" ht="28.5">
      <c r="A21" s="387"/>
      <c r="B21" s="1292" t="s">
        <v>2507</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2"/>
      <c r="Q21" s="1537" t="str">
        <f>B21</f>
        <v>基础设施水平</v>
      </c>
      <c r="R21" s="714" t="s">
        <v>17</v>
      </c>
      <c r="S21" s="715">
        <f>F21</f>
        <v>100</v>
      </c>
      <c r="T21" s="714" t="s">
        <v>17</v>
      </c>
      <c r="U21" s="715">
        <f>H21</f>
        <v>100</v>
      </c>
      <c r="V21" s="714" t="s">
        <v>17</v>
      </c>
      <c r="W21" s="715">
        <f>J21</f>
        <v>100</v>
      </c>
      <c r="X21" s="1540"/>
      <c r="Y21" s="3372"/>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4"/>
      <c r="M22" s="1045"/>
      <c r="N22" s="1045"/>
      <c r="O22" s="1053"/>
      <c r="P22" s="3372"/>
      <c r="Q22" s="1537"/>
      <c r="R22" s="714"/>
      <c r="S22" s="715"/>
      <c r="T22" s="714"/>
      <c r="U22" s="715"/>
      <c r="V22" s="714"/>
      <c r="W22" s="715"/>
      <c r="X22" s="1540"/>
      <c r="Y22" s="3372"/>
      <c r="Z22" s="1541"/>
      <c r="AA22" s="1538">
        <v>1</v>
      </c>
      <c r="AB22" s="1538">
        <v>1</v>
      </c>
      <c r="AC22" s="1538">
        <v>1</v>
      </c>
    </row>
    <row r="23" spans="1:29" ht="71.25">
      <c r="A23" s="387"/>
      <c r="B23" s="410" t="s">
        <v>2508</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2"/>
      <c r="Q23" s="1537" t="str">
        <f>B23</f>
        <v>环境质量</v>
      </c>
      <c r="R23" s="714" t="s">
        <v>17</v>
      </c>
      <c r="S23" s="715">
        <f>F23</f>
        <v>100</v>
      </c>
      <c r="T23" s="714" t="s">
        <v>17</v>
      </c>
      <c r="U23" s="715">
        <f>H23</f>
        <v>100</v>
      </c>
      <c r="V23" s="714" t="s">
        <v>17</v>
      </c>
      <c r="W23" s="715">
        <f>J23</f>
        <v>100</v>
      </c>
      <c r="X23" s="1540"/>
      <c r="Y23" s="3372"/>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4"/>
      <c r="M24" s="1045"/>
      <c r="N24" s="1045"/>
      <c r="O24" s="1053"/>
      <c r="P24" s="3372"/>
      <c r="Q24" s="1537"/>
      <c r="R24" s="714"/>
      <c r="S24" s="715"/>
      <c r="T24" s="714"/>
      <c r="U24" s="715"/>
      <c r="V24" s="714"/>
      <c r="W24" s="715"/>
      <c r="X24" s="1540"/>
      <c r="Y24" s="3372"/>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2"/>
      <c r="Q25" s="1537">
        <f>B25</f>
        <v>111</v>
      </c>
      <c r="R25" s="714" t="s">
        <v>17</v>
      </c>
      <c r="S25" s="715">
        <f>F25</f>
        <v>100</v>
      </c>
      <c r="T25" s="714" t="s">
        <v>17</v>
      </c>
      <c r="U25" s="715">
        <f>H25</f>
        <v>100</v>
      </c>
      <c r="V25" s="714" t="s">
        <v>17</v>
      </c>
      <c r="W25" s="715">
        <f>J25</f>
        <v>100</v>
      </c>
      <c r="X25" s="1540"/>
      <c r="Y25" s="3372"/>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2"/>
      <c r="Q26" s="1537">
        <f t="shared" ref="Q26:Q40" si="11">B26</f>
        <v>111</v>
      </c>
      <c r="R26" s="714" t="s">
        <v>17</v>
      </c>
      <c r="S26" s="715">
        <f>F26</f>
        <v>100</v>
      </c>
      <c r="T26" s="714" t="s">
        <v>17</v>
      </c>
      <c r="U26" s="715">
        <f>H26</f>
        <v>100</v>
      </c>
      <c r="V26" s="714" t="s">
        <v>17</v>
      </c>
      <c r="W26" s="715">
        <f>J26</f>
        <v>100</v>
      </c>
      <c r="X26" s="1540"/>
      <c r="Y26" s="3372"/>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2"/>
      <c r="Q27" s="1528">
        <f t="shared" si="11"/>
        <v>111</v>
      </c>
      <c r="R27" s="710" t="s">
        <v>17</v>
      </c>
      <c r="S27" s="711">
        <f>F27</f>
        <v>100</v>
      </c>
      <c r="T27" s="710" t="s">
        <v>17</v>
      </c>
      <c r="U27" s="711">
        <f>H27</f>
        <v>100</v>
      </c>
      <c r="V27" s="710" t="s">
        <v>17</v>
      </c>
      <c r="W27" s="711">
        <f>J27</f>
        <v>100</v>
      </c>
      <c r="X27" s="712"/>
      <c r="Y27" s="3372"/>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2"/>
      <c r="Q28" s="1537">
        <f t="shared" si="11"/>
        <v>111</v>
      </c>
      <c r="R28" s="714" t="s">
        <v>17</v>
      </c>
      <c r="S28" s="715">
        <f t="shared" ref="S28:S40" si="12">F28</f>
        <v>100</v>
      </c>
      <c r="T28" s="714" t="s">
        <v>17</v>
      </c>
      <c r="U28" s="715">
        <f t="shared" ref="U28:U40" si="13">H28</f>
        <v>100</v>
      </c>
      <c r="V28" s="714" t="s">
        <v>17</v>
      </c>
      <c r="W28" s="715">
        <f t="shared" ref="W28:W40" si="14">J28</f>
        <v>100</v>
      </c>
      <c r="X28" s="1540"/>
      <c r="Y28" s="3372"/>
      <c r="Z28" s="1541">
        <f t="shared" ref="Z28:Z40" si="15">Q28</f>
        <v>111</v>
      </c>
      <c r="AA28" s="1538">
        <f t="shared" si="3"/>
        <v>1</v>
      </c>
      <c r="AB28" s="1538">
        <f t="shared" si="4"/>
        <v>1</v>
      </c>
      <c r="AC28" s="1538">
        <f t="shared" si="5"/>
        <v>1</v>
      </c>
    </row>
    <row r="29" spans="1:29" ht="28.5">
      <c r="A29" s="425" t="s">
        <v>2381</v>
      </c>
      <c r="B29" s="67" t="s">
        <v>2511</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95" t="s">
        <v>2383</v>
      </c>
      <c r="Q29" s="1537" t="str">
        <f t="shared" si="11"/>
        <v>建筑类型</v>
      </c>
      <c r="R29" s="714" t="s">
        <v>17</v>
      </c>
      <c r="S29" s="715">
        <f t="shared" si="12"/>
        <v>100</v>
      </c>
      <c r="T29" s="714" t="s">
        <v>17</v>
      </c>
      <c r="U29" s="715">
        <f t="shared" si="13"/>
        <v>100</v>
      </c>
      <c r="V29" s="714" t="s">
        <v>17</v>
      </c>
      <c r="W29" s="715">
        <f t="shared" si="14"/>
        <v>100</v>
      </c>
      <c r="X29" s="1540"/>
      <c r="Y29" s="3376" t="s">
        <v>2383</v>
      </c>
      <c r="Z29" s="1541" t="str">
        <f t="shared" si="15"/>
        <v>建筑类型</v>
      </c>
      <c r="AA29" s="1538">
        <f t="shared" si="3"/>
        <v>1</v>
      </c>
      <c r="AB29" s="1538">
        <f t="shared" si="4"/>
        <v>1</v>
      </c>
      <c r="AC29" s="1538">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6"/>
      <c r="Q30" s="716" t="str">
        <f t="shared" si="11"/>
        <v>项目建筑规模</v>
      </c>
      <c r="R30" s="717" t="s">
        <v>17</v>
      </c>
      <c r="S30" s="718" t="e">
        <f t="shared" si="12"/>
        <v>#N/A</v>
      </c>
      <c r="T30" s="717" t="s">
        <v>17</v>
      </c>
      <c r="U30" s="718" t="e">
        <f t="shared" si="13"/>
        <v>#N/A</v>
      </c>
      <c r="V30" s="717" t="s">
        <v>17</v>
      </c>
      <c r="W30" s="718" t="e">
        <f t="shared" si="14"/>
        <v>#N/A</v>
      </c>
      <c r="X30" s="719"/>
      <c r="Y30" s="3376"/>
      <c r="Z30" s="720" t="str">
        <f t="shared" si="15"/>
        <v>项目建筑规模</v>
      </c>
      <c r="AA30" s="1538" t="e">
        <f t="shared" si="3"/>
        <v>#N/A</v>
      </c>
      <c r="AB30" s="1538" t="e">
        <f t="shared" si="4"/>
        <v>#N/A</v>
      </c>
      <c r="AC30" s="1538"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6"/>
      <c r="Q31" s="1537" t="str">
        <f t="shared" si="11"/>
        <v>建筑结构</v>
      </c>
      <c r="R31" s="714" t="s">
        <v>17</v>
      </c>
      <c r="S31" s="715">
        <f t="shared" si="12"/>
        <v>100</v>
      </c>
      <c r="T31" s="714" t="s">
        <v>17</v>
      </c>
      <c r="U31" s="715">
        <f t="shared" si="13"/>
        <v>100</v>
      </c>
      <c r="V31" s="714" t="s">
        <v>17</v>
      </c>
      <c r="W31" s="715">
        <f t="shared" si="14"/>
        <v>100</v>
      </c>
      <c r="X31" s="1540"/>
      <c r="Y31" s="3376"/>
      <c r="Z31" s="1541" t="str">
        <f t="shared" si="15"/>
        <v>建筑结构</v>
      </c>
      <c r="AA31" s="1538">
        <f t="shared" si="3"/>
        <v>1</v>
      </c>
      <c r="AB31" s="1538">
        <f t="shared" si="4"/>
        <v>1</v>
      </c>
      <c r="AC31" s="1538">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6"/>
      <c r="Q32" s="1537" t="str">
        <f t="shared" si="11"/>
        <v>公共部分装修</v>
      </c>
      <c r="R32" s="714" t="s">
        <v>17</v>
      </c>
      <c r="S32" s="715">
        <f t="shared" si="12"/>
        <v>100</v>
      </c>
      <c r="T32" s="714" t="s">
        <v>17</v>
      </c>
      <c r="U32" s="715">
        <f t="shared" si="13"/>
        <v>100</v>
      </c>
      <c r="V32" s="714" t="s">
        <v>17</v>
      </c>
      <c r="W32" s="715">
        <f t="shared" si="14"/>
        <v>100</v>
      </c>
      <c r="X32" s="1540"/>
      <c r="Y32" s="3376"/>
      <c r="Z32" s="1541" t="str">
        <f t="shared" si="15"/>
        <v>公共部分装修</v>
      </c>
      <c r="AA32" s="1538">
        <f t="shared" si="3"/>
        <v>1</v>
      </c>
      <c r="AB32" s="1538">
        <f t="shared" si="4"/>
        <v>1</v>
      </c>
      <c r="AC32" s="1538">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6"/>
      <c r="Q33" s="1537" t="str">
        <f t="shared" si="11"/>
        <v>成新度</v>
      </c>
      <c r="R33" s="714" t="s">
        <v>17</v>
      </c>
      <c r="S33" s="715" t="e">
        <f t="shared" si="12"/>
        <v>#N/A</v>
      </c>
      <c r="T33" s="714" t="s">
        <v>17</v>
      </c>
      <c r="U33" s="715" t="e">
        <f t="shared" si="13"/>
        <v>#N/A</v>
      </c>
      <c r="V33" s="714" t="s">
        <v>17</v>
      </c>
      <c r="W33" s="715" t="e">
        <f t="shared" si="14"/>
        <v>#N/A</v>
      </c>
      <c r="X33" s="1540"/>
      <c r="Y33" s="3376"/>
      <c r="Z33" s="1541" t="str">
        <f t="shared" si="15"/>
        <v>成新度</v>
      </c>
      <c r="AA33" s="1538" t="e">
        <f t="shared" si="3"/>
        <v>#N/A</v>
      </c>
      <c r="AB33" s="1538" t="e">
        <f t="shared" si="4"/>
        <v>#N/A</v>
      </c>
      <c r="AC33" s="1538"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6"/>
      <c r="Q34" s="1528" t="str">
        <f t="shared" si="11"/>
        <v>物业管理</v>
      </c>
      <c r="R34" s="710" t="s">
        <v>17</v>
      </c>
      <c r="S34" s="711">
        <f t="shared" si="12"/>
        <v>100</v>
      </c>
      <c r="T34" s="710" t="s">
        <v>17</v>
      </c>
      <c r="U34" s="711">
        <f t="shared" si="13"/>
        <v>100</v>
      </c>
      <c r="V34" s="710" t="s">
        <v>17</v>
      </c>
      <c r="W34" s="711">
        <f t="shared" si="14"/>
        <v>100</v>
      </c>
      <c r="X34" s="712"/>
      <c r="Y34" s="337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6" t="s">
        <v>2383</v>
      </c>
      <c r="Q35" s="1537" t="str">
        <f t="shared" si="11"/>
        <v>市政基础设施</v>
      </c>
      <c r="R35" s="714" t="s">
        <v>17</v>
      </c>
      <c r="S35" s="715">
        <f t="shared" si="12"/>
        <v>100</v>
      </c>
      <c r="T35" s="714" t="s">
        <v>17</v>
      </c>
      <c r="U35" s="715">
        <f t="shared" si="13"/>
        <v>100</v>
      </c>
      <c r="V35" s="714" t="s">
        <v>17</v>
      </c>
      <c r="W35" s="715">
        <f t="shared" si="14"/>
        <v>100</v>
      </c>
      <c r="X35" s="1540"/>
      <c r="Y35" s="3376" t="s">
        <v>2383</v>
      </c>
      <c r="Z35" s="1541" t="str">
        <f t="shared" si="15"/>
        <v>市政基础设施</v>
      </c>
      <c r="AA35" s="1538">
        <f t="shared" si="3"/>
        <v>1</v>
      </c>
      <c r="AB35" s="1538">
        <f t="shared" si="4"/>
        <v>1</v>
      </c>
      <c r="AC35" s="1538">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6"/>
      <c r="Q36" s="1537" t="str">
        <f t="shared" si="11"/>
        <v>内部装修</v>
      </c>
      <c r="R36" s="714" t="s">
        <v>17</v>
      </c>
      <c r="S36" s="715">
        <f t="shared" si="12"/>
        <v>100</v>
      </c>
      <c r="T36" s="714" t="s">
        <v>17</v>
      </c>
      <c r="U36" s="715">
        <f t="shared" si="13"/>
        <v>100</v>
      </c>
      <c r="V36" s="714" t="s">
        <v>17</v>
      </c>
      <c r="W36" s="715">
        <f t="shared" si="14"/>
        <v>100</v>
      </c>
      <c r="X36" s="1540"/>
      <c r="Y36" s="3376"/>
      <c r="Z36" s="1541" t="str">
        <f t="shared" si="15"/>
        <v>内部装修</v>
      </c>
      <c r="AA36" s="1538">
        <f t="shared" si="3"/>
        <v>1</v>
      </c>
      <c r="AB36" s="1538">
        <f t="shared" si="4"/>
        <v>1</v>
      </c>
      <c r="AC36" s="1538">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6"/>
      <c r="Q37" s="1537" t="str">
        <f t="shared" si="11"/>
        <v>内部装修状况</v>
      </c>
      <c r="R37" s="714" t="s">
        <v>17</v>
      </c>
      <c r="S37" s="715">
        <f t="shared" si="12"/>
        <v>100</v>
      </c>
      <c r="T37" s="714" t="s">
        <v>17</v>
      </c>
      <c r="U37" s="715">
        <f t="shared" si="13"/>
        <v>100</v>
      </c>
      <c r="V37" s="714" t="s">
        <v>17</v>
      </c>
      <c r="W37" s="715">
        <f t="shared" si="14"/>
        <v>100</v>
      </c>
      <c r="X37" s="1540"/>
      <c r="Y37" s="3376"/>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6"/>
      <c r="Q38" s="716">
        <f t="shared" si="11"/>
        <v>111</v>
      </c>
      <c r="R38" s="717" t="s">
        <v>17</v>
      </c>
      <c r="S38" s="718">
        <f t="shared" si="12"/>
        <v>100</v>
      </c>
      <c r="T38" s="717" t="s">
        <v>17</v>
      </c>
      <c r="U38" s="718">
        <f t="shared" si="13"/>
        <v>100</v>
      </c>
      <c r="V38" s="717" t="s">
        <v>17</v>
      </c>
      <c r="W38" s="718">
        <f t="shared" si="14"/>
        <v>100</v>
      </c>
      <c r="X38" s="719"/>
      <c r="Y38" s="3376"/>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6"/>
      <c r="Q39" s="1537">
        <f t="shared" si="11"/>
        <v>111</v>
      </c>
      <c r="R39" s="714" t="s">
        <v>17</v>
      </c>
      <c r="S39" s="715">
        <f t="shared" si="12"/>
        <v>100</v>
      </c>
      <c r="T39" s="714" t="s">
        <v>17</v>
      </c>
      <c r="U39" s="715">
        <f t="shared" si="13"/>
        <v>100</v>
      </c>
      <c r="V39" s="714" t="s">
        <v>17</v>
      </c>
      <c r="W39" s="715">
        <f t="shared" si="14"/>
        <v>100</v>
      </c>
      <c r="X39" s="1540"/>
      <c r="Y39" s="3376"/>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7"/>
      <c r="Q40" s="1537">
        <f t="shared" si="11"/>
        <v>111</v>
      </c>
      <c r="R40" s="714" t="s">
        <v>17</v>
      </c>
      <c r="S40" s="715">
        <f t="shared" si="12"/>
        <v>100</v>
      </c>
      <c r="T40" s="714" t="s">
        <v>17</v>
      </c>
      <c r="U40" s="715">
        <f t="shared" si="13"/>
        <v>100</v>
      </c>
      <c r="V40" s="714" t="s">
        <v>17</v>
      </c>
      <c r="W40" s="715">
        <f t="shared" si="14"/>
        <v>100</v>
      </c>
      <c r="X40" s="1540"/>
      <c r="Y40" s="3377"/>
      <c r="Z40" s="1541">
        <f t="shared" si="15"/>
        <v>111</v>
      </c>
      <c r="AA40" s="1538">
        <f t="shared" si="3"/>
        <v>1</v>
      </c>
      <c r="AB40" s="1538">
        <f t="shared" si="4"/>
        <v>1</v>
      </c>
      <c r="AC40" s="1538">
        <f t="shared" si="5"/>
        <v>1</v>
      </c>
    </row>
    <row r="41" spans="1:29" ht="15">
      <c r="A41" s="438" t="s">
        <v>2395</v>
      </c>
      <c r="B41" s="439"/>
      <c r="C41" s="1315" t="s">
        <v>1</v>
      </c>
      <c r="D41" s="1316"/>
      <c r="E41" s="1317"/>
      <c r="F41" s="1318"/>
      <c r="G41" s="1319"/>
      <c r="H41" s="1320"/>
      <c r="I41" s="1317"/>
      <c r="J41" s="1320"/>
      <c r="K41" s="723"/>
      <c r="L41" s="1057"/>
      <c r="M41" s="1058"/>
      <c r="N41" s="1045"/>
      <c r="O41" s="1058"/>
      <c r="P41" s="3369" t="str">
        <f>A41</f>
        <v>成交单价（元/平方米）</v>
      </c>
      <c r="Q41" s="3369"/>
      <c r="R41" s="3370">
        <f>E41</f>
        <v>0</v>
      </c>
      <c r="S41" s="3370"/>
      <c r="T41" s="3370">
        <f>G41</f>
        <v>0</v>
      </c>
      <c r="U41" s="3370"/>
      <c r="V41" s="3370">
        <f>I41</f>
        <v>0</v>
      </c>
      <c r="W41" s="3370"/>
      <c r="X41" s="699"/>
      <c r="Y41" s="721"/>
      <c r="Z41" s="699"/>
      <c r="AA41" s="699"/>
      <c r="AB41" s="699"/>
      <c r="AC41" s="699"/>
    </row>
    <row r="42" spans="1:29" ht="15.75" thickBot="1">
      <c r="A42" s="445" t="s">
        <v>2487</v>
      </c>
      <c r="B42" s="446"/>
      <c r="C42" s="1321" t="e">
        <f>R43</f>
        <v>#DIV/0!</v>
      </c>
      <c r="D42" s="2539" t="s">
        <v>2876</v>
      </c>
      <c r="E42" s="1322" t="e">
        <f>R42</f>
        <v>#DIV/0!</v>
      </c>
      <c r="F42" s="2540"/>
      <c r="G42" s="1321" t="e">
        <f>T42</f>
        <v>#DIV/0!</v>
      </c>
      <c r="H42" s="2540"/>
      <c r="I42" s="1322" t="e">
        <f>V42</f>
        <v>#DIV/0!</v>
      </c>
      <c r="J42" s="2540"/>
      <c r="K42" s="2542">
        <f>F42+H42+J42</f>
        <v>0</v>
      </c>
      <c r="L42" s="1057"/>
      <c r="M42" s="1058"/>
      <c r="N42" s="1045"/>
      <c r="O42" s="1058"/>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699"/>
      <c r="Y42" s="699"/>
      <c r="Z42" s="699"/>
      <c r="AA42" s="699"/>
      <c r="AB42" s="699"/>
      <c r="AC42" s="699"/>
    </row>
    <row r="43" spans="1:29" ht="15.75" thickBot="1">
      <c r="A43" s="449" t="s">
        <v>2488</v>
      </c>
      <c r="B43" s="450"/>
      <c r="C43" s="1324" t="e">
        <f>R43</f>
        <v>#DIV/0!</v>
      </c>
      <c r="D43" s="1324"/>
      <c r="E43" s="1324"/>
      <c r="F43" s="1324"/>
      <c r="G43" s="1324"/>
      <c r="H43" s="1324"/>
      <c r="I43" s="1324"/>
      <c r="J43" s="1324"/>
      <c r="K43" s="724"/>
      <c r="L43" s="1057"/>
      <c r="M43" s="1058"/>
      <c r="N43" s="1058"/>
      <c r="O43" s="1058"/>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2021-1</v>
      </c>
      <c r="D52" s="1346">
        <f>EDATE(C52,-1)</f>
        <v>44166</v>
      </c>
      <c r="E52" s="1346">
        <f t="shared" ref="E52:O52" si="16">EDATE(D52,-1)</f>
        <v>44136</v>
      </c>
      <c r="F52" s="1346">
        <f t="shared" si="16"/>
        <v>44105</v>
      </c>
      <c r="G52" s="1346">
        <f t="shared" si="16"/>
        <v>44075</v>
      </c>
      <c r="H52" s="1346">
        <f t="shared" si="16"/>
        <v>44044</v>
      </c>
      <c r="I52" s="1346">
        <f t="shared" si="16"/>
        <v>44013</v>
      </c>
      <c r="J52" s="1346">
        <f t="shared" si="16"/>
        <v>43983</v>
      </c>
      <c r="K52" s="1346">
        <f t="shared" si="16"/>
        <v>43952</v>
      </c>
      <c r="L52" s="1346">
        <f t="shared" si="16"/>
        <v>43922</v>
      </c>
      <c r="M52" s="1346">
        <f t="shared" si="16"/>
        <v>43891</v>
      </c>
      <c r="N52" s="1346">
        <f t="shared" si="16"/>
        <v>43862</v>
      </c>
      <c r="O52" s="1346">
        <f t="shared" si="16"/>
        <v>43831</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3000"/>
      <c r="O54" s="3001"/>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6"/>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2145</v>
      </c>
      <c r="B2" s="1325" t="e">
        <f ca="1">IF(C2="——",IF(B37="元/平方米",ROUND(C39*D3/10000,0),ROUND(F3*C39/10000,0)),IF(B37="元/平方米",ROUND(C39*D3/10000,0),ROUND(F3*C39/10000,0))-D2)</f>
        <v>#DIV/0!</v>
      </c>
      <c r="C2" s="2068"/>
      <c r="D2" s="1038" t="e">
        <f ca="1">SUMIF(INDIRECT("'"&amp;F2&amp;"'"&amp;"!A:A"),"承租人权益价值",INDIRECT("'"&amp;F2&amp;"'"&amp;"!c:c"))</f>
        <v>#REF!</v>
      </c>
      <c r="E2" s="2069" t="s">
        <v>2146</v>
      </c>
      <c r="F2" s="2070"/>
      <c r="G2" s="1039"/>
      <c r="H2" s="1039"/>
      <c r="I2" s="1039"/>
      <c r="J2" s="1039"/>
      <c r="K2" s="1041"/>
      <c r="L2" s="2964"/>
      <c r="M2" s="2965"/>
      <c r="N2" s="2965"/>
      <c r="O2" s="2965"/>
      <c r="P2" s="1326"/>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4"/>
      <c r="M3" s="2965"/>
      <c r="N3" s="2965"/>
      <c r="O3" s="2965"/>
      <c r="P3" s="1326"/>
      <c r="Q3" s="708"/>
      <c r="R3" s="708"/>
      <c r="S3" s="708"/>
      <c r="T3" s="708"/>
      <c r="U3" s="708"/>
      <c r="V3" s="708"/>
      <c r="W3" s="708"/>
      <c r="X3" s="708"/>
      <c r="Y3" s="708"/>
      <c r="Z3" s="708"/>
      <c r="AA3" s="708"/>
      <c r="AB3" s="725"/>
      <c r="AC3" s="722"/>
    </row>
    <row r="4" spans="1:29" ht="15">
      <c r="A4" s="361" t="s">
        <v>2463</v>
      </c>
      <c r="B4" s="362"/>
      <c r="C4" s="3352" t="s">
        <v>2464</v>
      </c>
      <c r="D4" s="3353"/>
      <c r="E4" s="3354" t="s">
        <v>2465</v>
      </c>
      <c r="F4" s="3355"/>
      <c r="G4" s="3352" t="s">
        <v>2466</v>
      </c>
      <c r="H4" s="3353"/>
      <c r="I4" s="3352" t="s">
        <v>2467</v>
      </c>
      <c r="J4" s="3353"/>
      <c r="K4" s="567" t="s">
        <v>2468</v>
      </c>
      <c r="L4" s="2945"/>
      <c r="M4" s="2946"/>
      <c r="N4" s="2946"/>
      <c r="O4" s="2946"/>
      <c r="P4" s="3356" t="s">
        <v>2469</v>
      </c>
      <c r="Q4" s="3357"/>
      <c r="R4" s="3339" t="s">
        <v>2465</v>
      </c>
      <c r="S4" s="3340"/>
      <c r="T4" s="3339" t="s">
        <v>2466</v>
      </c>
      <c r="U4" s="3340"/>
      <c r="V4" s="3364" t="s">
        <v>2467</v>
      </c>
      <c r="W4" s="3364"/>
      <c r="X4" s="1540"/>
      <c r="Y4" s="3339" t="s">
        <v>2469</v>
      </c>
      <c r="Z4" s="3340"/>
      <c r="AA4" s="3334" t="s">
        <v>2465</v>
      </c>
      <c r="AB4" s="3335" t="s">
        <v>2466</v>
      </c>
      <c r="AC4" s="3334" t="s">
        <v>2467</v>
      </c>
    </row>
    <row r="5" spans="1:29" ht="15">
      <c r="A5" s="364"/>
      <c r="B5" s="365"/>
      <c r="C5" s="3345" t="s">
        <v>2360</v>
      </c>
      <c r="D5" s="3346"/>
      <c r="E5" s="3343" t="s">
        <v>2361</v>
      </c>
      <c r="F5" s="3344"/>
      <c r="G5" s="3345" t="s">
        <v>2362</v>
      </c>
      <c r="H5" s="3346"/>
      <c r="I5" s="3345" t="s">
        <v>2363</v>
      </c>
      <c r="J5" s="3346"/>
      <c r="K5" s="567"/>
      <c r="L5" s="2945"/>
      <c r="M5" s="2946"/>
      <c r="N5" s="2946"/>
      <c r="O5" s="2946"/>
      <c r="P5" s="3358"/>
      <c r="Q5" s="3359"/>
      <c r="R5" s="3341"/>
      <c r="S5" s="3342"/>
      <c r="T5" s="3341"/>
      <c r="U5" s="3342"/>
      <c r="V5" s="3364"/>
      <c r="W5" s="3364"/>
      <c r="X5" s="1540"/>
      <c r="Y5" s="3341"/>
      <c r="Z5" s="3342"/>
      <c r="AA5" s="3335"/>
      <c r="AB5" s="3335"/>
      <c r="AC5" s="3335"/>
    </row>
    <row r="6" spans="1:29" ht="15.75" thickBot="1">
      <c r="A6" s="366"/>
      <c r="B6" s="367"/>
      <c r="C6" s="3347" t="s">
        <v>2364</v>
      </c>
      <c r="D6" s="3348"/>
      <c r="E6" s="3349" t="s">
        <v>2364</v>
      </c>
      <c r="F6" s="3350"/>
      <c r="G6" s="3347" t="s">
        <v>2364</v>
      </c>
      <c r="H6" s="3348"/>
      <c r="I6" s="3347" t="s">
        <v>2364</v>
      </c>
      <c r="J6" s="3348"/>
      <c r="K6" s="567" t="s">
        <v>2365</v>
      </c>
      <c r="L6" s="2945"/>
      <c r="M6" s="2946"/>
      <c r="N6" s="2946"/>
      <c r="O6" s="2946"/>
      <c r="P6" s="3360"/>
      <c r="Q6" s="3361"/>
      <c r="R6" s="3341"/>
      <c r="S6" s="3342"/>
      <c r="T6" s="3362"/>
      <c r="U6" s="3363"/>
      <c r="V6" s="3364"/>
      <c r="W6" s="3364"/>
      <c r="X6" s="1540"/>
      <c r="Y6" s="3362"/>
      <c r="Z6" s="3363"/>
      <c r="AA6" s="3336"/>
      <c r="AB6" s="3336"/>
      <c r="AC6" s="3336"/>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37" t="s">
        <v>2367</v>
      </c>
      <c r="Q7" s="3365"/>
      <c r="R7" s="710" t="s">
        <v>17</v>
      </c>
      <c r="S7" s="711">
        <f t="shared" ref="S7:S14" si="0">F7</f>
        <v>0</v>
      </c>
      <c r="T7" s="710" t="s">
        <v>17</v>
      </c>
      <c r="U7" s="711">
        <f t="shared" ref="U7:U14" si="1">H7</f>
        <v>0</v>
      </c>
      <c r="V7" s="710" t="s">
        <v>17</v>
      </c>
      <c r="W7" s="711">
        <f t="shared" ref="W7:W14" si="2">J7</f>
        <v>0</v>
      </c>
      <c r="X7" s="712"/>
      <c r="Y7" s="3337" t="s">
        <v>2367</v>
      </c>
      <c r="Z7" s="3338"/>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37" t="s">
        <v>2370</v>
      </c>
      <c r="Q8" s="3338"/>
      <c r="R8" s="710" t="s">
        <v>17</v>
      </c>
      <c r="S8" s="711">
        <f t="shared" si="0"/>
        <v>0</v>
      </c>
      <c r="T8" s="710" t="s">
        <v>17</v>
      </c>
      <c r="U8" s="711">
        <f t="shared" si="1"/>
        <v>0</v>
      </c>
      <c r="V8" s="710" t="s">
        <v>17</v>
      </c>
      <c r="W8" s="711">
        <f t="shared" si="2"/>
        <v>0</v>
      </c>
      <c r="X8" s="712"/>
      <c r="Y8" s="3337" t="s">
        <v>2370</v>
      </c>
      <c r="Z8" s="3338"/>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69" t="s">
        <v>2373</v>
      </c>
      <c r="Q9" s="1528"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69"/>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69"/>
      <c r="Q11" s="1528">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69"/>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69"/>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2377</v>
      </c>
      <c r="B14" s="585" t="s">
        <v>2527</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71" t="s">
        <v>2378</v>
      </c>
      <c r="Q14" s="1537" t="str">
        <f t="shared" si="6"/>
        <v>交通便捷度</v>
      </c>
      <c r="R14" s="714" t="s">
        <v>17</v>
      </c>
      <c r="S14" s="715">
        <f t="shared" si="0"/>
        <v>100</v>
      </c>
      <c r="T14" s="714" t="s">
        <v>17</v>
      </c>
      <c r="U14" s="715">
        <f t="shared" si="1"/>
        <v>100</v>
      </c>
      <c r="V14" s="714" t="s">
        <v>17</v>
      </c>
      <c r="W14" s="715">
        <f t="shared" si="2"/>
        <v>100</v>
      </c>
      <c r="X14" s="1540"/>
      <c r="Y14" s="3371" t="s">
        <v>2378</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72"/>
      <c r="Q15" s="1537"/>
      <c r="R15" s="714"/>
      <c r="S15" s="715"/>
      <c r="T15" s="714"/>
      <c r="U15" s="715"/>
      <c r="V15" s="714"/>
      <c r="W15" s="715"/>
      <c r="X15" s="1540"/>
      <c r="Y15" s="3372"/>
      <c r="Z15" s="1541"/>
      <c r="AA15" s="1538">
        <v>1</v>
      </c>
      <c r="AB15" s="1538">
        <v>1</v>
      </c>
      <c r="AC15" s="1538">
        <v>1</v>
      </c>
    </row>
    <row r="16" spans="1:29" ht="42.75">
      <c r="A16" s="364"/>
      <c r="B16" s="587" t="s">
        <v>2506</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72"/>
      <c r="Q16" s="1537" t="str">
        <f>B16</f>
        <v>公共配套设施</v>
      </c>
      <c r="R16" s="714" t="s">
        <v>17</v>
      </c>
      <c r="S16" s="715">
        <f>F16</f>
        <v>100</v>
      </c>
      <c r="T16" s="714" t="s">
        <v>17</v>
      </c>
      <c r="U16" s="715">
        <f>H16</f>
        <v>100</v>
      </c>
      <c r="V16" s="714" t="s">
        <v>17</v>
      </c>
      <c r="W16" s="715">
        <f>J16</f>
        <v>100</v>
      </c>
      <c r="X16" s="1540"/>
      <c r="Y16" s="3372"/>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72"/>
      <c r="Q17" s="1537"/>
      <c r="R17" s="714"/>
      <c r="S17" s="715"/>
      <c r="T17" s="714"/>
      <c r="U17" s="715"/>
      <c r="V17" s="714"/>
      <c r="W17" s="715"/>
      <c r="X17" s="1540"/>
      <c r="Y17" s="3372"/>
      <c r="Z17" s="1541"/>
      <c r="AA17" s="1538">
        <v>1</v>
      </c>
      <c r="AB17" s="1538">
        <v>1</v>
      </c>
      <c r="AC17" s="1538">
        <v>1</v>
      </c>
    </row>
    <row r="18" spans="1:29" ht="28.5">
      <c r="A18" s="364"/>
      <c r="B18" s="589" t="s">
        <v>2507</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72"/>
      <c r="Q18" s="1537" t="str">
        <f>B18</f>
        <v>基础设施水平</v>
      </c>
      <c r="R18" s="714" t="s">
        <v>17</v>
      </c>
      <c r="S18" s="715">
        <f>F18</f>
        <v>100</v>
      </c>
      <c r="T18" s="714" t="s">
        <v>17</v>
      </c>
      <c r="U18" s="715">
        <f>H18</f>
        <v>100</v>
      </c>
      <c r="V18" s="714" t="s">
        <v>17</v>
      </c>
      <c r="W18" s="715">
        <f>J18</f>
        <v>100</v>
      </c>
      <c r="X18" s="1540"/>
      <c r="Y18" s="3372"/>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372"/>
      <c r="Q19" s="1537"/>
      <c r="R19" s="714"/>
      <c r="S19" s="715"/>
      <c r="T19" s="714"/>
      <c r="U19" s="715"/>
      <c r="V19" s="714"/>
      <c r="W19" s="715"/>
      <c r="X19" s="1540"/>
      <c r="Y19" s="3372"/>
      <c r="Z19" s="1541"/>
      <c r="AA19" s="1538">
        <v>1</v>
      </c>
      <c r="AB19" s="1538">
        <v>1</v>
      </c>
      <c r="AC19" s="1538">
        <v>1</v>
      </c>
    </row>
    <row r="20" spans="1:29" ht="57">
      <c r="A20" s="364"/>
      <c r="B20" s="587" t="s">
        <v>2528</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72"/>
      <c r="Q20" s="1537" t="str">
        <f>B20</f>
        <v>自然及人文环境</v>
      </c>
      <c r="R20" s="714" t="s">
        <v>17</v>
      </c>
      <c r="S20" s="715">
        <f>F20</f>
        <v>100</v>
      </c>
      <c r="T20" s="714" t="s">
        <v>17</v>
      </c>
      <c r="U20" s="715">
        <f>H20</f>
        <v>100</v>
      </c>
      <c r="V20" s="714" t="s">
        <v>17</v>
      </c>
      <c r="W20" s="715">
        <f>J20</f>
        <v>100</v>
      </c>
      <c r="X20" s="1540"/>
      <c r="Y20" s="337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72"/>
      <c r="Q21" s="1537"/>
      <c r="R21" s="714"/>
      <c r="S21" s="715"/>
      <c r="T21" s="714"/>
      <c r="U21" s="715"/>
      <c r="V21" s="714"/>
      <c r="W21" s="715"/>
      <c r="X21" s="1540"/>
      <c r="Y21" s="3372"/>
      <c r="Z21" s="1541"/>
      <c r="AA21" s="1538">
        <v>1</v>
      </c>
      <c r="AB21" s="1538">
        <v>1</v>
      </c>
      <c r="AC21" s="1538">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72"/>
      <c r="Q22" s="1537" t="str">
        <f>B22</f>
        <v>楼层</v>
      </c>
      <c r="R22" s="714" t="s">
        <v>17</v>
      </c>
      <c r="S22" s="715">
        <f>F22</f>
        <v>100</v>
      </c>
      <c r="T22" s="714" t="s">
        <v>17</v>
      </c>
      <c r="U22" s="715">
        <f>H22</f>
        <v>100</v>
      </c>
      <c r="V22" s="714" t="s">
        <v>17</v>
      </c>
      <c r="W22" s="715">
        <f>J22</f>
        <v>100</v>
      </c>
      <c r="X22" s="1540"/>
      <c r="Y22" s="337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72"/>
      <c r="Q23" s="1537">
        <f>B23</f>
        <v>111</v>
      </c>
      <c r="R23" s="714" t="s">
        <v>17</v>
      </c>
      <c r="S23" s="715">
        <f>F23</f>
        <v>100</v>
      </c>
      <c r="T23" s="714" t="s">
        <v>17</v>
      </c>
      <c r="U23" s="715">
        <f>H23</f>
        <v>100</v>
      </c>
      <c r="V23" s="714" t="s">
        <v>17</v>
      </c>
      <c r="W23" s="715">
        <f>J23</f>
        <v>100</v>
      </c>
      <c r="X23" s="1540"/>
      <c r="Y23" s="337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72"/>
      <c r="Q24" s="1537">
        <f t="shared" ref="Q24:Q36" si="11">B24</f>
        <v>111</v>
      </c>
      <c r="R24" s="714" t="s">
        <v>17</v>
      </c>
      <c r="S24" s="715">
        <f>F24</f>
        <v>100</v>
      </c>
      <c r="T24" s="714" t="s">
        <v>17</v>
      </c>
      <c r="U24" s="715">
        <f>H24</f>
        <v>100</v>
      </c>
      <c r="V24" s="714" t="s">
        <v>17</v>
      </c>
      <c r="W24" s="715">
        <f>J24</f>
        <v>100</v>
      </c>
      <c r="X24" s="1540"/>
      <c r="Y24" s="337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72"/>
      <c r="Q25" s="1528">
        <f t="shared" si="11"/>
        <v>111</v>
      </c>
      <c r="R25" s="710" t="s">
        <v>17</v>
      </c>
      <c r="S25" s="711">
        <f>F25</f>
        <v>100</v>
      </c>
      <c r="T25" s="710" t="s">
        <v>17</v>
      </c>
      <c r="U25" s="711">
        <f>H25</f>
        <v>100</v>
      </c>
      <c r="V25" s="710" t="s">
        <v>17</v>
      </c>
      <c r="W25" s="711">
        <f>J25</f>
        <v>100</v>
      </c>
      <c r="X25" s="712"/>
      <c r="Y25" s="3372"/>
      <c r="Z25" s="55">
        <f>Q25</f>
        <v>111</v>
      </c>
      <c r="AA25" s="1538">
        <f>D25/F25</f>
        <v>1</v>
      </c>
      <c r="AB25" s="1538">
        <f>D25/H25</f>
        <v>1</v>
      </c>
      <c r="AC25" s="1538">
        <f>D25/J25</f>
        <v>1</v>
      </c>
    </row>
    <row r="26" spans="1:29" ht="28.5">
      <c r="A26" s="608" t="s">
        <v>2381</v>
      </c>
      <c r="B26" s="66" t="s">
        <v>2530</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95" t="s">
        <v>2383</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76" t="s">
        <v>2383</v>
      </c>
      <c r="Z26" s="1541" t="str">
        <f t="shared" ref="Z26:Z36" si="15">Q26</f>
        <v>配套类型</v>
      </c>
      <c r="AA26" s="1538">
        <f t="shared" si="3"/>
        <v>1</v>
      </c>
      <c r="AB26" s="1538">
        <f t="shared" si="4"/>
        <v>1</v>
      </c>
      <c r="AC26" s="1538">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76"/>
      <c r="Q27" s="716" t="str">
        <f t="shared" si="11"/>
        <v>项目停车位配比</v>
      </c>
      <c r="R27" s="717" t="s">
        <v>17</v>
      </c>
      <c r="S27" s="718">
        <f t="shared" si="12"/>
        <v>100</v>
      </c>
      <c r="T27" s="717" t="s">
        <v>17</v>
      </c>
      <c r="U27" s="718">
        <f t="shared" si="13"/>
        <v>100</v>
      </c>
      <c r="V27" s="717" t="s">
        <v>17</v>
      </c>
      <c r="W27" s="718">
        <f t="shared" si="14"/>
        <v>100</v>
      </c>
      <c r="X27" s="719"/>
      <c r="Y27" s="3376"/>
      <c r="Z27" s="720" t="str">
        <f t="shared" si="15"/>
        <v>项目停车位配比</v>
      </c>
      <c r="AA27" s="1538">
        <f t="shared" si="3"/>
        <v>1</v>
      </c>
      <c r="AB27" s="1538">
        <f t="shared" si="4"/>
        <v>1</v>
      </c>
      <c r="AC27" s="1538">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76"/>
      <c r="Q28" s="1537" t="str">
        <f t="shared" si="11"/>
        <v>公共部分装修</v>
      </c>
      <c r="R28" s="714" t="s">
        <v>17</v>
      </c>
      <c r="S28" s="715">
        <f t="shared" si="12"/>
        <v>100</v>
      </c>
      <c r="T28" s="714" t="s">
        <v>17</v>
      </c>
      <c r="U28" s="715">
        <f t="shared" si="13"/>
        <v>100</v>
      </c>
      <c r="V28" s="714" t="s">
        <v>17</v>
      </c>
      <c r="W28" s="715">
        <f t="shared" si="14"/>
        <v>100</v>
      </c>
      <c r="X28" s="1540"/>
      <c r="Y28" s="3376"/>
      <c r="Z28" s="1541" t="str">
        <f t="shared" si="15"/>
        <v>公共部分装修</v>
      </c>
      <c r="AA28" s="1538">
        <f t="shared" si="3"/>
        <v>1</v>
      </c>
      <c r="AB28" s="1538">
        <f t="shared" si="4"/>
        <v>1</v>
      </c>
      <c r="AC28" s="1538">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76"/>
      <c r="Q29" s="1537" t="str">
        <f t="shared" si="11"/>
        <v>成新率</v>
      </c>
      <c r="R29" s="714" t="s">
        <v>17</v>
      </c>
      <c r="S29" s="715" t="e">
        <f t="shared" si="12"/>
        <v>#N/A</v>
      </c>
      <c r="T29" s="714" t="s">
        <v>17</v>
      </c>
      <c r="U29" s="715" t="e">
        <f t="shared" si="13"/>
        <v>#N/A</v>
      </c>
      <c r="V29" s="714" t="s">
        <v>17</v>
      </c>
      <c r="W29" s="715" t="e">
        <f t="shared" si="14"/>
        <v>#N/A</v>
      </c>
      <c r="X29" s="1540"/>
      <c r="Y29" s="3376"/>
      <c r="Z29" s="1541" t="str">
        <f t="shared" si="15"/>
        <v>成新率</v>
      </c>
      <c r="AA29" s="1538" t="e">
        <f t="shared" si="3"/>
        <v>#N/A</v>
      </c>
      <c r="AB29" s="1538" t="e">
        <f t="shared" si="4"/>
        <v>#N/A</v>
      </c>
      <c r="AC29" s="1538"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76"/>
      <c r="Q30" s="1537" t="str">
        <f t="shared" si="11"/>
        <v>物业等级</v>
      </c>
      <c r="R30" s="714" t="s">
        <v>17</v>
      </c>
      <c r="S30" s="715">
        <f t="shared" si="12"/>
        <v>100</v>
      </c>
      <c r="T30" s="714" t="s">
        <v>17</v>
      </c>
      <c r="U30" s="715">
        <f t="shared" si="13"/>
        <v>100</v>
      </c>
      <c r="V30" s="714" t="s">
        <v>17</v>
      </c>
      <c r="W30" s="715">
        <f t="shared" si="14"/>
        <v>100</v>
      </c>
      <c r="X30" s="1540"/>
      <c r="Y30" s="3376"/>
      <c r="Z30" s="1541" t="str">
        <f t="shared" si="15"/>
        <v>物业等级</v>
      </c>
      <c r="AA30" s="1538">
        <f t="shared" si="3"/>
        <v>1</v>
      </c>
      <c r="AB30" s="1538">
        <f t="shared" si="4"/>
        <v>1</v>
      </c>
      <c r="AC30" s="1538">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76"/>
      <c r="Q31" s="1528" t="str">
        <f t="shared" si="11"/>
        <v>停车位面积</v>
      </c>
      <c r="R31" s="710" t="s">
        <v>17</v>
      </c>
      <c r="S31" s="711" t="e">
        <f t="shared" si="12"/>
        <v>#N/A</v>
      </c>
      <c r="T31" s="710" t="s">
        <v>17</v>
      </c>
      <c r="U31" s="711" t="e">
        <f t="shared" si="13"/>
        <v>#N/A</v>
      </c>
      <c r="V31" s="710" t="s">
        <v>17</v>
      </c>
      <c r="W31" s="711" t="e">
        <f t="shared" si="14"/>
        <v>#N/A</v>
      </c>
      <c r="X31" s="712"/>
      <c r="Y31" s="337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76" t="s">
        <v>2383</v>
      </c>
      <c r="Q32" s="1537" t="str">
        <f t="shared" si="11"/>
        <v>车位类型</v>
      </c>
      <c r="R32" s="714" t="s">
        <v>17</v>
      </c>
      <c r="S32" s="715">
        <f t="shared" si="12"/>
        <v>100</v>
      </c>
      <c r="T32" s="714" t="s">
        <v>17</v>
      </c>
      <c r="U32" s="715">
        <f t="shared" si="13"/>
        <v>100</v>
      </c>
      <c r="V32" s="714" t="s">
        <v>17</v>
      </c>
      <c r="W32" s="715">
        <f t="shared" si="14"/>
        <v>100</v>
      </c>
      <c r="X32" s="1540"/>
      <c r="Y32" s="3376" t="s">
        <v>2383</v>
      </c>
      <c r="Z32" s="1541" t="str">
        <f t="shared" si="15"/>
        <v>车位类型</v>
      </c>
      <c r="AA32" s="1538">
        <f t="shared" si="3"/>
        <v>1</v>
      </c>
      <c r="AB32" s="1538">
        <f t="shared" si="4"/>
        <v>1</v>
      </c>
      <c r="AC32" s="1538">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76"/>
      <c r="Q33" s="1537" t="str">
        <f t="shared" si="11"/>
        <v>是否直接入户</v>
      </c>
      <c r="R33" s="714" t="s">
        <v>17</v>
      </c>
      <c r="S33" s="715">
        <f t="shared" si="12"/>
        <v>100</v>
      </c>
      <c r="T33" s="714" t="s">
        <v>17</v>
      </c>
      <c r="U33" s="715">
        <f t="shared" si="13"/>
        <v>100</v>
      </c>
      <c r="V33" s="714" t="s">
        <v>17</v>
      </c>
      <c r="W33" s="715">
        <f t="shared" si="14"/>
        <v>100</v>
      </c>
      <c r="X33" s="1540"/>
      <c r="Y33" s="3376"/>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76"/>
      <c r="Q34" s="1537">
        <f t="shared" si="11"/>
        <v>111</v>
      </c>
      <c r="R34" s="714" t="s">
        <v>17</v>
      </c>
      <c r="S34" s="715">
        <f t="shared" si="12"/>
        <v>100</v>
      </c>
      <c r="T34" s="714" t="s">
        <v>17</v>
      </c>
      <c r="U34" s="715">
        <f t="shared" si="13"/>
        <v>100</v>
      </c>
      <c r="V34" s="714" t="s">
        <v>17</v>
      </c>
      <c r="W34" s="715">
        <f t="shared" si="14"/>
        <v>100</v>
      </c>
      <c r="X34" s="1540"/>
      <c r="Y34" s="3376"/>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76"/>
      <c r="Q35" s="716">
        <f t="shared" si="11"/>
        <v>111</v>
      </c>
      <c r="R35" s="717" t="s">
        <v>17</v>
      </c>
      <c r="S35" s="718">
        <f t="shared" si="12"/>
        <v>100</v>
      </c>
      <c r="T35" s="717" t="s">
        <v>17</v>
      </c>
      <c r="U35" s="718">
        <f t="shared" si="13"/>
        <v>100</v>
      </c>
      <c r="V35" s="717" t="s">
        <v>17</v>
      </c>
      <c r="W35" s="718">
        <f t="shared" si="14"/>
        <v>100</v>
      </c>
      <c r="X35" s="719"/>
      <c r="Y35" s="3376"/>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76"/>
      <c r="Q36" s="1537">
        <f t="shared" si="11"/>
        <v>111</v>
      </c>
      <c r="R36" s="714" t="s">
        <v>17</v>
      </c>
      <c r="S36" s="715">
        <f t="shared" si="12"/>
        <v>100</v>
      </c>
      <c r="T36" s="714" t="s">
        <v>17</v>
      </c>
      <c r="U36" s="715">
        <f t="shared" si="13"/>
        <v>100</v>
      </c>
      <c r="V36" s="714" t="s">
        <v>17</v>
      </c>
      <c r="W36" s="715">
        <f t="shared" si="14"/>
        <v>100</v>
      </c>
      <c r="X36" s="1540"/>
      <c r="Y36" s="3376"/>
      <c r="Z36" s="1541">
        <f t="shared" si="15"/>
        <v>111</v>
      </c>
      <c r="AA36" s="1538">
        <f t="shared" si="3"/>
        <v>1</v>
      </c>
      <c r="AB36" s="1538">
        <f t="shared" si="4"/>
        <v>1</v>
      </c>
      <c r="AC36" s="1538">
        <f t="shared" si="5"/>
        <v>1</v>
      </c>
    </row>
    <row r="37" spans="1:29" ht="15">
      <c r="A37" s="438" t="s">
        <v>2538</v>
      </c>
      <c r="B37" s="2160" t="s">
        <v>2539</v>
      </c>
      <c r="C37" s="1315" t="s">
        <v>1</v>
      </c>
      <c r="D37" s="1316"/>
      <c r="E37" s="1317"/>
      <c r="F37" s="1318"/>
      <c r="G37" s="1319"/>
      <c r="H37" s="1320"/>
      <c r="I37" s="1317"/>
      <c r="J37" s="1320"/>
      <c r="K37" s="576"/>
      <c r="L37" s="2954"/>
      <c r="M37" s="2955"/>
      <c r="N37" s="2946"/>
      <c r="O37" s="2955"/>
      <c r="P37" s="3369" t="str">
        <f>A37</f>
        <v>成交单价</v>
      </c>
      <c r="Q37" s="3369"/>
      <c r="R37" s="3370">
        <f>E37</f>
        <v>0</v>
      </c>
      <c r="S37" s="3370"/>
      <c r="T37" s="3370">
        <f>G37</f>
        <v>0</v>
      </c>
      <c r="U37" s="3370"/>
      <c r="V37" s="3370">
        <f>I37</f>
        <v>0</v>
      </c>
      <c r="W37" s="3370"/>
      <c r="X37" s="699"/>
      <c r="Y37" s="721"/>
      <c r="Z37" s="699"/>
      <c r="AA37" s="699"/>
      <c r="AB37" s="699"/>
      <c r="AC37" s="699"/>
    </row>
    <row r="38" spans="1:29" ht="15.75" thickBot="1">
      <c r="A38" s="445" t="s">
        <v>2540</v>
      </c>
      <c r="B38" s="446" t="str">
        <f>B37</f>
        <v>元/车位</v>
      </c>
      <c r="C38" s="1321" t="e">
        <f>R39</f>
        <v>#DIV/0!</v>
      </c>
      <c r="D38" s="2539" t="s">
        <v>2876</v>
      </c>
      <c r="E38" s="1322" t="e">
        <f>R38</f>
        <v>#DIV/0!</v>
      </c>
      <c r="F38" s="2540"/>
      <c r="G38" s="1321" t="e">
        <f>T38</f>
        <v>#DIV/0!</v>
      </c>
      <c r="H38" s="2540"/>
      <c r="I38" s="1322" t="e">
        <f>V38</f>
        <v>#DIV/0!</v>
      </c>
      <c r="J38" s="2540"/>
      <c r="K38" s="2542">
        <f>F38+H38+J38</f>
        <v>0</v>
      </c>
      <c r="L38" s="2954"/>
      <c r="M38" s="2955"/>
      <c r="N38" s="2955"/>
      <c r="O38" s="2955"/>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699"/>
      <c r="Y38" s="699"/>
      <c r="Z38" s="699"/>
      <c r="AA38" s="699"/>
      <c r="AB38" s="699"/>
      <c r="AC38" s="699"/>
    </row>
    <row r="39" spans="1:29" ht="15.75" thickBot="1">
      <c r="A39" s="449" t="s">
        <v>2541</v>
      </c>
      <c r="B39" s="450"/>
      <c r="C39" s="1324" t="e">
        <f>R39</f>
        <v>#DIV/0!</v>
      </c>
      <c r="D39" s="1324"/>
      <c r="E39" s="1324"/>
      <c r="F39" s="1324"/>
      <c r="G39" s="1324"/>
      <c r="H39" s="1324"/>
      <c r="I39" s="1324"/>
      <c r="J39" s="1324"/>
      <c r="K39" s="577"/>
      <c r="L39" s="2954"/>
      <c r="M39" s="2955"/>
      <c r="N39" s="2955"/>
      <c r="O39" s="2955"/>
      <c r="P39" s="3366" t="str">
        <f>A39</f>
        <v>估价对象XX用房的比较价值（楼面单价，元/平方米）</v>
      </c>
      <c r="Q39" s="3367"/>
      <c r="R39" s="3396" t="e">
        <f>IF(F1="售价",ROUND(IF(D38="简单平均",AVERAGE(R38:W38),R38*F38+T38*H38+V38*J38),0),ROUND(IF(D38="简单平均",AVERAGE(R38:V38),R38*F38+T38*H38+V38*J38),1))</f>
        <v>#DIV/0!</v>
      </c>
      <c r="S39" s="3396"/>
      <c r="T39" s="3396"/>
      <c r="U39" s="3396"/>
      <c r="V39" s="3396"/>
      <c r="W39" s="3396"/>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2545</v>
      </c>
      <c r="B47" s="1058"/>
      <c r="C47" s="1071"/>
      <c r="D47" s="1071"/>
      <c r="E47" s="1071"/>
      <c r="F47" s="1328"/>
      <c r="G47" s="1328"/>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2546</v>
      </c>
      <c r="B48" s="463"/>
      <c r="C48" s="1345" t="str">
        <f>YEAR(C7)&amp;"-"&amp;MONTH(C7)</f>
        <v>2021-1</v>
      </c>
      <c r="D48" s="1346">
        <f>EDATE(C48,-1)</f>
        <v>44166</v>
      </c>
      <c r="E48" s="1346">
        <f t="shared" ref="E48:O48" si="16">EDATE(D48,-1)</f>
        <v>44136</v>
      </c>
      <c r="F48" s="1346">
        <f t="shared" si="16"/>
        <v>44105</v>
      </c>
      <c r="G48" s="1346">
        <f t="shared" si="16"/>
        <v>44075</v>
      </c>
      <c r="H48" s="1346">
        <f t="shared" si="16"/>
        <v>44044</v>
      </c>
      <c r="I48" s="1346">
        <f t="shared" si="16"/>
        <v>44013</v>
      </c>
      <c r="J48" s="1346">
        <f t="shared" si="16"/>
        <v>43983</v>
      </c>
      <c r="K48" s="1346">
        <f t="shared" si="16"/>
        <v>43952</v>
      </c>
      <c r="L48" s="1346">
        <f t="shared" si="16"/>
        <v>43922</v>
      </c>
      <c r="M48" s="1346">
        <f t="shared" si="16"/>
        <v>43891</v>
      </c>
      <c r="N48" s="1346">
        <f t="shared" si="16"/>
        <v>43862</v>
      </c>
      <c r="O48" s="1346">
        <f t="shared" si="16"/>
        <v>43831</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2403</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2368</v>
      </c>
      <c r="B51" s="467"/>
      <c r="C51" s="479" t="s">
        <v>2470</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2406</v>
      </c>
      <c r="B53" s="485" t="s">
        <v>2372</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2421</v>
      </c>
      <c r="C65" s="535" t="s">
        <v>2415</v>
      </c>
      <c r="D65" s="535" t="s">
        <v>2416</v>
      </c>
      <c r="E65" s="535" t="s">
        <v>2417</v>
      </c>
      <c r="F65" s="535" t="s">
        <v>2418</v>
      </c>
      <c r="G65" s="535" t="s">
        <v>2419</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2507</v>
      </c>
      <c r="C67" s="616" t="s">
        <v>2493</v>
      </c>
      <c r="D67" s="616" t="s">
        <v>2494</v>
      </c>
      <c r="E67" s="616" t="s">
        <v>2495</v>
      </c>
      <c r="F67" s="616" t="s">
        <v>2496</v>
      </c>
      <c r="G67" s="616" t="s">
        <v>2497</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2427</v>
      </c>
      <c r="C69" s="535" t="s">
        <v>2415</v>
      </c>
      <c r="D69" s="535" t="s">
        <v>2416</v>
      </c>
      <c r="E69" s="535" t="s">
        <v>2417</v>
      </c>
      <c r="F69" s="535" t="s">
        <v>2418</v>
      </c>
      <c r="G69" s="535" t="s">
        <v>2419</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2547</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2381</v>
      </c>
      <c r="B79" s="485" t="s">
        <v>2548</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2549</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2434</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2551</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2553</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2554</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6"/>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2145</v>
      </c>
      <c r="B2" s="1325" t="e">
        <f ca="1">IF(C2="——",ROUND(C37*D3/10000,0),ROUND(C37*D3/10000,0)-D2)</f>
        <v>#DIV/0!</v>
      </c>
      <c r="C2" s="2068"/>
      <c r="D2" s="1038" t="e">
        <f ca="1">SUMIF(INDIRECT("'"&amp;F2&amp;"'"&amp;"!A:A"),"承租人权益价值",INDIRECT("'"&amp;F2&amp;"'"&amp;"!c:c"))</f>
        <v>#REF!</v>
      </c>
      <c r="E2" s="2069" t="s">
        <v>2146</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52" t="s">
        <v>2464</v>
      </c>
      <c r="D4" s="3353"/>
      <c r="E4" s="3354" t="s">
        <v>2465</v>
      </c>
      <c r="F4" s="3355"/>
      <c r="G4" s="3352" t="s">
        <v>2466</v>
      </c>
      <c r="H4" s="3353"/>
      <c r="I4" s="3352" t="s">
        <v>2467</v>
      </c>
      <c r="J4" s="3353"/>
      <c r="K4" s="567" t="s">
        <v>2468</v>
      </c>
      <c r="L4" s="2945"/>
      <c r="M4" s="2946"/>
      <c r="N4" s="2946"/>
      <c r="O4" s="2946"/>
      <c r="P4" s="3356" t="s">
        <v>2469</v>
      </c>
      <c r="Q4" s="3357"/>
      <c r="R4" s="3339" t="s">
        <v>2465</v>
      </c>
      <c r="S4" s="3340"/>
      <c r="T4" s="3339" t="s">
        <v>2466</v>
      </c>
      <c r="U4" s="3340"/>
      <c r="V4" s="3364" t="s">
        <v>2467</v>
      </c>
      <c r="W4" s="3364"/>
      <c r="X4" s="1540"/>
      <c r="Y4" s="3339" t="s">
        <v>2469</v>
      </c>
      <c r="Z4" s="3340"/>
      <c r="AA4" s="3334" t="s">
        <v>2465</v>
      </c>
      <c r="AB4" s="3335" t="s">
        <v>2466</v>
      </c>
      <c r="AC4" s="3334" t="s">
        <v>2467</v>
      </c>
    </row>
    <row r="5" spans="1:29" ht="15">
      <c r="A5" s="364"/>
      <c r="B5" s="365"/>
      <c r="C5" s="3345" t="s">
        <v>2360</v>
      </c>
      <c r="D5" s="3346"/>
      <c r="E5" s="3343" t="s">
        <v>2361</v>
      </c>
      <c r="F5" s="3344"/>
      <c r="G5" s="3345" t="s">
        <v>2362</v>
      </c>
      <c r="H5" s="3346"/>
      <c r="I5" s="3345" t="s">
        <v>2363</v>
      </c>
      <c r="J5" s="3346"/>
      <c r="K5" s="567"/>
      <c r="L5" s="2945"/>
      <c r="M5" s="2946"/>
      <c r="N5" s="2946"/>
      <c r="O5" s="2946"/>
      <c r="P5" s="3358"/>
      <c r="Q5" s="3359"/>
      <c r="R5" s="3341"/>
      <c r="S5" s="3342"/>
      <c r="T5" s="3341"/>
      <c r="U5" s="3342"/>
      <c r="V5" s="3364"/>
      <c r="W5" s="3364"/>
      <c r="X5" s="1540"/>
      <c r="Y5" s="3341"/>
      <c r="Z5" s="3342"/>
      <c r="AA5" s="3335"/>
      <c r="AB5" s="3335"/>
      <c r="AC5" s="3335"/>
    </row>
    <row r="6" spans="1:29" ht="15.75" thickBot="1">
      <c r="A6" s="366"/>
      <c r="B6" s="367"/>
      <c r="C6" s="3347" t="s">
        <v>2364</v>
      </c>
      <c r="D6" s="3348"/>
      <c r="E6" s="3349" t="s">
        <v>2364</v>
      </c>
      <c r="F6" s="3350"/>
      <c r="G6" s="3347" t="s">
        <v>2364</v>
      </c>
      <c r="H6" s="3348"/>
      <c r="I6" s="3347" t="s">
        <v>2364</v>
      </c>
      <c r="J6" s="3348"/>
      <c r="K6" s="567" t="s">
        <v>2365</v>
      </c>
      <c r="L6" s="2945"/>
      <c r="M6" s="2946"/>
      <c r="N6" s="2946"/>
      <c r="O6" s="2946"/>
      <c r="P6" s="3360"/>
      <c r="Q6" s="3361"/>
      <c r="R6" s="3341"/>
      <c r="S6" s="3342"/>
      <c r="T6" s="3362"/>
      <c r="U6" s="3363"/>
      <c r="V6" s="3364"/>
      <c r="W6" s="3364"/>
      <c r="X6" s="1540"/>
      <c r="Y6" s="3362"/>
      <c r="Z6" s="3363"/>
      <c r="AA6" s="3336"/>
      <c r="AB6" s="3336"/>
      <c r="AC6" s="3336"/>
    </row>
    <row r="7" spans="1:29" s="113" customFormat="1" ht="15.75" thickBot="1">
      <c r="A7" s="368" t="s">
        <v>2366</v>
      </c>
      <c r="B7" s="369"/>
      <c r="C7" s="370">
        <f>'数据-取费表'!B2</f>
        <v>44222</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37" t="s">
        <v>2367</v>
      </c>
      <c r="Q7" s="3365"/>
      <c r="R7" s="710" t="s">
        <v>17</v>
      </c>
      <c r="S7" s="711">
        <f t="shared" ref="S7:S14" si="0">F7</f>
        <v>0</v>
      </c>
      <c r="T7" s="710" t="s">
        <v>17</v>
      </c>
      <c r="U7" s="711">
        <f t="shared" ref="U7:U14" si="1">H7</f>
        <v>0</v>
      </c>
      <c r="V7" s="710" t="s">
        <v>17</v>
      </c>
      <c r="W7" s="711">
        <f t="shared" ref="W7:W14" si="2">J7</f>
        <v>0</v>
      </c>
      <c r="X7" s="712"/>
      <c r="Y7" s="3337" t="s">
        <v>2367</v>
      </c>
      <c r="Z7" s="3338"/>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37" t="s">
        <v>2370</v>
      </c>
      <c r="Q8" s="3338"/>
      <c r="R8" s="710" t="s">
        <v>17</v>
      </c>
      <c r="S8" s="711">
        <f t="shared" si="0"/>
        <v>0</v>
      </c>
      <c r="T8" s="710" t="s">
        <v>17</v>
      </c>
      <c r="U8" s="711">
        <f t="shared" si="1"/>
        <v>0</v>
      </c>
      <c r="V8" s="710" t="s">
        <v>17</v>
      </c>
      <c r="W8" s="711">
        <f t="shared" si="2"/>
        <v>0</v>
      </c>
      <c r="X8" s="712"/>
      <c r="Y8" s="3337" t="s">
        <v>2370</v>
      </c>
      <c r="Z8" s="3338"/>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69" t="s">
        <v>2373</v>
      </c>
      <c r="Q9" s="1528"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69"/>
      <c r="Q10" s="1528"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69"/>
      <c r="Q11" s="1528">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69"/>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69"/>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2377</v>
      </c>
      <c r="B14" s="65" t="s">
        <v>2527</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71" t="s">
        <v>2378</v>
      </c>
      <c r="Q14" s="1537" t="str">
        <f t="shared" si="6"/>
        <v>交通便捷度</v>
      </c>
      <c r="R14" s="714" t="s">
        <v>17</v>
      </c>
      <c r="S14" s="715">
        <f t="shared" si="0"/>
        <v>100</v>
      </c>
      <c r="T14" s="714" t="s">
        <v>17</v>
      </c>
      <c r="U14" s="715">
        <f t="shared" si="1"/>
        <v>100</v>
      </c>
      <c r="V14" s="714" t="s">
        <v>17</v>
      </c>
      <c r="W14" s="715">
        <f t="shared" si="2"/>
        <v>100</v>
      </c>
      <c r="X14" s="1540"/>
      <c r="Y14" s="3371" t="s">
        <v>2378</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72"/>
      <c r="Q15" s="1537"/>
      <c r="R15" s="714"/>
      <c r="S15" s="715"/>
      <c r="T15" s="714"/>
      <c r="U15" s="715"/>
      <c r="V15" s="714"/>
      <c r="W15" s="715"/>
      <c r="X15" s="1540"/>
      <c r="Y15" s="3372"/>
      <c r="Z15" s="1541"/>
      <c r="AA15" s="1538">
        <v>1</v>
      </c>
      <c r="AB15" s="1538">
        <v>1</v>
      </c>
      <c r="AC15" s="1538">
        <v>1</v>
      </c>
    </row>
    <row r="16" spans="1:29" ht="42.75">
      <c r="A16" s="387"/>
      <c r="B16" s="410" t="s">
        <v>2506</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72"/>
      <c r="Q16" s="1537" t="str">
        <f>B16</f>
        <v>公共配套设施</v>
      </c>
      <c r="R16" s="714" t="s">
        <v>17</v>
      </c>
      <c r="S16" s="715">
        <f>F16</f>
        <v>100</v>
      </c>
      <c r="T16" s="714" t="s">
        <v>17</v>
      </c>
      <c r="U16" s="715">
        <f>H16</f>
        <v>100</v>
      </c>
      <c r="V16" s="714" t="s">
        <v>17</v>
      </c>
      <c r="W16" s="715">
        <f>J16</f>
        <v>100</v>
      </c>
      <c r="X16" s="1540"/>
      <c r="Y16" s="3372"/>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72"/>
      <c r="Q17" s="1537"/>
      <c r="R17" s="714"/>
      <c r="S17" s="715"/>
      <c r="T17" s="714"/>
      <c r="U17" s="715"/>
      <c r="V17" s="714"/>
      <c r="W17" s="715"/>
      <c r="X17" s="1540"/>
      <c r="Y17" s="3372"/>
      <c r="Z17" s="1541"/>
      <c r="AA17" s="1538">
        <v>1</v>
      </c>
      <c r="AB17" s="1538">
        <v>1</v>
      </c>
      <c r="AC17" s="1538">
        <v>1</v>
      </c>
    </row>
    <row r="18" spans="1:29" ht="28.5">
      <c r="A18" s="387"/>
      <c r="B18" s="1292" t="s">
        <v>2507</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72"/>
      <c r="Q18" s="1537" t="str">
        <f>B18</f>
        <v>基础设施水平</v>
      </c>
      <c r="R18" s="714" t="s">
        <v>17</v>
      </c>
      <c r="S18" s="715">
        <f>F18</f>
        <v>100</v>
      </c>
      <c r="T18" s="714" t="s">
        <v>17</v>
      </c>
      <c r="U18" s="715">
        <f>H18</f>
        <v>100</v>
      </c>
      <c r="V18" s="714" t="s">
        <v>17</v>
      </c>
      <c r="W18" s="715">
        <f>J18</f>
        <v>100</v>
      </c>
      <c r="X18" s="1540"/>
      <c r="Y18" s="3372"/>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372"/>
      <c r="Q19" s="1537"/>
      <c r="R19" s="714"/>
      <c r="S19" s="715"/>
      <c r="T19" s="714"/>
      <c r="U19" s="715"/>
      <c r="V19" s="714"/>
      <c r="W19" s="715"/>
      <c r="X19" s="1540"/>
      <c r="Y19" s="3372"/>
      <c r="Z19" s="1541"/>
      <c r="AA19" s="1538">
        <v>1</v>
      </c>
      <c r="AB19" s="1538">
        <v>1</v>
      </c>
      <c r="AC19" s="1538">
        <v>1</v>
      </c>
    </row>
    <row r="20" spans="1:29" ht="57">
      <c r="A20" s="387"/>
      <c r="B20" s="410" t="s">
        <v>2528</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72"/>
      <c r="Q20" s="1537" t="str">
        <f>B20</f>
        <v>自然及人文环境</v>
      </c>
      <c r="R20" s="714" t="s">
        <v>17</v>
      </c>
      <c r="S20" s="715">
        <f>F20</f>
        <v>100</v>
      </c>
      <c r="T20" s="714" t="s">
        <v>17</v>
      </c>
      <c r="U20" s="715">
        <f>H20</f>
        <v>100</v>
      </c>
      <c r="V20" s="714" t="s">
        <v>17</v>
      </c>
      <c r="W20" s="715">
        <f>J20</f>
        <v>100</v>
      </c>
      <c r="X20" s="1540"/>
      <c r="Y20" s="337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72"/>
      <c r="Q21" s="1537"/>
      <c r="R21" s="714"/>
      <c r="S21" s="715"/>
      <c r="T21" s="714"/>
      <c r="U21" s="715"/>
      <c r="V21" s="714"/>
      <c r="W21" s="715"/>
      <c r="X21" s="1540"/>
      <c r="Y21" s="3372"/>
      <c r="Z21" s="1541"/>
      <c r="AA21" s="1538">
        <v>1</v>
      </c>
      <c r="AB21" s="1538">
        <v>1</v>
      </c>
      <c r="AC21" s="1538">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72"/>
      <c r="Q22" s="1537" t="str">
        <f>B22</f>
        <v>楼层</v>
      </c>
      <c r="R22" s="714" t="s">
        <v>17</v>
      </c>
      <c r="S22" s="715">
        <f>F22</f>
        <v>100</v>
      </c>
      <c r="T22" s="714" t="s">
        <v>17</v>
      </c>
      <c r="U22" s="715">
        <f>H22</f>
        <v>100</v>
      </c>
      <c r="V22" s="714" t="s">
        <v>17</v>
      </c>
      <c r="W22" s="715">
        <f>J22</f>
        <v>100</v>
      </c>
      <c r="X22" s="1540"/>
      <c r="Y22" s="3372"/>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72"/>
      <c r="Q23" s="1537">
        <f>B23</f>
        <v>111</v>
      </c>
      <c r="R23" s="714" t="s">
        <v>17</v>
      </c>
      <c r="S23" s="715">
        <f>F23</f>
        <v>100</v>
      </c>
      <c r="T23" s="714" t="s">
        <v>17</v>
      </c>
      <c r="U23" s="715">
        <f>H23</f>
        <v>100</v>
      </c>
      <c r="V23" s="714" t="s">
        <v>17</v>
      </c>
      <c r="W23" s="715">
        <f>J23</f>
        <v>100</v>
      </c>
      <c r="X23" s="1540"/>
      <c r="Y23" s="3372"/>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72"/>
      <c r="Q24" s="1537">
        <f t="shared" ref="Q24:Q34" si="11">B24</f>
        <v>111</v>
      </c>
      <c r="R24" s="714" t="s">
        <v>17</v>
      </c>
      <c r="S24" s="715">
        <f>F24</f>
        <v>100</v>
      </c>
      <c r="T24" s="714" t="s">
        <v>17</v>
      </c>
      <c r="U24" s="715">
        <f>H24</f>
        <v>100</v>
      </c>
      <c r="V24" s="714" t="s">
        <v>17</v>
      </c>
      <c r="W24" s="715">
        <f>J24</f>
        <v>100</v>
      </c>
      <c r="X24" s="1540"/>
      <c r="Y24" s="3372"/>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72"/>
      <c r="Q25" s="1528">
        <f t="shared" si="11"/>
        <v>111</v>
      </c>
      <c r="R25" s="710" t="s">
        <v>17</v>
      </c>
      <c r="S25" s="711">
        <f>F25</f>
        <v>100</v>
      </c>
      <c r="T25" s="710" t="s">
        <v>17</v>
      </c>
      <c r="U25" s="711">
        <f>H25</f>
        <v>100</v>
      </c>
      <c r="V25" s="710" t="s">
        <v>17</v>
      </c>
      <c r="W25" s="711">
        <f>J25</f>
        <v>100</v>
      </c>
      <c r="X25" s="712"/>
      <c r="Y25" s="3372"/>
      <c r="Z25" s="55">
        <f>Q25</f>
        <v>111</v>
      </c>
      <c r="AA25" s="1538">
        <f>D25/F25</f>
        <v>1</v>
      </c>
      <c r="AB25" s="1538">
        <f>D25/H25</f>
        <v>1</v>
      </c>
      <c r="AC25" s="1538">
        <f>D25/J25</f>
        <v>1</v>
      </c>
    </row>
    <row r="26" spans="1:29" ht="28.5">
      <c r="A26" s="425" t="s">
        <v>2381</v>
      </c>
      <c r="B26" s="67" t="s">
        <v>2532</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95" t="s">
        <v>2383</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76" t="s">
        <v>2383</v>
      </c>
      <c r="Z26" s="1541" t="str">
        <f t="shared" ref="Z26:Z34" si="15">Q26</f>
        <v>公共部分装修</v>
      </c>
      <c r="AA26" s="1538">
        <f t="shared" si="3"/>
        <v>1</v>
      </c>
      <c r="AB26" s="1538">
        <f t="shared" si="4"/>
        <v>1</v>
      </c>
      <c r="AC26" s="1538">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76"/>
      <c r="Q27" s="716" t="str">
        <f t="shared" si="11"/>
        <v>成新率</v>
      </c>
      <c r="R27" s="717" t="s">
        <v>17</v>
      </c>
      <c r="S27" s="718" t="e">
        <f t="shared" si="12"/>
        <v>#N/A</v>
      </c>
      <c r="T27" s="717" t="s">
        <v>17</v>
      </c>
      <c r="U27" s="718" t="e">
        <f t="shared" si="13"/>
        <v>#N/A</v>
      </c>
      <c r="V27" s="717" t="s">
        <v>17</v>
      </c>
      <c r="W27" s="718" t="e">
        <f t="shared" si="14"/>
        <v>#N/A</v>
      </c>
      <c r="X27" s="719"/>
      <c r="Y27" s="3376"/>
      <c r="Z27" s="720" t="str">
        <f t="shared" si="15"/>
        <v>成新率</v>
      </c>
      <c r="AA27" s="1538" t="e">
        <f t="shared" si="3"/>
        <v>#N/A</v>
      </c>
      <c r="AB27" s="1538" t="e">
        <f t="shared" si="4"/>
        <v>#N/A</v>
      </c>
      <c r="AC27" s="1538"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76"/>
      <c r="Q28" s="1537" t="str">
        <f t="shared" si="11"/>
        <v>物业等级</v>
      </c>
      <c r="R28" s="714" t="s">
        <v>17</v>
      </c>
      <c r="S28" s="715">
        <f t="shared" si="12"/>
        <v>100</v>
      </c>
      <c r="T28" s="714" t="s">
        <v>17</v>
      </c>
      <c r="U28" s="715">
        <f t="shared" si="13"/>
        <v>100</v>
      </c>
      <c r="V28" s="714" t="s">
        <v>17</v>
      </c>
      <c r="W28" s="715">
        <f t="shared" si="14"/>
        <v>100</v>
      </c>
      <c r="X28" s="1540"/>
      <c r="Y28" s="3376"/>
      <c r="Z28" s="1541" t="str">
        <f t="shared" si="15"/>
        <v>物业等级</v>
      </c>
      <c r="AA28" s="1538">
        <f t="shared" si="3"/>
        <v>1</v>
      </c>
      <c r="AB28" s="1538">
        <f t="shared" si="4"/>
        <v>1</v>
      </c>
      <c r="AC28" s="1538">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76"/>
      <c r="Q29" s="1537" t="str">
        <f t="shared" si="11"/>
        <v>有无电梯</v>
      </c>
      <c r="R29" s="714" t="s">
        <v>17</v>
      </c>
      <c r="S29" s="715">
        <f t="shared" si="12"/>
        <v>100</v>
      </c>
      <c r="T29" s="714" t="s">
        <v>17</v>
      </c>
      <c r="U29" s="715">
        <f t="shared" si="13"/>
        <v>100</v>
      </c>
      <c r="V29" s="714" t="s">
        <v>17</v>
      </c>
      <c r="W29" s="715">
        <f t="shared" si="14"/>
        <v>100</v>
      </c>
      <c r="X29" s="1540"/>
      <c r="Y29" s="3376"/>
      <c r="Z29" s="1541" t="str">
        <f t="shared" si="15"/>
        <v>有无电梯</v>
      </c>
      <c r="AA29" s="1538">
        <f t="shared" si="3"/>
        <v>1</v>
      </c>
      <c r="AB29" s="1538">
        <f t="shared" si="4"/>
        <v>1</v>
      </c>
      <c r="AC29" s="1538">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76"/>
      <c r="Q30" s="1537" t="str">
        <f t="shared" si="11"/>
        <v>建筑面积</v>
      </c>
      <c r="R30" s="714" t="s">
        <v>17</v>
      </c>
      <c r="S30" s="715" t="e">
        <f t="shared" si="12"/>
        <v>#N/A</v>
      </c>
      <c r="T30" s="714" t="s">
        <v>17</v>
      </c>
      <c r="U30" s="715" t="e">
        <f t="shared" si="13"/>
        <v>#N/A</v>
      </c>
      <c r="V30" s="714" t="s">
        <v>17</v>
      </c>
      <c r="W30" s="715" t="e">
        <f t="shared" si="14"/>
        <v>#N/A</v>
      </c>
      <c r="X30" s="1540"/>
      <c r="Y30" s="3376"/>
      <c r="Z30" s="1541" t="str">
        <f t="shared" si="15"/>
        <v>建筑面积</v>
      </c>
      <c r="AA30" s="1538" t="e">
        <f t="shared" si="3"/>
        <v>#N/A</v>
      </c>
      <c r="AB30" s="1538" t="e">
        <f t="shared" si="4"/>
        <v>#N/A</v>
      </c>
      <c r="AC30" s="1538"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76"/>
      <c r="Q31" s="1528" t="str">
        <f t="shared" si="11"/>
        <v>是否封闭</v>
      </c>
      <c r="R31" s="710" t="s">
        <v>17</v>
      </c>
      <c r="S31" s="711">
        <f t="shared" si="12"/>
        <v>100</v>
      </c>
      <c r="T31" s="710" t="s">
        <v>17</v>
      </c>
      <c r="U31" s="711">
        <f t="shared" si="13"/>
        <v>100</v>
      </c>
      <c r="V31" s="710" t="s">
        <v>17</v>
      </c>
      <c r="W31" s="711">
        <f t="shared" si="14"/>
        <v>100</v>
      </c>
      <c r="X31" s="712"/>
      <c r="Y31" s="3376"/>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76" t="s">
        <v>2383</v>
      </c>
      <c r="Q32" s="1537">
        <f t="shared" si="11"/>
        <v>111</v>
      </c>
      <c r="R32" s="714" t="s">
        <v>17</v>
      </c>
      <c r="S32" s="715">
        <f t="shared" si="12"/>
        <v>100</v>
      </c>
      <c r="T32" s="714" t="s">
        <v>17</v>
      </c>
      <c r="U32" s="715">
        <f t="shared" si="13"/>
        <v>100</v>
      </c>
      <c r="V32" s="714" t="s">
        <v>17</v>
      </c>
      <c r="W32" s="715">
        <f t="shared" si="14"/>
        <v>100</v>
      </c>
      <c r="X32" s="1540"/>
      <c r="Y32" s="3376" t="s">
        <v>2383</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76"/>
      <c r="Q33" s="1537">
        <f t="shared" si="11"/>
        <v>111</v>
      </c>
      <c r="R33" s="714" t="s">
        <v>17</v>
      </c>
      <c r="S33" s="715">
        <f t="shared" si="12"/>
        <v>100</v>
      </c>
      <c r="T33" s="714" t="s">
        <v>17</v>
      </c>
      <c r="U33" s="715">
        <f t="shared" si="13"/>
        <v>100</v>
      </c>
      <c r="V33" s="714" t="s">
        <v>17</v>
      </c>
      <c r="W33" s="715">
        <f t="shared" si="14"/>
        <v>100</v>
      </c>
      <c r="X33" s="1540"/>
      <c r="Y33" s="3376"/>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76"/>
      <c r="Q34" s="1537">
        <f t="shared" si="11"/>
        <v>111</v>
      </c>
      <c r="R34" s="714" t="s">
        <v>17</v>
      </c>
      <c r="S34" s="715">
        <f t="shared" si="12"/>
        <v>100</v>
      </c>
      <c r="T34" s="714" t="s">
        <v>17</v>
      </c>
      <c r="U34" s="715">
        <f t="shared" si="13"/>
        <v>100</v>
      </c>
      <c r="V34" s="714" t="s">
        <v>17</v>
      </c>
      <c r="W34" s="715">
        <f t="shared" si="14"/>
        <v>100</v>
      </c>
      <c r="X34" s="1540"/>
      <c r="Y34" s="3376"/>
      <c r="Z34" s="1541">
        <f t="shared" si="15"/>
        <v>111</v>
      </c>
      <c r="AA34" s="1538">
        <f t="shared" si="3"/>
        <v>1</v>
      </c>
      <c r="AB34" s="1538">
        <f t="shared" si="4"/>
        <v>1</v>
      </c>
      <c r="AC34" s="1538">
        <f t="shared" si="5"/>
        <v>1</v>
      </c>
    </row>
    <row r="35" spans="1:30" ht="15">
      <c r="A35" s="438" t="s">
        <v>2395</v>
      </c>
      <c r="B35" s="439"/>
      <c r="C35" s="1315" t="s">
        <v>1</v>
      </c>
      <c r="D35" s="1316"/>
      <c r="E35" s="1317"/>
      <c r="F35" s="1318"/>
      <c r="G35" s="1319"/>
      <c r="H35" s="1320"/>
      <c r="I35" s="1317"/>
      <c r="J35" s="1320"/>
      <c r="K35" s="723"/>
      <c r="L35" s="2954"/>
      <c r="M35" s="2955"/>
      <c r="N35" s="2946"/>
      <c r="O35" s="2955"/>
      <c r="P35" s="3369" t="str">
        <f>A35</f>
        <v>成交单价（元/平方米）</v>
      </c>
      <c r="Q35" s="3369"/>
      <c r="R35" s="3370">
        <f>E35</f>
        <v>0</v>
      </c>
      <c r="S35" s="3370"/>
      <c r="T35" s="3370">
        <f>G35</f>
        <v>0</v>
      </c>
      <c r="U35" s="3370"/>
      <c r="V35" s="3370">
        <f>I35</f>
        <v>0</v>
      </c>
      <c r="W35" s="3370"/>
      <c r="X35" s="699"/>
      <c r="Y35" s="721"/>
      <c r="Z35" s="699"/>
      <c r="AA35" s="699"/>
      <c r="AB35" s="699"/>
      <c r="AC35" s="699"/>
    </row>
    <row r="36" spans="1:30" ht="15.75" thickBot="1">
      <c r="A36" s="445" t="s">
        <v>2487</v>
      </c>
      <c r="B36" s="446"/>
      <c r="C36" s="1321" t="e">
        <f>R37</f>
        <v>#DIV/0!</v>
      </c>
      <c r="D36" s="2539" t="s">
        <v>2876</v>
      </c>
      <c r="E36" s="1322" t="e">
        <f>R36</f>
        <v>#DIV/0!</v>
      </c>
      <c r="F36" s="2540"/>
      <c r="G36" s="1321" t="e">
        <f>T36</f>
        <v>#DIV/0!</v>
      </c>
      <c r="H36" s="2540"/>
      <c r="I36" s="1322" t="e">
        <f>V36</f>
        <v>#DIV/0!</v>
      </c>
      <c r="J36" s="2540"/>
      <c r="K36" s="2542">
        <f>F36+H36+J36</f>
        <v>0</v>
      </c>
      <c r="L36" s="2954"/>
      <c r="M36" s="2955"/>
      <c r="N36" s="2946"/>
      <c r="O36" s="2955"/>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699"/>
      <c r="Y36" s="699"/>
      <c r="Z36" s="699"/>
      <c r="AA36" s="699"/>
      <c r="AB36" s="699"/>
      <c r="AC36" s="699"/>
    </row>
    <row r="37" spans="1:30" ht="15.75" thickBot="1">
      <c r="A37" s="449" t="s">
        <v>2488</v>
      </c>
      <c r="B37" s="450"/>
      <c r="C37" s="1324" t="e">
        <f>R37</f>
        <v>#DIV/0!</v>
      </c>
      <c r="D37" s="1324"/>
      <c r="E37" s="1324"/>
      <c r="F37" s="1324"/>
      <c r="G37" s="1324"/>
      <c r="H37" s="1324"/>
      <c r="I37" s="1324"/>
      <c r="J37" s="1324"/>
      <c r="K37" s="724"/>
      <c r="L37" s="2954"/>
      <c r="M37" s="2955"/>
      <c r="N37" s="2955"/>
      <c r="O37" s="2955"/>
      <c r="P37" s="3366" t="str">
        <f>A37</f>
        <v>估价对象XX用房的比较价值（楼面单价，元/平方米）</v>
      </c>
      <c r="Q37" s="3367"/>
      <c r="R37" s="3396" t="e">
        <f>IF(F1="售价",ROUND(IF(D36="简单平均",AVERAGE(R36:W36),R36*F36+T36*H36+V36*J36),0),ROUND(IF(D36="简单平均",AVERAGE(R36:V36),R36*F36+T36*H36+V36*J36),1))</f>
        <v>#DIV/0!</v>
      </c>
      <c r="S37" s="3396"/>
      <c r="T37" s="3396"/>
      <c r="U37" s="3396"/>
      <c r="V37" s="3396"/>
      <c r="W37" s="3396"/>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2492</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2366</v>
      </c>
      <c r="B46" s="463"/>
      <c r="C46" s="1345" t="str">
        <f>YEAR(C7)&amp;"-"&amp;MONTH(C7)</f>
        <v>2021-1</v>
      </c>
      <c r="D46" s="1346">
        <f>EDATE(C46,-1)</f>
        <v>44166</v>
      </c>
      <c r="E46" s="1346">
        <f t="shared" ref="E46:O46" si="16">EDATE(D46,-1)</f>
        <v>44136</v>
      </c>
      <c r="F46" s="1346">
        <f t="shared" si="16"/>
        <v>44105</v>
      </c>
      <c r="G46" s="1346">
        <f t="shared" si="16"/>
        <v>44075</v>
      </c>
      <c r="H46" s="1346">
        <f t="shared" si="16"/>
        <v>44044</v>
      </c>
      <c r="I46" s="1346">
        <f t="shared" si="16"/>
        <v>44013</v>
      </c>
      <c r="J46" s="1346">
        <f t="shared" si="16"/>
        <v>43983</v>
      </c>
      <c r="K46" s="1346">
        <f t="shared" si="16"/>
        <v>43952</v>
      </c>
      <c r="L46" s="1346">
        <f t="shared" si="16"/>
        <v>43922</v>
      </c>
      <c r="M46" s="1346">
        <f t="shared" si="16"/>
        <v>43891</v>
      </c>
      <c r="N46" s="1346">
        <f t="shared" si="16"/>
        <v>43862</v>
      </c>
      <c r="O46" s="1346">
        <f t="shared" si="16"/>
        <v>43831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2403</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2368</v>
      </c>
      <c r="B49" s="467"/>
      <c r="C49" s="479" t="s">
        <v>2470</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2406</v>
      </c>
      <c r="B51" s="485" t="s">
        <v>2372</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2558</v>
      </c>
      <c r="C63" s="535" t="s">
        <v>2415</v>
      </c>
      <c r="D63" s="535" t="s">
        <v>2416</v>
      </c>
      <c r="E63" s="535" t="s">
        <v>2417</v>
      </c>
      <c r="F63" s="535" t="s">
        <v>2418</v>
      </c>
      <c r="G63" s="535" t="s">
        <v>2419</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2507</v>
      </c>
      <c r="C65" s="616" t="s">
        <v>2493</v>
      </c>
      <c r="D65" s="616" t="s">
        <v>2494</v>
      </c>
      <c r="E65" s="616" t="s">
        <v>2495</v>
      </c>
      <c r="F65" s="616" t="s">
        <v>2496</v>
      </c>
      <c r="G65" s="616" t="s">
        <v>2497</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2427</v>
      </c>
      <c r="C67" s="535" t="s">
        <v>2415</v>
      </c>
      <c r="D67" s="535" t="s">
        <v>2416</v>
      </c>
      <c r="E67" s="535" t="s">
        <v>2417</v>
      </c>
      <c r="F67" s="535" t="s">
        <v>2418</v>
      </c>
      <c r="G67" s="535" t="s">
        <v>2419</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2547</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2381</v>
      </c>
      <c r="B77" s="485" t="s">
        <v>2434</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2551</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2559</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2561</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2463</v>
      </c>
      <c r="B4" s="362"/>
      <c r="C4" s="3352" t="s">
        <v>2464</v>
      </c>
      <c r="D4" s="3353"/>
      <c r="E4" s="3354" t="s">
        <v>2465</v>
      </c>
      <c r="F4" s="3355"/>
      <c r="G4" s="3352" t="s">
        <v>2466</v>
      </c>
      <c r="H4" s="3353"/>
      <c r="I4" s="3352" t="s">
        <v>2467</v>
      </c>
      <c r="J4" s="3353"/>
      <c r="K4" s="567" t="s">
        <v>2468</v>
      </c>
      <c r="L4" s="2945"/>
      <c r="M4" s="2946"/>
      <c r="N4" s="2946"/>
      <c r="O4" s="2946"/>
      <c r="P4" s="3356" t="s">
        <v>2469</v>
      </c>
      <c r="Q4" s="3357"/>
      <c r="R4" s="3339" t="s">
        <v>2465</v>
      </c>
      <c r="S4" s="3340"/>
      <c r="T4" s="3339" t="s">
        <v>2466</v>
      </c>
      <c r="U4" s="3340"/>
      <c r="V4" s="3364" t="s">
        <v>2467</v>
      </c>
      <c r="W4" s="3364"/>
      <c r="X4" s="1540"/>
      <c r="Y4" s="3339" t="s">
        <v>2469</v>
      </c>
      <c r="Z4" s="3340"/>
      <c r="AA4" s="3334" t="s">
        <v>2465</v>
      </c>
      <c r="AB4" s="3335" t="s">
        <v>2466</v>
      </c>
      <c r="AC4" s="3334" t="s">
        <v>2467</v>
      </c>
    </row>
    <row r="5" spans="1:30" ht="15">
      <c r="A5" s="364"/>
      <c r="B5" s="365"/>
      <c r="C5" s="3345" t="s">
        <v>2360</v>
      </c>
      <c r="D5" s="3346"/>
      <c r="E5" s="3343" t="s">
        <v>2361</v>
      </c>
      <c r="F5" s="3344"/>
      <c r="G5" s="3345" t="s">
        <v>2362</v>
      </c>
      <c r="H5" s="3346"/>
      <c r="I5" s="3345" t="s">
        <v>2363</v>
      </c>
      <c r="J5" s="3346"/>
      <c r="K5" s="567"/>
      <c r="L5" s="2945"/>
      <c r="M5" s="2946"/>
      <c r="N5" s="2946"/>
      <c r="O5" s="2946"/>
      <c r="P5" s="3358"/>
      <c r="Q5" s="3359"/>
      <c r="R5" s="3341"/>
      <c r="S5" s="3342"/>
      <c r="T5" s="3341"/>
      <c r="U5" s="3342"/>
      <c r="V5" s="3364"/>
      <c r="W5" s="3364"/>
      <c r="X5" s="1540"/>
      <c r="Y5" s="3341"/>
      <c r="Z5" s="3342"/>
      <c r="AA5" s="3335"/>
      <c r="AB5" s="3335"/>
      <c r="AC5" s="3335"/>
    </row>
    <row r="6" spans="1:30" ht="15.75" thickBot="1">
      <c r="A6" s="366"/>
      <c r="B6" s="367"/>
      <c r="C6" s="3347" t="s">
        <v>2364</v>
      </c>
      <c r="D6" s="3348"/>
      <c r="E6" s="3349" t="s">
        <v>2364</v>
      </c>
      <c r="F6" s="3350"/>
      <c r="G6" s="3347" t="s">
        <v>2364</v>
      </c>
      <c r="H6" s="3348"/>
      <c r="I6" s="3347" t="s">
        <v>2364</v>
      </c>
      <c r="J6" s="3348"/>
      <c r="K6" s="567" t="s">
        <v>2365</v>
      </c>
      <c r="L6" s="2945"/>
      <c r="M6" s="2946"/>
      <c r="N6" s="2946"/>
      <c r="O6" s="2946"/>
      <c r="P6" s="3360"/>
      <c r="Q6" s="3361"/>
      <c r="R6" s="3341"/>
      <c r="S6" s="3342"/>
      <c r="T6" s="3362"/>
      <c r="U6" s="3363"/>
      <c r="V6" s="3364"/>
      <c r="W6" s="3364"/>
      <c r="X6" s="1540"/>
      <c r="Y6" s="3362"/>
      <c r="Z6" s="3363"/>
      <c r="AA6" s="3336"/>
      <c r="AB6" s="3336"/>
      <c r="AC6" s="3336"/>
    </row>
    <row r="7" spans="1:30" s="113" customFormat="1" ht="15.75" thickBot="1">
      <c r="A7" s="368" t="s">
        <v>2366</v>
      </c>
      <c r="B7" s="369"/>
      <c r="C7" s="370">
        <f>'数据-取费表'!B2</f>
        <v>44222</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37" t="s">
        <v>2367</v>
      </c>
      <c r="Q7" s="3365"/>
      <c r="R7" s="710" t="s">
        <v>17</v>
      </c>
      <c r="S7" s="711">
        <f t="shared" ref="S7:S15" si="0">F7</f>
        <v>0</v>
      </c>
      <c r="T7" s="710" t="s">
        <v>17</v>
      </c>
      <c r="U7" s="711">
        <f t="shared" ref="U7:U15" si="1">H7</f>
        <v>0</v>
      </c>
      <c r="V7" s="710" t="s">
        <v>17</v>
      </c>
      <c r="W7" s="711">
        <f t="shared" ref="W7:W15" si="2">J7</f>
        <v>0</v>
      </c>
      <c r="X7" s="712"/>
      <c r="Y7" s="3337" t="s">
        <v>2367</v>
      </c>
      <c r="Z7" s="3338"/>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37" t="s">
        <v>2370</v>
      </c>
      <c r="Q8" s="3338"/>
      <c r="R8" s="710" t="s">
        <v>17</v>
      </c>
      <c r="S8" s="711">
        <f t="shared" si="0"/>
        <v>0</v>
      </c>
      <c r="T8" s="710" t="s">
        <v>17</v>
      </c>
      <c r="U8" s="711">
        <f t="shared" si="1"/>
        <v>0</v>
      </c>
      <c r="V8" s="710" t="s">
        <v>17</v>
      </c>
      <c r="W8" s="711">
        <f t="shared" si="2"/>
        <v>0</v>
      </c>
      <c r="X8" s="712"/>
      <c r="Y8" s="3337" t="s">
        <v>2370</v>
      </c>
      <c r="Z8" s="3338"/>
      <c r="AA8" s="713" t="e">
        <f t="shared" ref="AA8:AA45" si="3">D8/F8</f>
        <v>#DIV/0!</v>
      </c>
      <c r="AB8" s="713" t="e">
        <f t="shared" ref="AB8:AB45" si="4">D8/H8</f>
        <v>#DIV/0!</v>
      </c>
      <c r="AC8" s="713" t="e">
        <f t="shared" ref="AC8:AC45" si="5">D8/J8</f>
        <v>#DIV/0!</v>
      </c>
    </row>
    <row r="9" spans="1:30" s="113" customFormat="1">
      <c r="A9" s="375" t="s">
        <v>2371</v>
      </c>
      <c r="B9" s="67" t="s">
        <v>2372</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69"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9"/>
      <c r="M10" s="2950"/>
      <c r="N10" s="2950"/>
      <c r="O10" s="3003"/>
      <c r="P10" s="3369"/>
      <c r="Q10" s="1528" t="str">
        <f t="shared" si="6"/>
        <v>土地使用年限（年）</v>
      </c>
      <c r="R10" s="710" t="s">
        <v>17</v>
      </c>
      <c r="S10" s="711">
        <f t="shared" si="0"/>
        <v>121</v>
      </c>
      <c r="T10" s="710" t="s">
        <v>17</v>
      </c>
      <c r="U10" s="711">
        <f t="shared" si="1"/>
        <v>121</v>
      </c>
      <c r="V10" s="710" t="s">
        <v>17</v>
      </c>
      <c r="W10" s="711">
        <f t="shared" si="2"/>
        <v>121</v>
      </c>
      <c r="X10" s="712"/>
      <c r="Y10" s="3253"/>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69"/>
      <c r="Q11" s="1528"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30" s="113" customFormat="1" ht="15">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69"/>
      <c r="Q12" s="1528" t="str">
        <f t="shared" si="6"/>
        <v>配建</v>
      </c>
      <c r="R12" s="710" t="s">
        <v>17</v>
      </c>
      <c r="S12" s="711">
        <f t="shared" si="0"/>
        <v>100</v>
      </c>
      <c r="T12" s="710" t="s">
        <v>17</v>
      </c>
      <c r="U12" s="711">
        <f t="shared" si="1"/>
        <v>100</v>
      </c>
      <c r="V12" s="710" t="s">
        <v>17</v>
      </c>
      <c r="W12" s="711">
        <f t="shared" si="2"/>
        <v>100</v>
      </c>
      <c r="X12" s="712"/>
      <c r="Y12" s="3253"/>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69"/>
      <c r="Q13" s="1528">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69"/>
      <c r="Q14" s="1528">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c r="A15" s="399" t="s">
        <v>2377</v>
      </c>
      <c r="B15" s="65" t="s">
        <v>1940</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71" t="s">
        <v>2378</v>
      </c>
      <c r="Q15" s="1537" t="str">
        <f t="shared" si="6"/>
        <v>居住社区成熟度</v>
      </c>
      <c r="R15" s="714" t="s">
        <v>17</v>
      </c>
      <c r="S15" s="715">
        <f t="shared" si="0"/>
        <v>100</v>
      </c>
      <c r="T15" s="714" t="s">
        <v>17</v>
      </c>
      <c r="U15" s="715">
        <f t="shared" si="1"/>
        <v>100</v>
      </c>
      <c r="V15" s="714" t="s">
        <v>17</v>
      </c>
      <c r="W15" s="715">
        <f t="shared" si="2"/>
        <v>100</v>
      </c>
      <c r="X15" s="1540"/>
      <c r="Y15" s="3371" t="s">
        <v>2378</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72"/>
      <c r="Q16" s="1537"/>
      <c r="R16" s="714"/>
      <c r="S16" s="715"/>
      <c r="T16" s="714"/>
      <c r="U16" s="715"/>
      <c r="V16" s="714"/>
      <c r="W16" s="715"/>
      <c r="X16" s="1540"/>
      <c r="Y16" s="3372"/>
      <c r="Z16" s="1541"/>
      <c r="AA16" s="1538">
        <v>1</v>
      </c>
      <c r="AB16" s="1538">
        <v>1</v>
      </c>
      <c r="AC16" s="1538">
        <v>1</v>
      </c>
    </row>
    <row r="17" spans="1:29" ht="71.25">
      <c r="A17" s="387"/>
      <c r="B17" s="410" t="s">
        <v>2471</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72"/>
      <c r="Q17" s="1537" t="str">
        <f>B17</f>
        <v>商业繁华度</v>
      </c>
      <c r="R17" s="714" t="s">
        <v>17</v>
      </c>
      <c r="S17" s="715">
        <f>F17</f>
        <v>100</v>
      </c>
      <c r="T17" s="714" t="s">
        <v>17</v>
      </c>
      <c r="U17" s="715">
        <f>H17</f>
        <v>100</v>
      </c>
      <c r="V17" s="714" t="s">
        <v>17</v>
      </c>
      <c r="W17" s="715">
        <f>J17</f>
        <v>100</v>
      </c>
      <c r="X17" s="1540"/>
      <c r="Y17" s="3372"/>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72"/>
      <c r="Q18" s="1537"/>
      <c r="R18" s="714"/>
      <c r="S18" s="715"/>
      <c r="T18" s="714"/>
      <c r="U18" s="715"/>
      <c r="V18" s="714"/>
      <c r="W18" s="715"/>
      <c r="X18" s="1540"/>
      <c r="Y18" s="3372"/>
      <c r="Z18" s="1541"/>
      <c r="AA18" s="1538">
        <v>1</v>
      </c>
      <c r="AB18" s="1538">
        <v>1</v>
      </c>
      <c r="AC18" s="1538">
        <v>1</v>
      </c>
    </row>
    <row r="19" spans="1:29" ht="71.25">
      <c r="A19" s="387"/>
      <c r="B19" s="410" t="s">
        <v>2505</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72"/>
      <c r="Q19" s="1537" t="str">
        <f>B19</f>
        <v>办公集聚程度</v>
      </c>
      <c r="R19" s="714" t="s">
        <v>17</v>
      </c>
      <c r="S19" s="715">
        <f>F19</f>
        <v>100</v>
      </c>
      <c r="T19" s="714" t="s">
        <v>17</v>
      </c>
      <c r="U19" s="715">
        <f>H19</f>
        <v>100</v>
      </c>
      <c r="V19" s="714" t="s">
        <v>17</v>
      </c>
      <c r="W19" s="715">
        <f>J19</f>
        <v>100</v>
      </c>
      <c r="X19" s="1540"/>
      <c r="Y19" s="3372"/>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72"/>
      <c r="Q20" s="1537"/>
      <c r="R20" s="714"/>
      <c r="S20" s="715"/>
      <c r="T20" s="714"/>
      <c r="U20" s="715"/>
      <c r="V20" s="714"/>
      <c r="W20" s="715"/>
      <c r="X20" s="1540"/>
      <c r="Y20" s="3372"/>
      <c r="Z20" s="1541"/>
      <c r="AA20" s="1538">
        <v>1</v>
      </c>
      <c r="AB20" s="1538">
        <v>1</v>
      </c>
      <c r="AC20" s="1538">
        <v>1</v>
      </c>
    </row>
    <row r="21" spans="1:29" ht="85.5">
      <c r="A21" s="387"/>
      <c r="B21" s="410" t="s">
        <v>2527</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72"/>
      <c r="Q21" s="1537" t="str">
        <f>B21</f>
        <v>交通便捷度</v>
      </c>
      <c r="R21" s="714" t="s">
        <v>17</v>
      </c>
      <c r="S21" s="715">
        <f>F21</f>
        <v>100</v>
      </c>
      <c r="T21" s="714" t="s">
        <v>17</v>
      </c>
      <c r="U21" s="715">
        <f>H21</f>
        <v>100</v>
      </c>
      <c r="V21" s="714" t="s">
        <v>17</v>
      </c>
      <c r="W21" s="715">
        <f>J21</f>
        <v>100</v>
      </c>
      <c r="X21" s="1540"/>
      <c r="Y21" s="3372"/>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372"/>
      <c r="Q22" s="1537"/>
      <c r="R22" s="714"/>
      <c r="S22" s="715"/>
      <c r="T22" s="714"/>
      <c r="U22" s="715"/>
      <c r="V22" s="714"/>
      <c r="W22" s="715"/>
      <c r="X22" s="1540"/>
      <c r="Y22" s="3372"/>
      <c r="Z22" s="1541"/>
      <c r="AA22" s="1538">
        <v>1</v>
      </c>
      <c r="AB22" s="1538">
        <v>1</v>
      </c>
      <c r="AC22" s="1538">
        <v>1</v>
      </c>
    </row>
    <row r="23" spans="1:29" ht="15">
      <c r="A23" s="364"/>
      <c r="B23" s="410" t="s">
        <v>2566</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72"/>
      <c r="Q23" s="1537" t="str">
        <f t="shared" ref="Q23:Q37" si="8">B23</f>
        <v>区域土地利用方向</v>
      </c>
      <c r="R23" s="714" t="s">
        <v>17</v>
      </c>
      <c r="S23" s="715">
        <f>F23</f>
        <v>100</v>
      </c>
      <c r="T23" s="714" t="s">
        <v>17</v>
      </c>
      <c r="U23" s="715">
        <f>H23</f>
        <v>100</v>
      </c>
      <c r="V23" s="714" t="s">
        <v>17</v>
      </c>
      <c r="W23" s="715">
        <f>J23</f>
        <v>100</v>
      </c>
      <c r="X23" s="1540"/>
      <c r="Y23" s="3372"/>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72"/>
      <c r="Q24" s="1537"/>
      <c r="R24" s="714"/>
      <c r="S24" s="715"/>
      <c r="T24" s="714"/>
      <c r="U24" s="715"/>
      <c r="V24" s="714"/>
      <c r="W24" s="715"/>
      <c r="X24" s="1540"/>
      <c r="Y24" s="3372"/>
      <c r="Z24" s="1541"/>
      <c r="AA24" s="1538"/>
      <c r="AB24" s="1538"/>
      <c r="AC24" s="1538"/>
    </row>
    <row r="25" spans="1:29" ht="57">
      <c r="A25" s="364"/>
      <c r="B25" s="1292" t="s">
        <v>2567</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72"/>
      <c r="Q25" s="1537" t="str">
        <f t="shared" si="8"/>
        <v>自然及人文环境状况</v>
      </c>
      <c r="R25" s="714" t="s">
        <v>17</v>
      </c>
      <c r="S25" s="715">
        <f>F25</f>
        <v>100</v>
      </c>
      <c r="T25" s="714" t="s">
        <v>17</v>
      </c>
      <c r="U25" s="715">
        <f>H25</f>
        <v>100</v>
      </c>
      <c r="V25" s="714" t="s">
        <v>17</v>
      </c>
      <c r="W25" s="715">
        <f>J25</f>
        <v>100</v>
      </c>
      <c r="X25" s="1540"/>
      <c r="Y25" s="3372"/>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72"/>
      <c r="Q26" s="1537"/>
      <c r="R26" s="714"/>
      <c r="S26" s="715"/>
      <c r="T26" s="714"/>
      <c r="U26" s="715"/>
      <c r="V26" s="714"/>
      <c r="W26" s="715"/>
      <c r="X26" s="1540"/>
      <c r="Y26" s="3372"/>
      <c r="Z26" s="1541"/>
      <c r="AA26" s="1538">
        <v>1</v>
      </c>
      <c r="AB26" s="1538">
        <v>1</v>
      </c>
      <c r="AC26" s="1538">
        <v>1</v>
      </c>
    </row>
    <row r="27" spans="1:29" s="113" customFormat="1" ht="42.75">
      <c r="A27" s="605"/>
      <c r="B27" s="1292" t="s">
        <v>2472</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72"/>
      <c r="Q27" s="1528" t="str">
        <f t="shared" si="8"/>
        <v>公共配套设施</v>
      </c>
      <c r="R27" s="710" t="s">
        <v>17</v>
      </c>
      <c r="S27" s="711">
        <f>F27</f>
        <v>100</v>
      </c>
      <c r="T27" s="710" t="s">
        <v>17</v>
      </c>
      <c r="U27" s="711">
        <f>H27</f>
        <v>100</v>
      </c>
      <c r="V27" s="710" t="s">
        <v>17</v>
      </c>
      <c r="W27" s="711">
        <f>J27</f>
        <v>100</v>
      </c>
      <c r="X27" s="712"/>
      <c r="Y27" s="3372"/>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72"/>
      <c r="Q28" s="1528"/>
      <c r="R28" s="710"/>
      <c r="S28" s="711"/>
      <c r="T28" s="710"/>
      <c r="U28" s="711"/>
      <c r="V28" s="710"/>
      <c r="W28" s="711"/>
      <c r="X28" s="712"/>
      <c r="Y28" s="3372"/>
      <c r="Z28" s="55"/>
      <c r="AA28" s="1538">
        <v>1</v>
      </c>
      <c r="AB28" s="1538">
        <v>1</v>
      </c>
      <c r="AC28" s="1538">
        <v>1</v>
      </c>
    </row>
    <row r="29" spans="1:29" s="113" customFormat="1" ht="28.5">
      <c r="A29" s="605"/>
      <c r="B29" s="1292" t="s">
        <v>2473</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72"/>
      <c r="Q29" s="1528" t="str">
        <f t="shared" ref="Q29" si="9">B29</f>
        <v>基础设施水平</v>
      </c>
      <c r="R29" s="710" t="s">
        <v>17</v>
      </c>
      <c r="S29" s="711">
        <f>F29</f>
        <v>100</v>
      </c>
      <c r="T29" s="710" t="s">
        <v>17</v>
      </c>
      <c r="U29" s="711">
        <f>H29</f>
        <v>100</v>
      </c>
      <c r="V29" s="710" t="s">
        <v>17</v>
      </c>
      <c r="W29" s="711">
        <f>J29</f>
        <v>100</v>
      </c>
      <c r="X29" s="712"/>
      <c r="Y29" s="3372"/>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72"/>
      <c r="Q30" s="1528"/>
      <c r="R30" s="710"/>
      <c r="S30" s="711"/>
      <c r="T30" s="710"/>
      <c r="U30" s="711"/>
      <c r="V30" s="710"/>
      <c r="W30" s="711"/>
      <c r="X30" s="712"/>
      <c r="Y30" s="3372"/>
      <c r="Z30" s="55"/>
      <c r="AA30" s="1538">
        <v>1</v>
      </c>
      <c r="AB30" s="1538">
        <v>1</v>
      </c>
      <c r="AC30" s="1538">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72"/>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72"/>
      <c r="Z31" s="1541" t="str">
        <f t="shared" ref="Z31:Z45" si="13">Q31</f>
        <v>临街状况</v>
      </c>
      <c r="AA31" s="1538">
        <f t="shared" si="3"/>
        <v>1</v>
      </c>
      <c r="AB31" s="1538">
        <f t="shared" si="4"/>
        <v>1</v>
      </c>
      <c r="AC31" s="1538">
        <f t="shared" si="5"/>
        <v>1</v>
      </c>
    </row>
    <row r="32" spans="1:29" ht="27">
      <c r="A32" s="387"/>
      <c r="B32" s="1292"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72"/>
      <c r="Q32" s="1537" t="str">
        <f t="shared" si="8"/>
        <v>毗邻道路的类型与等级</v>
      </c>
      <c r="R32" s="714" t="s">
        <v>17</v>
      </c>
      <c r="S32" s="715">
        <f t="shared" si="10"/>
        <v>100</v>
      </c>
      <c r="T32" s="714" t="s">
        <v>17</v>
      </c>
      <c r="U32" s="715">
        <f t="shared" si="11"/>
        <v>100</v>
      </c>
      <c r="V32" s="714" t="s">
        <v>17</v>
      </c>
      <c r="W32" s="715">
        <f t="shared" si="12"/>
        <v>100</v>
      </c>
      <c r="X32" s="1540"/>
      <c r="Y32" s="3372"/>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72"/>
      <c r="Q33" s="1537"/>
      <c r="R33" s="714"/>
      <c r="S33" s="715"/>
      <c r="T33" s="714"/>
      <c r="U33" s="715"/>
      <c r="V33" s="714"/>
      <c r="W33" s="715"/>
      <c r="X33" s="1540"/>
      <c r="Y33" s="3372"/>
      <c r="Z33" s="1541"/>
      <c r="AA33" s="1538">
        <v>1</v>
      </c>
      <c r="AB33" s="1538">
        <v>1</v>
      </c>
      <c r="AC33" s="1538">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72"/>
      <c r="Q34" s="1537" t="str">
        <f t="shared" si="8"/>
        <v>土地级别</v>
      </c>
      <c r="R34" s="714" t="s">
        <v>17</v>
      </c>
      <c r="S34" s="715">
        <f t="shared" si="10"/>
        <v>100</v>
      </c>
      <c r="T34" s="714" t="s">
        <v>17</v>
      </c>
      <c r="U34" s="715">
        <f t="shared" si="11"/>
        <v>100</v>
      </c>
      <c r="V34" s="714" t="s">
        <v>17</v>
      </c>
      <c r="W34" s="715">
        <f t="shared" si="12"/>
        <v>100</v>
      </c>
      <c r="X34" s="1540"/>
      <c r="Y34" s="3372"/>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72"/>
      <c r="Q35" s="1537">
        <f t="shared" si="8"/>
        <v>111</v>
      </c>
      <c r="R35" s="714" t="s">
        <v>17</v>
      </c>
      <c r="S35" s="715">
        <f t="shared" si="10"/>
        <v>100</v>
      </c>
      <c r="T35" s="714" t="s">
        <v>17</v>
      </c>
      <c r="U35" s="715">
        <f t="shared" si="11"/>
        <v>100</v>
      </c>
      <c r="V35" s="714" t="s">
        <v>17</v>
      </c>
      <c r="W35" s="715">
        <f t="shared" si="12"/>
        <v>100</v>
      </c>
      <c r="X35" s="1540"/>
      <c r="Y35" s="3372"/>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95" t="s">
        <v>2383</v>
      </c>
      <c r="Q36" s="1537">
        <f t="shared" si="8"/>
        <v>111</v>
      </c>
      <c r="R36" s="714" t="s">
        <v>17</v>
      </c>
      <c r="S36" s="715">
        <f t="shared" si="10"/>
        <v>100</v>
      </c>
      <c r="T36" s="714" t="s">
        <v>17</v>
      </c>
      <c r="U36" s="715">
        <f t="shared" si="11"/>
        <v>100</v>
      </c>
      <c r="V36" s="714" t="s">
        <v>17</v>
      </c>
      <c r="W36" s="715">
        <f t="shared" si="12"/>
        <v>100</v>
      </c>
      <c r="X36" s="1540"/>
      <c r="Y36" s="3376" t="s">
        <v>2383</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76"/>
      <c r="Q37" s="1537">
        <f t="shared" si="8"/>
        <v>111</v>
      </c>
      <c r="R37" s="717" t="s">
        <v>17</v>
      </c>
      <c r="S37" s="718">
        <f t="shared" si="10"/>
        <v>100</v>
      </c>
      <c r="T37" s="717" t="s">
        <v>17</v>
      </c>
      <c r="U37" s="718">
        <f t="shared" si="11"/>
        <v>100</v>
      </c>
      <c r="V37" s="717" t="s">
        <v>17</v>
      </c>
      <c r="W37" s="718">
        <f t="shared" si="12"/>
        <v>100</v>
      </c>
      <c r="X37" s="719"/>
      <c r="Y37" s="3376"/>
      <c r="Z37" s="720">
        <f t="shared" si="13"/>
        <v>111</v>
      </c>
      <c r="AA37" s="1538">
        <f t="shared" si="3"/>
        <v>1</v>
      </c>
      <c r="AB37" s="1538">
        <f t="shared" si="4"/>
        <v>1</v>
      </c>
      <c r="AC37" s="1538">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76"/>
      <c r="Q38" s="1537" t="str">
        <f>B38</f>
        <v>宗地面积</v>
      </c>
      <c r="R38" s="714" t="s">
        <v>17</v>
      </c>
      <c r="S38" s="715" t="e">
        <f t="shared" si="10"/>
        <v>#N/A</v>
      </c>
      <c r="T38" s="714" t="s">
        <v>17</v>
      </c>
      <c r="U38" s="715" t="e">
        <f t="shared" si="11"/>
        <v>#N/A</v>
      </c>
      <c r="V38" s="714" t="s">
        <v>17</v>
      </c>
      <c r="W38" s="715" t="e">
        <f t="shared" si="12"/>
        <v>#N/A</v>
      </c>
      <c r="X38" s="1540"/>
      <c r="Y38" s="3376"/>
      <c r="Z38" s="1541" t="str">
        <f t="shared" si="13"/>
        <v>宗地面积</v>
      </c>
      <c r="AA38" s="1538" t="e">
        <f t="shared" si="3"/>
        <v>#N/A</v>
      </c>
      <c r="AB38" s="1538" t="e">
        <f t="shared" si="4"/>
        <v>#N/A</v>
      </c>
      <c r="AC38" s="1538" t="e">
        <f t="shared" si="5"/>
        <v>#N/A</v>
      </c>
    </row>
    <row r="39" spans="1:29" ht="15">
      <c r="A39" s="431"/>
      <c r="B39" s="381" t="s">
        <v>2570</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76"/>
      <c r="Q39" s="1537" t="str">
        <f t="shared" ref="Q39:Q45" si="14">B39</f>
        <v>宗地形状</v>
      </c>
      <c r="R39" s="714" t="s">
        <v>17</v>
      </c>
      <c r="S39" s="715">
        <f t="shared" si="10"/>
        <v>100</v>
      </c>
      <c r="T39" s="714" t="s">
        <v>17</v>
      </c>
      <c r="U39" s="715">
        <f t="shared" si="11"/>
        <v>100</v>
      </c>
      <c r="V39" s="714" t="s">
        <v>17</v>
      </c>
      <c r="W39" s="715">
        <f t="shared" si="12"/>
        <v>100</v>
      </c>
      <c r="X39" s="1540"/>
      <c r="Y39" s="3376"/>
      <c r="Z39" s="1541" t="str">
        <f t="shared" si="13"/>
        <v>宗地形状</v>
      </c>
      <c r="AA39" s="1538">
        <f t="shared" si="3"/>
        <v>1</v>
      </c>
      <c r="AB39" s="1538">
        <f t="shared" si="4"/>
        <v>1</v>
      </c>
      <c r="AC39" s="1538">
        <f t="shared" si="5"/>
        <v>1</v>
      </c>
    </row>
    <row r="40" spans="1:29" ht="15">
      <c r="A40" s="431"/>
      <c r="B40" s="381" t="s">
        <v>2571</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76"/>
      <c r="Q40" s="1537" t="str">
        <f t="shared" si="14"/>
        <v>临街宽度及深度</v>
      </c>
      <c r="R40" s="714" t="s">
        <v>17</v>
      </c>
      <c r="S40" s="715">
        <f t="shared" si="10"/>
        <v>100</v>
      </c>
      <c r="T40" s="714" t="s">
        <v>17</v>
      </c>
      <c r="U40" s="715">
        <f t="shared" si="11"/>
        <v>100</v>
      </c>
      <c r="V40" s="714" t="s">
        <v>17</v>
      </c>
      <c r="W40" s="715">
        <f t="shared" si="12"/>
        <v>100</v>
      </c>
      <c r="X40" s="1540"/>
      <c r="Y40" s="3376"/>
      <c r="Z40" s="1541" t="str">
        <f t="shared" si="13"/>
        <v>临街宽度及深度</v>
      </c>
      <c r="AA40" s="1538">
        <f t="shared" si="3"/>
        <v>1</v>
      </c>
      <c r="AB40" s="1538">
        <f t="shared" si="4"/>
        <v>1</v>
      </c>
      <c r="AC40" s="1538">
        <f t="shared" si="5"/>
        <v>1</v>
      </c>
    </row>
    <row r="41" spans="1:29" s="113" customFormat="1" ht="15">
      <c r="A41" s="432"/>
      <c r="B41" s="381" t="s">
        <v>2572</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76"/>
      <c r="Q41" s="1537" t="str">
        <f t="shared" si="14"/>
        <v>宗地开发程度</v>
      </c>
      <c r="R41" s="710" t="s">
        <v>17</v>
      </c>
      <c r="S41" s="711">
        <f t="shared" si="10"/>
        <v>100</v>
      </c>
      <c r="T41" s="710" t="s">
        <v>17</v>
      </c>
      <c r="U41" s="711">
        <f t="shared" si="11"/>
        <v>100</v>
      </c>
      <c r="V41" s="710" t="s">
        <v>17</v>
      </c>
      <c r="W41" s="711">
        <f t="shared" si="12"/>
        <v>100</v>
      </c>
      <c r="X41" s="712"/>
      <c r="Y41" s="3376"/>
      <c r="Z41" s="55" t="str">
        <f t="shared" si="13"/>
        <v>宗地开发程度</v>
      </c>
      <c r="AA41" s="713">
        <f t="shared" si="3"/>
        <v>1</v>
      </c>
      <c r="AB41" s="713">
        <f t="shared" si="4"/>
        <v>1</v>
      </c>
      <c r="AC41" s="713">
        <f t="shared" si="5"/>
        <v>1</v>
      </c>
    </row>
    <row r="42" spans="1:29" ht="15">
      <c r="A42" s="431"/>
      <c r="B42" s="381" t="s">
        <v>2573</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76" t="s">
        <v>2383</v>
      </c>
      <c r="Q42" s="1537" t="str">
        <f t="shared" si="14"/>
        <v>工程地质条件</v>
      </c>
      <c r="R42" s="714" t="s">
        <v>17</v>
      </c>
      <c r="S42" s="715">
        <f t="shared" si="10"/>
        <v>100</v>
      </c>
      <c r="T42" s="714" t="s">
        <v>17</v>
      </c>
      <c r="U42" s="715">
        <f t="shared" si="11"/>
        <v>100</v>
      </c>
      <c r="V42" s="714" t="s">
        <v>17</v>
      </c>
      <c r="W42" s="715">
        <f t="shared" si="12"/>
        <v>100</v>
      </c>
      <c r="X42" s="1540"/>
      <c r="Y42" s="3376" t="s">
        <v>2383</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76"/>
      <c r="Q43" s="1537">
        <f t="shared" si="14"/>
        <v>111</v>
      </c>
      <c r="R43" s="714" t="s">
        <v>17</v>
      </c>
      <c r="S43" s="715">
        <f t="shared" si="10"/>
        <v>100</v>
      </c>
      <c r="T43" s="714" t="s">
        <v>17</v>
      </c>
      <c r="U43" s="715">
        <f t="shared" si="11"/>
        <v>100</v>
      </c>
      <c r="V43" s="714" t="s">
        <v>17</v>
      </c>
      <c r="W43" s="715">
        <f t="shared" si="12"/>
        <v>100</v>
      </c>
      <c r="X43" s="1540"/>
      <c r="Y43" s="3376"/>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76"/>
      <c r="Q44" s="1537">
        <f t="shared" si="14"/>
        <v>111</v>
      </c>
      <c r="R44" s="714" t="s">
        <v>17</v>
      </c>
      <c r="S44" s="715">
        <f t="shared" si="10"/>
        <v>100</v>
      </c>
      <c r="T44" s="714" t="s">
        <v>17</v>
      </c>
      <c r="U44" s="715">
        <f t="shared" si="11"/>
        <v>100</v>
      </c>
      <c r="V44" s="714" t="s">
        <v>17</v>
      </c>
      <c r="W44" s="715">
        <f t="shared" si="12"/>
        <v>100</v>
      </c>
      <c r="X44" s="1540"/>
      <c r="Y44" s="3376"/>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76"/>
      <c r="Q45" s="1537">
        <f t="shared" si="14"/>
        <v>111</v>
      </c>
      <c r="R45" s="717" t="s">
        <v>17</v>
      </c>
      <c r="S45" s="718">
        <f t="shared" si="10"/>
        <v>100</v>
      </c>
      <c r="T45" s="717" t="s">
        <v>17</v>
      </c>
      <c r="U45" s="718">
        <f t="shared" si="11"/>
        <v>100</v>
      </c>
      <c r="V45" s="717" t="s">
        <v>17</v>
      </c>
      <c r="W45" s="718">
        <f t="shared" si="12"/>
        <v>100</v>
      </c>
      <c r="X45" s="719"/>
      <c r="Y45" s="3376"/>
      <c r="Z45" s="720">
        <f t="shared" si="13"/>
        <v>111</v>
      </c>
      <c r="AA45" s="1538">
        <f t="shared" si="3"/>
        <v>1</v>
      </c>
      <c r="AB45" s="1538">
        <f t="shared" si="4"/>
        <v>1</v>
      </c>
      <c r="AC45" s="1538">
        <f t="shared" si="5"/>
        <v>1</v>
      </c>
    </row>
    <row r="46" spans="1:29" ht="15">
      <c r="A46" s="438" t="s">
        <v>2538</v>
      </c>
      <c r="B46" s="2169" t="s">
        <v>2574</v>
      </c>
      <c r="C46" s="638" t="s">
        <v>1</v>
      </c>
      <c r="D46" s="440"/>
      <c r="E46" s="441"/>
      <c r="F46" s="442"/>
      <c r="G46" s="443"/>
      <c r="H46" s="444"/>
      <c r="I46" s="441"/>
      <c r="J46" s="444"/>
      <c r="K46" s="723"/>
      <c r="L46" s="2954"/>
      <c r="M46" s="2955"/>
      <c r="N46" s="2946"/>
      <c r="O46" s="2955"/>
      <c r="P46" s="3369" t="str">
        <f>A46</f>
        <v>成交单价</v>
      </c>
      <c r="Q46" s="3369"/>
      <c r="R46" s="3364">
        <f>E46</f>
        <v>0</v>
      </c>
      <c r="S46" s="3364"/>
      <c r="T46" s="3364">
        <f>G46</f>
        <v>0</v>
      </c>
      <c r="U46" s="3364"/>
      <c r="V46" s="3364">
        <f>I46</f>
        <v>0</v>
      </c>
      <c r="W46" s="3364"/>
      <c r="X46" s="699"/>
      <c r="Y46" s="721"/>
      <c r="Z46" s="699"/>
      <c r="AA46" s="699"/>
      <c r="AB46" s="699"/>
      <c r="AC46" s="699"/>
    </row>
    <row r="47" spans="1:29" ht="15.75" thickBot="1">
      <c r="A47" s="445" t="s">
        <v>2487</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69" t="str">
        <f>A47</f>
        <v>比较价值（元/平方米）</v>
      </c>
      <c r="Q47" s="3369"/>
      <c r="R47" s="3397" t="e">
        <f>ROUND(PRODUCT(R46,AA7:AA45),0)</f>
        <v>#DIV/0!</v>
      </c>
      <c r="S47" s="3397"/>
      <c r="T47" s="3397" t="e">
        <f>ROUND(PRODUCT(T46,AB7:AB45),0)</f>
        <v>#DIV/0!</v>
      </c>
      <c r="U47" s="3397"/>
      <c r="V47" s="3397" t="e">
        <f>ROUND(PRODUCT(V46,AC7:AC45),0)</f>
        <v>#DIV/0!</v>
      </c>
      <c r="W47" s="3397"/>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4"/>
      <c r="M48" s="2955"/>
      <c r="N48" s="2955"/>
      <c r="O48" s="2955"/>
      <c r="P48" s="3366" t="str">
        <f>A48</f>
        <v>估价对象XX用房的比较价值（楼面单价，元/平方米）</v>
      </c>
      <c r="Q48" s="3367"/>
      <c r="R48" s="3398" t="e">
        <f>ROUND(IF(D47="简单平均",AVERAGE(R47:W47),R47*F47+T47*H47+V47*J47),0)</f>
        <v>#DIV/0!</v>
      </c>
      <c r="S48" s="3398"/>
      <c r="T48" s="3398"/>
      <c r="U48" s="3398"/>
      <c r="V48" s="3398"/>
      <c r="W48" s="3398"/>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2576</v>
      </c>
      <c r="B55" s="641" t="s">
        <v>2577</v>
      </c>
      <c r="C55" s="2170" t="s">
        <v>2578</v>
      </c>
      <c r="D55" s="2171" t="s">
        <v>2579</v>
      </c>
      <c r="E55" s="642" t="s">
        <v>2580</v>
      </c>
      <c r="F55" s="1021" t="s">
        <v>2581</v>
      </c>
      <c r="G55" s="3352" t="s">
        <v>2582</v>
      </c>
      <c r="H55" s="3399"/>
      <c r="I55" s="140" t="s">
        <v>2583</v>
      </c>
      <c r="J55" s="2172">
        <f>项目基本情况!F35</f>
        <v>0</v>
      </c>
      <c r="K55" s="2173" t="s">
        <v>2584</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2585</v>
      </c>
      <c r="B56" s="645" t="e">
        <f>C48</f>
        <v>#DIV/0!</v>
      </c>
      <c r="C56" s="646">
        <v>1</v>
      </c>
      <c r="D56" s="1075">
        <v>1</v>
      </c>
      <c r="E56" s="646">
        <f>'数据-汇总表'!E8+'数据-汇总表'!E9</f>
        <v>240.41</v>
      </c>
      <c r="F56" s="1017" t="e">
        <f t="shared" ref="F56:F65" si="15">ROUND(B56*E56/10000,0)</f>
        <v>#DIV/0!</v>
      </c>
      <c r="G56" s="3351"/>
      <c r="H56" s="336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2586</v>
      </c>
      <c r="B57" s="224" t="e">
        <f>ROUND($C$48*C57*D57,0)</f>
        <v>#DIV/0!</v>
      </c>
      <c r="C57" s="176">
        <f t="shared" ref="C57:C65" si="16">IF($C$55="北京市系数",I57,J57)</f>
        <v>0</v>
      </c>
      <c r="D57" s="1076">
        <v>0.25</v>
      </c>
      <c r="E57" s="650"/>
      <c r="F57" s="1017" t="e">
        <f t="shared" si="15"/>
        <v>#DIV/0!</v>
      </c>
      <c r="G57" s="3400" t="s">
        <v>2587</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2588</v>
      </c>
      <c r="B58" s="224" t="e">
        <f t="shared" ref="B58:B65" si="17">ROUND($C$48*C58*D58,0)</f>
        <v>#DIV/0!</v>
      </c>
      <c r="C58" s="176">
        <f t="shared" si="16"/>
        <v>0</v>
      </c>
      <c r="D58" s="1076">
        <v>0.25</v>
      </c>
      <c r="E58" s="650"/>
      <c r="F58" s="1017" t="e">
        <f t="shared" si="15"/>
        <v>#DIV/0!</v>
      </c>
      <c r="G58" s="3400"/>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2589</v>
      </c>
      <c r="B59" s="224" t="e">
        <f t="shared" si="17"/>
        <v>#DIV/0!</v>
      </c>
      <c r="C59" s="176">
        <f t="shared" si="16"/>
        <v>0</v>
      </c>
      <c r="D59" s="1076">
        <v>0.25</v>
      </c>
      <c r="E59" s="650"/>
      <c r="F59" s="1017" t="e">
        <f t="shared" si="15"/>
        <v>#DIV/0!</v>
      </c>
      <c r="G59" s="3400"/>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2590</v>
      </c>
      <c r="B60" s="224" t="e">
        <f t="shared" si="17"/>
        <v>#DIV/0!</v>
      </c>
      <c r="C60" s="176">
        <f t="shared" si="16"/>
        <v>0</v>
      </c>
      <c r="D60" s="1076">
        <v>0.25</v>
      </c>
      <c r="E60" s="650"/>
      <c r="F60" s="1017" t="e">
        <f t="shared" si="15"/>
        <v>#DIV/0!</v>
      </c>
      <c r="G60" s="3400"/>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2591</v>
      </c>
      <c r="B61" s="224" t="e">
        <f t="shared" si="17"/>
        <v>#DIV/0!</v>
      </c>
      <c r="C61" s="176">
        <f t="shared" si="16"/>
        <v>0.3</v>
      </c>
      <c r="D61" s="1076">
        <v>0.25</v>
      </c>
      <c r="E61" s="223">
        <f>'数据-汇总表'!E11</f>
        <v>0</v>
      </c>
      <c r="F61" s="1017" t="e">
        <f t="shared" si="15"/>
        <v>#DIV/0!</v>
      </c>
      <c r="G61" s="2174" t="s">
        <v>2592</v>
      </c>
      <c r="H61" s="1018" t="str">
        <f>项目基本情况!C37</f>
        <v>二级</v>
      </c>
      <c r="I61" s="1022">
        <f>SUMIF(修正!A45:A56,H61,修正!F45:F56)</f>
        <v>0.3</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2593</v>
      </c>
      <c r="B62" s="224" t="e">
        <f t="shared" si="17"/>
        <v>#DIV/0!</v>
      </c>
      <c r="C62" s="176">
        <f t="shared" si="16"/>
        <v>0.3</v>
      </c>
      <c r="D62" s="1076">
        <v>0.25</v>
      </c>
      <c r="E62" s="223">
        <f>'数据-汇总表'!E12</f>
        <v>0</v>
      </c>
      <c r="F62" s="1017" t="e">
        <f t="shared" si="15"/>
        <v>#DIV/0!</v>
      </c>
      <c r="G62" s="1023" t="s">
        <v>2594</v>
      </c>
      <c r="H62" s="1018" t="str">
        <f>IF(G62="商业",项目基本情况!B37,IF(G62="办公",项目基本情况!C37,IF(G62="住宅",项目基本情况!D37,项目基本情况!E37)))</f>
        <v>二级</v>
      </c>
      <c r="I62" s="1022">
        <f>SUMIF(修正!A45:A56,H62,修正!G45:G56)</f>
        <v>0.3</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2597</v>
      </c>
      <c r="B64" s="224" t="e">
        <f t="shared" si="17"/>
        <v>#DIV/0!</v>
      </c>
      <c r="C64" s="176">
        <f t="shared" si="16"/>
        <v>0</v>
      </c>
      <c r="D64" s="1076">
        <v>0.25</v>
      </c>
      <c r="E64" s="223">
        <f>'数据-汇总表'!E14</f>
        <v>0</v>
      </c>
      <c r="F64" s="1017" t="e">
        <f t="shared" si="15"/>
        <v>#DIV/0!</v>
      </c>
      <c r="G64" s="2174" t="s">
        <v>2587</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2598</v>
      </c>
      <c r="B65" s="224" t="e">
        <f t="shared" si="17"/>
        <v>#DIV/0!</v>
      </c>
      <c r="C65" s="176">
        <f t="shared" si="16"/>
        <v>0.25</v>
      </c>
      <c r="D65" s="1076">
        <v>0.25</v>
      </c>
      <c r="E65" s="223">
        <f>'数据-汇总表'!E15</f>
        <v>0</v>
      </c>
      <c r="F65" s="1017" t="e">
        <f t="shared" si="15"/>
        <v>#DIV/0!</v>
      </c>
      <c r="G65" s="2175" t="s">
        <v>2592</v>
      </c>
      <c r="H65" s="1028" t="str">
        <f>项目基本情况!C37</f>
        <v>二级</v>
      </c>
      <c r="I65" s="1024">
        <f>SUMIF(修正!A45:A56,H65,修正!H45:H56)</f>
        <v>0.25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2599</v>
      </c>
      <c r="B66" s="652" t="s">
        <v>28</v>
      </c>
      <c r="C66" s="652" t="s">
        <v>29</v>
      </c>
      <c r="D66" s="652" t="s">
        <v>997</v>
      </c>
      <c r="E66" s="652">
        <f>IF(B46="楼面地价",SUM(E56:E65),'数据-汇总表'!D3)</f>
        <v>240.41</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5"/>
      <c r="Q68" s="2955"/>
      <c r="R68" s="2955"/>
      <c r="S68" s="2955"/>
      <c r="T68" s="2955"/>
      <c r="U68" s="2955"/>
      <c r="V68" s="2955"/>
      <c r="W68" s="2955"/>
      <c r="X68" s="2955"/>
      <c r="Y68" s="2955"/>
      <c r="Z68" s="2955"/>
      <c r="AA68" s="2955"/>
      <c r="AB68" s="2955"/>
      <c r="AC68" s="2955"/>
    </row>
    <row r="69" spans="1:29" ht="21.75" thickBot="1">
      <c r="A69" s="703" t="s">
        <v>2492</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2600</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9"/>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2403</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2368</v>
      </c>
      <c r="B73" s="467"/>
      <c r="C73" s="479" t="s">
        <v>2470</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2406</v>
      </c>
      <c r="B75" s="485" t="s">
        <v>2372</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2375</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2377</v>
      </c>
      <c r="B88" s="485" t="s">
        <v>2414</v>
      </c>
      <c r="C88" s="530" t="s">
        <v>2415</v>
      </c>
      <c r="D88" s="530" t="s">
        <v>2416</v>
      </c>
      <c r="E88" s="530" t="s">
        <v>2417</v>
      </c>
      <c r="F88" s="530" t="s">
        <v>2418</v>
      </c>
      <c r="G88" s="530" t="s">
        <v>2419</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2602</v>
      </c>
      <c r="C90" s="535" t="s">
        <v>2415</v>
      </c>
      <c r="D90" s="535" t="s">
        <v>2416</v>
      </c>
      <c r="E90" s="535" t="s">
        <v>2417</v>
      </c>
      <c r="F90" s="535" t="s">
        <v>2418</v>
      </c>
      <c r="G90" s="535" t="s">
        <v>2419</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2515</v>
      </c>
      <c r="C92" s="535" t="s">
        <v>2415</v>
      </c>
      <c r="D92" s="535" t="s">
        <v>2416</v>
      </c>
      <c r="E92" s="535" t="s">
        <v>2417</v>
      </c>
      <c r="F92" s="535" t="s">
        <v>2418</v>
      </c>
      <c r="G92" s="535" t="s">
        <v>2419</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2420</v>
      </c>
      <c r="C94" s="535" t="s">
        <v>2415</v>
      </c>
      <c r="D94" s="535" t="s">
        <v>2416</v>
      </c>
      <c r="E94" s="535" t="s">
        <v>2417</v>
      </c>
      <c r="F94" s="535" t="s">
        <v>2418</v>
      </c>
      <c r="G94" s="535" t="s">
        <v>2419</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2509</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2568</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2610</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2611</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2612</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2613</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52" t="s">
        <v>2464</v>
      </c>
      <c r="D4" s="3353"/>
      <c r="E4" s="3354" t="s">
        <v>2465</v>
      </c>
      <c r="F4" s="3355"/>
      <c r="G4" s="3352" t="s">
        <v>2466</v>
      </c>
      <c r="H4" s="3353"/>
      <c r="I4" s="3352" t="s">
        <v>2467</v>
      </c>
      <c r="J4" s="3353"/>
      <c r="K4" s="567" t="s">
        <v>2468</v>
      </c>
      <c r="L4" s="2945"/>
      <c r="M4" s="2946"/>
      <c r="N4" s="2946"/>
      <c r="O4" s="2946"/>
      <c r="P4" s="3356" t="s">
        <v>2469</v>
      </c>
      <c r="Q4" s="3357"/>
      <c r="R4" s="3339" t="s">
        <v>2465</v>
      </c>
      <c r="S4" s="3340"/>
      <c r="T4" s="3339" t="s">
        <v>2466</v>
      </c>
      <c r="U4" s="3340"/>
      <c r="V4" s="3364" t="s">
        <v>2467</v>
      </c>
      <c r="W4" s="3364"/>
      <c r="X4" s="1540"/>
      <c r="Y4" s="3339" t="s">
        <v>2469</v>
      </c>
      <c r="Z4" s="3340"/>
      <c r="AA4" s="3334" t="s">
        <v>2465</v>
      </c>
      <c r="AB4" s="3335" t="s">
        <v>2466</v>
      </c>
      <c r="AC4" s="3334" t="s">
        <v>2467</v>
      </c>
    </row>
    <row r="5" spans="1:29" ht="15">
      <c r="A5" s="364"/>
      <c r="B5" s="365"/>
      <c r="C5" s="3345" t="s">
        <v>2360</v>
      </c>
      <c r="D5" s="3346"/>
      <c r="E5" s="3343" t="s">
        <v>2361</v>
      </c>
      <c r="F5" s="3344"/>
      <c r="G5" s="3345" t="s">
        <v>2362</v>
      </c>
      <c r="H5" s="3346"/>
      <c r="I5" s="3345" t="s">
        <v>2363</v>
      </c>
      <c r="J5" s="3346"/>
      <c r="K5" s="567"/>
      <c r="L5" s="2945"/>
      <c r="M5" s="2946"/>
      <c r="N5" s="2946"/>
      <c r="O5" s="2946"/>
      <c r="P5" s="3358"/>
      <c r="Q5" s="3359"/>
      <c r="R5" s="3341"/>
      <c r="S5" s="3342"/>
      <c r="T5" s="3341"/>
      <c r="U5" s="3342"/>
      <c r="V5" s="3364"/>
      <c r="W5" s="3364"/>
      <c r="X5" s="1540"/>
      <c r="Y5" s="3341"/>
      <c r="Z5" s="3342"/>
      <c r="AA5" s="3335"/>
      <c r="AB5" s="3335"/>
      <c r="AC5" s="3335"/>
    </row>
    <row r="6" spans="1:29" ht="15.75" thickBot="1">
      <c r="A6" s="366"/>
      <c r="B6" s="367"/>
      <c r="C6" s="3401" t="s">
        <v>2615</v>
      </c>
      <c r="D6" s="3402"/>
      <c r="E6" s="3403" t="s">
        <v>2615</v>
      </c>
      <c r="F6" s="3404"/>
      <c r="G6" s="3401" t="s">
        <v>2615</v>
      </c>
      <c r="H6" s="3402"/>
      <c r="I6" s="3401" t="s">
        <v>2615</v>
      </c>
      <c r="J6" s="3402"/>
      <c r="K6" s="567" t="s">
        <v>2365</v>
      </c>
      <c r="L6" s="2945"/>
      <c r="M6" s="2946"/>
      <c r="N6" s="2946"/>
      <c r="O6" s="2946"/>
      <c r="P6" s="3360"/>
      <c r="Q6" s="3361"/>
      <c r="R6" s="3341"/>
      <c r="S6" s="3342"/>
      <c r="T6" s="3362"/>
      <c r="U6" s="3363"/>
      <c r="V6" s="3364"/>
      <c r="W6" s="3364"/>
      <c r="X6" s="1540"/>
      <c r="Y6" s="3362"/>
      <c r="Z6" s="3363"/>
      <c r="AA6" s="3336"/>
      <c r="AB6" s="3336"/>
      <c r="AC6" s="3336"/>
    </row>
    <row r="7" spans="1:29" s="113" customFormat="1" ht="15.75" thickBot="1">
      <c r="A7" s="368" t="s">
        <v>2366</v>
      </c>
      <c r="B7" s="369"/>
      <c r="C7" s="370">
        <f>'数据-取费表'!B2</f>
        <v>44222</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37" t="s">
        <v>2367</v>
      </c>
      <c r="Q7" s="3365"/>
      <c r="R7" s="710" t="s">
        <v>17</v>
      </c>
      <c r="S7" s="711">
        <f t="shared" ref="S7:S15" si="0">F7</f>
        <v>0</v>
      </c>
      <c r="T7" s="710" t="s">
        <v>17</v>
      </c>
      <c r="U7" s="711">
        <f t="shared" ref="U7:U15" si="1">H7</f>
        <v>0</v>
      </c>
      <c r="V7" s="710" t="s">
        <v>17</v>
      </c>
      <c r="W7" s="711">
        <f t="shared" ref="W7:W15" si="2">J7</f>
        <v>0</v>
      </c>
      <c r="X7" s="712"/>
      <c r="Y7" s="3337" t="s">
        <v>2367</v>
      </c>
      <c r="Z7" s="3338"/>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37" t="s">
        <v>2370</v>
      </c>
      <c r="Q8" s="3338"/>
      <c r="R8" s="710" t="s">
        <v>17</v>
      </c>
      <c r="S8" s="711">
        <f t="shared" si="0"/>
        <v>0</v>
      </c>
      <c r="T8" s="710" t="s">
        <v>17</v>
      </c>
      <c r="U8" s="711">
        <f t="shared" si="1"/>
        <v>0</v>
      </c>
      <c r="V8" s="710" t="s">
        <v>17</v>
      </c>
      <c r="W8" s="711">
        <f t="shared" si="2"/>
        <v>0</v>
      </c>
      <c r="X8" s="712"/>
      <c r="Y8" s="3337" t="s">
        <v>2370</v>
      </c>
      <c r="Z8" s="3338"/>
      <c r="AA8" s="713" t="e">
        <f t="shared" ref="AA8:AA40" si="3">D8/F8</f>
        <v>#DIV/0!</v>
      </c>
      <c r="AB8" s="713" t="e">
        <f t="shared" ref="AB8:AB40" si="4">D8/H8</f>
        <v>#DIV/0!</v>
      </c>
      <c r="AC8" s="713" t="e">
        <f t="shared" ref="AC8:AC40" si="5">D8/J8</f>
        <v>#DIV/0!</v>
      </c>
    </row>
    <row r="9" spans="1:29" s="113" customFormat="1">
      <c r="A9" s="375" t="s">
        <v>2371</v>
      </c>
      <c r="B9" s="67" t="s">
        <v>2372</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69" t="s">
        <v>2373</v>
      </c>
      <c r="Q9" s="1528"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9"/>
      <c r="M10" s="2950"/>
      <c r="N10" s="2950"/>
      <c r="O10" s="3003"/>
      <c r="P10" s="3369"/>
      <c r="Q10" s="1528" t="str">
        <f t="shared" si="6"/>
        <v>土地使用年限（年）</v>
      </c>
      <c r="R10" s="710" t="s">
        <v>17</v>
      </c>
      <c r="S10" s="711">
        <f t="shared" si="0"/>
        <v>121</v>
      </c>
      <c r="T10" s="710" t="s">
        <v>17</v>
      </c>
      <c r="U10" s="711">
        <f t="shared" si="1"/>
        <v>121</v>
      </c>
      <c r="V10" s="710" t="s">
        <v>17</v>
      </c>
      <c r="W10" s="711">
        <f t="shared" si="2"/>
        <v>121</v>
      </c>
      <c r="X10" s="712"/>
      <c r="Y10" s="3253"/>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69"/>
      <c r="Q11" s="1528"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69"/>
      <c r="Q12" s="1528">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69"/>
      <c r="Q13" s="1528">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69"/>
      <c r="Q14" s="1528">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585" t="s">
        <v>2616</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71" t="s">
        <v>2378</v>
      </c>
      <c r="Q15" s="1537" t="str">
        <f t="shared" si="6"/>
        <v>产业集聚程度</v>
      </c>
      <c r="R15" s="714" t="s">
        <v>17</v>
      </c>
      <c r="S15" s="715">
        <f t="shared" si="0"/>
        <v>100</v>
      </c>
      <c r="T15" s="714" t="s">
        <v>17</v>
      </c>
      <c r="U15" s="715">
        <f t="shared" si="1"/>
        <v>100</v>
      </c>
      <c r="V15" s="714" t="s">
        <v>17</v>
      </c>
      <c r="W15" s="715">
        <f t="shared" si="2"/>
        <v>100</v>
      </c>
      <c r="X15" s="1540"/>
      <c r="Y15" s="3371" t="s">
        <v>2378</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72"/>
      <c r="Q16" s="1537"/>
      <c r="R16" s="714"/>
      <c r="S16" s="715"/>
      <c r="T16" s="714"/>
      <c r="U16" s="715"/>
      <c r="V16" s="714"/>
      <c r="W16" s="715"/>
      <c r="X16" s="1540"/>
      <c r="Y16" s="3372"/>
      <c r="Z16" s="1541"/>
      <c r="AA16" s="1538">
        <v>1</v>
      </c>
      <c r="AB16" s="1538">
        <v>1</v>
      </c>
      <c r="AC16" s="1538">
        <v>1</v>
      </c>
    </row>
    <row r="17" spans="1:29" ht="85.5">
      <c r="A17" s="387"/>
      <c r="B17" s="587" t="s">
        <v>2527</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72"/>
      <c r="Q17" s="1537" t="str">
        <f>B17</f>
        <v>交通便捷度</v>
      </c>
      <c r="R17" s="714" t="s">
        <v>17</v>
      </c>
      <c r="S17" s="715">
        <f>F17</f>
        <v>100</v>
      </c>
      <c r="T17" s="714" t="s">
        <v>17</v>
      </c>
      <c r="U17" s="715">
        <f>H17</f>
        <v>100</v>
      </c>
      <c r="V17" s="714" t="s">
        <v>17</v>
      </c>
      <c r="W17" s="715">
        <f>J17</f>
        <v>100</v>
      </c>
      <c r="X17" s="1540"/>
      <c r="Y17" s="3372"/>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72"/>
      <c r="Q18" s="1537"/>
      <c r="R18" s="714"/>
      <c r="S18" s="715"/>
      <c r="T18" s="714"/>
      <c r="U18" s="715"/>
      <c r="V18" s="714"/>
      <c r="W18" s="715"/>
      <c r="X18" s="1540"/>
      <c r="Y18" s="3372"/>
      <c r="Z18" s="1541"/>
      <c r="AA18" s="1538">
        <v>1</v>
      </c>
      <c r="AB18" s="1538">
        <v>1</v>
      </c>
      <c r="AC18" s="1538">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72"/>
      <c r="Q19" s="1537" t="str">
        <f t="shared" ref="Q19:Q33" si="8">B19</f>
        <v>区域土地利用方向</v>
      </c>
      <c r="R19" s="714" t="s">
        <v>17</v>
      </c>
      <c r="S19" s="715">
        <f>F19</f>
        <v>100</v>
      </c>
      <c r="T19" s="714" t="s">
        <v>17</v>
      </c>
      <c r="U19" s="715">
        <f>H19</f>
        <v>100</v>
      </c>
      <c r="V19" s="714" t="s">
        <v>17</v>
      </c>
      <c r="W19" s="715">
        <f>J19</f>
        <v>100</v>
      </c>
      <c r="X19" s="1540"/>
      <c r="Y19" s="3372"/>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72"/>
      <c r="Q20" s="1537"/>
      <c r="R20" s="714"/>
      <c r="S20" s="715"/>
      <c r="T20" s="714"/>
      <c r="U20" s="715"/>
      <c r="V20" s="714"/>
      <c r="W20" s="715"/>
      <c r="X20" s="1540"/>
      <c r="Y20" s="3372"/>
      <c r="Z20" s="1541"/>
      <c r="AA20" s="1538"/>
      <c r="AB20" s="1538"/>
      <c r="AC20" s="1538"/>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72"/>
      <c r="Q21" s="1537" t="str">
        <f t="shared" si="8"/>
        <v>环境状况</v>
      </c>
      <c r="R21" s="714" t="s">
        <v>17</v>
      </c>
      <c r="S21" s="715">
        <f>F21</f>
        <v>100</v>
      </c>
      <c r="T21" s="714" t="s">
        <v>17</v>
      </c>
      <c r="U21" s="715">
        <f>H21</f>
        <v>100</v>
      </c>
      <c r="V21" s="714" t="s">
        <v>17</v>
      </c>
      <c r="W21" s="715">
        <f>J21</f>
        <v>100</v>
      </c>
      <c r="X21" s="1540"/>
      <c r="Y21" s="3372"/>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72"/>
      <c r="Q22" s="1537"/>
      <c r="R22" s="714"/>
      <c r="S22" s="715"/>
      <c r="T22" s="714"/>
      <c r="U22" s="715"/>
      <c r="V22" s="714"/>
      <c r="W22" s="715"/>
      <c r="X22" s="1540"/>
      <c r="Y22" s="3372"/>
      <c r="Z22" s="1541"/>
      <c r="AA22" s="1538">
        <v>1</v>
      </c>
      <c r="AB22" s="1538">
        <v>1</v>
      </c>
      <c r="AC22" s="1538">
        <v>1</v>
      </c>
    </row>
    <row r="23" spans="1:29" s="113" customFormat="1" ht="42.75">
      <c r="A23" s="605"/>
      <c r="B23" s="589" t="s">
        <v>2472</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72"/>
      <c r="Q23" s="1528" t="str">
        <f t="shared" si="8"/>
        <v>公共配套设施</v>
      </c>
      <c r="R23" s="710" t="s">
        <v>17</v>
      </c>
      <c r="S23" s="711">
        <f>F23</f>
        <v>100</v>
      </c>
      <c r="T23" s="710" t="s">
        <v>17</v>
      </c>
      <c r="U23" s="711">
        <f>H23</f>
        <v>100</v>
      </c>
      <c r="V23" s="710" t="s">
        <v>17</v>
      </c>
      <c r="W23" s="711">
        <f>J23</f>
        <v>100</v>
      </c>
      <c r="X23" s="712"/>
      <c r="Y23" s="3372"/>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72"/>
      <c r="Q24" s="1528"/>
      <c r="R24" s="710"/>
      <c r="S24" s="711"/>
      <c r="T24" s="710"/>
      <c r="U24" s="711"/>
      <c r="V24" s="710"/>
      <c r="W24" s="711"/>
      <c r="X24" s="712"/>
      <c r="Y24" s="3372"/>
      <c r="Z24" s="55"/>
      <c r="AA24" s="713">
        <v>1</v>
      </c>
      <c r="AB24" s="713">
        <v>1</v>
      </c>
      <c r="AC24" s="713">
        <v>1</v>
      </c>
    </row>
    <row r="25" spans="1:29" s="113" customFormat="1" ht="28.5">
      <c r="A25" s="605"/>
      <c r="B25" s="589" t="s">
        <v>2473</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72"/>
      <c r="Q25" s="1528" t="str">
        <f t="shared" ref="Q25" si="9">B25</f>
        <v>基础设施水平</v>
      </c>
      <c r="R25" s="710" t="s">
        <v>17</v>
      </c>
      <c r="S25" s="711">
        <f>F25</f>
        <v>100</v>
      </c>
      <c r="T25" s="710" t="s">
        <v>17</v>
      </c>
      <c r="U25" s="711">
        <f>H25</f>
        <v>100</v>
      </c>
      <c r="V25" s="710" t="s">
        <v>17</v>
      </c>
      <c r="W25" s="711">
        <f>J25</f>
        <v>100</v>
      </c>
      <c r="X25" s="712"/>
      <c r="Y25" s="3372"/>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72"/>
      <c r="Q26" s="1528"/>
      <c r="R26" s="710"/>
      <c r="S26" s="711"/>
      <c r="T26" s="710"/>
      <c r="U26" s="711"/>
      <c r="V26" s="710"/>
      <c r="W26" s="711"/>
      <c r="X26" s="712"/>
      <c r="Y26" s="337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72"/>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72"/>
      <c r="Z27" s="1541" t="str">
        <f t="shared" ref="Z27:Z40" si="13">Q27</f>
        <v>临街状况</v>
      </c>
      <c r="AA27" s="1538">
        <f t="shared" si="3"/>
        <v>1</v>
      </c>
      <c r="AB27" s="1538">
        <f t="shared" si="4"/>
        <v>1</v>
      </c>
      <c r="AC27" s="1538">
        <f t="shared" si="5"/>
        <v>1</v>
      </c>
    </row>
    <row r="28" spans="1:29" ht="27">
      <c r="A28" s="387"/>
      <c r="B28" s="589" t="s">
        <v>2509</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72"/>
      <c r="Q28" s="1537" t="str">
        <f t="shared" si="8"/>
        <v>毗邻道路的类型与等级</v>
      </c>
      <c r="R28" s="714" t="s">
        <v>17</v>
      </c>
      <c r="S28" s="715">
        <f t="shared" si="10"/>
        <v>100</v>
      </c>
      <c r="T28" s="714" t="s">
        <v>17</v>
      </c>
      <c r="U28" s="715">
        <f t="shared" si="11"/>
        <v>100</v>
      </c>
      <c r="V28" s="714" t="s">
        <v>17</v>
      </c>
      <c r="W28" s="715">
        <f t="shared" si="12"/>
        <v>100</v>
      </c>
      <c r="X28" s="1540"/>
      <c r="Y28" s="3372"/>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72"/>
      <c r="Q29" s="1537"/>
      <c r="R29" s="714"/>
      <c r="S29" s="715"/>
      <c r="T29" s="714"/>
      <c r="U29" s="715"/>
      <c r="V29" s="714"/>
      <c r="W29" s="715"/>
      <c r="X29" s="1540"/>
      <c r="Y29" s="3372"/>
      <c r="Z29" s="1541"/>
      <c r="AA29" s="1538">
        <v>1</v>
      </c>
      <c r="AB29" s="1538">
        <v>1</v>
      </c>
      <c r="AC29" s="1538">
        <v>1</v>
      </c>
    </row>
    <row r="30" spans="1:29" ht="15">
      <c r="A30" s="387"/>
      <c r="B30" s="610" t="s">
        <v>2568</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72"/>
      <c r="Q30" s="1537" t="str">
        <f t="shared" si="8"/>
        <v>土地级别</v>
      </c>
      <c r="R30" s="714" t="s">
        <v>17</v>
      </c>
      <c r="S30" s="715">
        <f t="shared" si="10"/>
        <v>100</v>
      </c>
      <c r="T30" s="714" t="s">
        <v>17</v>
      </c>
      <c r="U30" s="715">
        <f t="shared" si="11"/>
        <v>100</v>
      </c>
      <c r="V30" s="714" t="s">
        <v>17</v>
      </c>
      <c r="W30" s="715">
        <f t="shared" si="12"/>
        <v>100</v>
      </c>
      <c r="X30" s="1540"/>
      <c r="Y30" s="3372"/>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72"/>
      <c r="Q31" s="1537">
        <f t="shared" si="8"/>
        <v>111</v>
      </c>
      <c r="R31" s="714" t="s">
        <v>17</v>
      </c>
      <c r="S31" s="715">
        <f t="shared" si="10"/>
        <v>100</v>
      </c>
      <c r="T31" s="714" t="s">
        <v>17</v>
      </c>
      <c r="U31" s="715">
        <f t="shared" si="11"/>
        <v>100</v>
      </c>
      <c r="V31" s="714" t="s">
        <v>17</v>
      </c>
      <c r="W31" s="715">
        <f t="shared" si="12"/>
        <v>100</v>
      </c>
      <c r="X31" s="1540"/>
      <c r="Y31" s="3372"/>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95" t="s">
        <v>2383</v>
      </c>
      <c r="Q32" s="1537">
        <f t="shared" si="8"/>
        <v>111</v>
      </c>
      <c r="R32" s="714" t="s">
        <v>17</v>
      </c>
      <c r="S32" s="715">
        <f t="shared" si="10"/>
        <v>100</v>
      </c>
      <c r="T32" s="714" t="s">
        <v>17</v>
      </c>
      <c r="U32" s="715">
        <f t="shared" si="11"/>
        <v>100</v>
      </c>
      <c r="V32" s="714" t="s">
        <v>17</v>
      </c>
      <c r="W32" s="715">
        <f t="shared" si="12"/>
        <v>100</v>
      </c>
      <c r="X32" s="1540"/>
      <c r="Y32" s="3376" t="s">
        <v>2383</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76"/>
      <c r="Q33" s="1537">
        <f t="shared" si="8"/>
        <v>111</v>
      </c>
      <c r="R33" s="717" t="s">
        <v>17</v>
      </c>
      <c r="S33" s="718">
        <f t="shared" si="10"/>
        <v>100</v>
      </c>
      <c r="T33" s="717" t="s">
        <v>17</v>
      </c>
      <c r="U33" s="718">
        <f t="shared" si="11"/>
        <v>100</v>
      </c>
      <c r="V33" s="717" t="s">
        <v>17</v>
      </c>
      <c r="W33" s="718">
        <f t="shared" si="12"/>
        <v>100</v>
      </c>
      <c r="X33" s="719"/>
      <c r="Y33" s="3376"/>
      <c r="Z33" s="720">
        <f t="shared" si="13"/>
        <v>111</v>
      </c>
      <c r="AA33" s="1538">
        <f t="shared" si="3"/>
        <v>1</v>
      </c>
      <c r="AB33" s="1538">
        <f t="shared" si="4"/>
        <v>1</v>
      </c>
      <c r="AC33" s="1538">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76"/>
      <c r="Q34" s="1537" t="str">
        <f>B34</f>
        <v>宗地面积</v>
      </c>
      <c r="R34" s="714" t="s">
        <v>17</v>
      </c>
      <c r="S34" s="715" t="e">
        <f t="shared" si="10"/>
        <v>#N/A</v>
      </c>
      <c r="T34" s="714" t="s">
        <v>17</v>
      </c>
      <c r="U34" s="715" t="e">
        <f t="shared" si="11"/>
        <v>#N/A</v>
      </c>
      <c r="V34" s="714" t="s">
        <v>17</v>
      </c>
      <c r="W34" s="715" t="e">
        <f t="shared" si="12"/>
        <v>#N/A</v>
      </c>
      <c r="X34" s="1540"/>
      <c r="Y34" s="3376"/>
      <c r="Z34" s="1541" t="str">
        <f t="shared" si="13"/>
        <v>宗地面积</v>
      </c>
      <c r="AA34" s="1538" t="e">
        <f t="shared" si="3"/>
        <v>#N/A</v>
      </c>
      <c r="AB34" s="1538" t="e">
        <f t="shared" si="4"/>
        <v>#N/A</v>
      </c>
      <c r="AC34" s="1538"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76"/>
      <c r="Q35" s="1537" t="str">
        <f t="shared" ref="Q35:Q40" si="14">B35</f>
        <v>宗地形状</v>
      </c>
      <c r="R35" s="714" t="s">
        <v>17</v>
      </c>
      <c r="S35" s="715">
        <f t="shared" si="10"/>
        <v>100</v>
      </c>
      <c r="T35" s="714" t="s">
        <v>17</v>
      </c>
      <c r="U35" s="715">
        <f t="shared" si="11"/>
        <v>100</v>
      </c>
      <c r="V35" s="714" t="s">
        <v>17</v>
      </c>
      <c r="W35" s="715">
        <f t="shared" si="12"/>
        <v>100</v>
      </c>
      <c r="X35" s="1540"/>
      <c r="Y35" s="3376"/>
      <c r="Z35" s="1541" t="str">
        <f t="shared" si="13"/>
        <v>宗地形状</v>
      </c>
      <c r="AA35" s="1538">
        <f t="shared" si="3"/>
        <v>1</v>
      </c>
      <c r="AB35" s="1538">
        <f t="shared" si="4"/>
        <v>1</v>
      </c>
      <c r="AC35" s="1538">
        <f t="shared" si="5"/>
        <v>1</v>
      </c>
    </row>
    <row r="36" spans="1:31" s="113" customFormat="1" ht="15">
      <c r="A36" s="432"/>
      <c r="B36" s="381" t="s">
        <v>2572</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76"/>
      <c r="Q36" s="1537" t="str">
        <f t="shared" si="14"/>
        <v>宗地开发程度</v>
      </c>
      <c r="R36" s="710" t="s">
        <v>17</v>
      </c>
      <c r="S36" s="711">
        <f t="shared" si="10"/>
        <v>100</v>
      </c>
      <c r="T36" s="710" t="s">
        <v>17</v>
      </c>
      <c r="U36" s="711">
        <f t="shared" si="11"/>
        <v>100</v>
      </c>
      <c r="V36" s="710" t="s">
        <v>17</v>
      </c>
      <c r="W36" s="711">
        <f t="shared" si="12"/>
        <v>100</v>
      </c>
      <c r="X36" s="712"/>
      <c r="Y36" s="3376"/>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76" t="s">
        <v>2383</v>
      </c>
      <c r="Q37" s="1537" t="str">
        <f t="shared" si="14"/>
        <v>工程地质条件</v>
      </c>
      <c r="R37" s="714" t="s">
        <v>17</v>
      </c>
      <c r="S37" s="715">
        <f t="shared" si="10"/>
        <v>100</v>
      </c>
      <c r="T37" s="714" t="s">
        <v>17</v>
      </c>
      <c r="U37" s="715">
        <f t="shared" si="11"/>
        <v>100</v>
      </c>
      <c r="V37" s="714" t="s">
        <v>17</v>
      </c>
      <c r="W37" s="715">
        <f t="shared" si="12"/>
        <v>100</v>
      </c>
      <c r="X37" s="1540"/>
      <c r="Y37" s="3376" t="s">
        <v>2383</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76"/>
      <c r="Q38" s="1537">
        <f t="shared" si="14"/>
        <v>111</v>
      </c>
      <c r="R38" s="714" t="s">
        <v>17</v>
      </c>
      <c r="S38" s="715">
        <f t="shared" si="10"/>
        <v>100</v>
      </c>
      <c r="T38" s="714" t="s">
        <v>17</v>
      </c>
      <c r="U38" s="715">
        <f t="shared" si="11"/>
        <v>100</v>
      </c>
      <c r="V38" s="714" t="s">
        <v>17</v>
      </c>
      <c r="W38" s="715">
        <f t="shared" si="12"/>
        <v>100</v>
      </c>
      <c r="X38" s="1540"/>
      <c r="Y38" s="3376"/>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76"/>
      <c r="Q39" s="1537">
        <f t="shared" si="14"/>
        <v>111</v>
      </c>
      <c r="R39" s="714" t="s">
        <v>17</v>
      </c>
      <c r="S39" s="715">
        <f t="shared" si="10"/>
        <v>100</v>
      </c>
      <c r="T39" s="714" t="s">
        <v>17</v>
      </c>
      <c r="U39" s="715">
        <f t="shared" si="11"/>
        <v>100</v>
      </c>
      <c r="V39" s="714" t="s">
        <v>17</v>
      </c>
      <c r="W39" s="715">
        <f t="shared" si="12"/>
        <v>100</v>
      </c>
      <c r="X39" s="1540"/>
      <c r="Y39" s="3376"/>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76"/>
      <c r="Q40" s="1537">
        <f t="shared" si="14"/>
        <v>111</v>
      </c>
      <c r="R40" s="717" t="s">
        <v>17</v>
      </c>
      <c r="S40" s="718">
        <f t="shared" si="10"/>
        <v>100</v>
      </c>
      <c r="T40" s="717" t="s">
        <v>17</v>
      </c>
      <c r="U40" s="718">
        <f t="shared" si="11"/>
        <v>100</v>
      </c>
      <c r="V40" s="717" t="s">
        <v>17</v>
      </c>
      <c r="W40" s="718">
        <f t="shared" si="12"/>
        <v>100</v>
      </c>
      <c r="X40" s="719"/>
      <c r="Y40" s="3376"/>
      <c r="Z40" s="720">
        <f t="shared" si="13"/>
        <v>111</v>
      </c>
      <c r="AA40" s="1538">
        <f t="shared" si="3"/>
        <v>1</v>
      </c>
      <c r="AB40" s="1538">
        <f t="shared" si="4"/>
        <v>1</v>
      </c>
      <c r="AC40" s="1538">
        <f t="shared" si="5"/>
        <v>1</v>
      </c>
    </row>
    <row r="41" spans="1:31" ht="15">
      <c r="A41" s="438" t="s">
        <v>2538</v>
      </c>
      <c r="B41" s="2169" t="s">
        <v>2618</v>
      </c>
      <c r="C41" s="638" t="s">
        <v>1</v>
      </c>
      <c r="D41" s="440"/>
      <c r="E41" s="441"/>
      <c r="F41" s="442"/>
      <c r="G41" s="443"/>
      <c r="H41" s="444"/>
      <c r="I41" s="441"/>
      <c r="J41" s="444"/>
      <c r="K41" s="723"/>
      <c r="L41" s="2954"/>
      <c r="M41" s="2946"/>
      <c r="N41" s="2946"/>
      <c r="O41" s="2955"/>
      <c r="P41" s="3369" t="str">
        <f>A41</f>
        <v>成交单价</v>
      </c>
      <c r="Q41" s="3369"/>
      <c r="R41" s="3364">
        <f>E41</f>
        <v>0</v>
      </c>
      <c r="S41" s="3364"/>
      <c r="T41" s="3364">
        <f>G41</f>
        <v>0</v>
      </c>
      <c r="U41" s="3364"/>
      <c r="V41" s="3364">
        <f>I41</f>
        <v>0</v>
      </c>
      <c r="W41" s="3364"/>
      <c r="X41" s="699"/>
      <c r="Y41" s="721"/>
      <c r="Z41" s="699"/>
      <c r="AA41" s="699"/>
      <c r="AB41" s="699"/>
      <c r="AC41" s="699"/>
    </row>
    <row r="42" spans="1:31" ht="15.75" thickBot="1">
      <c r="A42" s="445" t="s">
        <v>2487</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69" t="str">
        <f>A42</f>
        <v>比较价值（元/平方米）</v>
      </c>
      <c r="Q42" s="3369"/>
      <c r="R42" s="3397" t="e">
        <f>ROUND(PRODUCT(R41,AA7:AA40),0)</f>
        <v>#DIV/0!</v>
      </c>
      <c r="S42" s="3397"/>
      <c r="T42" s="3397" t="e">
        <f>ROUND(PRODUCT(T41,AB7:AB40),0)</f>
        <v>#DIV/0!</v>
      </c>
      <c r="U42" s="3397"/>
      <c r="V42" s="3397" t="e">
        <f>ROUND(PRODUCT(V41,AC7:AC40),0)</f>
        <v>#DIV/0!</v>
      </c>
      <c r="W42" s="3397"/>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4"/>
      <c r="M43" s="2946"/>
      <c r="N43" s="2946"/>
      <c r="O43" s="2955"/>
      <c r="P43" s="3366" t="str">
        <f>A43</f>
        <v>估价对象XX用房的比较价值（楼面单价，元/平方米）</v>
      </c>
      <c r="Q43" s="3367"/>
      <c r="R43" s="3398" t="e">
        <f>ROUND(IF(D42="简单平均",AVERAGE(R42:W42),R42*F42+T42*H42+V42*J42),0)</f>
        <v>#DIV/0!</v>
      </c>
      <c r="S43" s="3398"/>
      <c r="T43" s="3398"/>
      <c r="U43" s="3398"/>
      <c r="V43" s="3398"/>
      <c r="W43" s="3398"/>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2576</v>
      </c>
      <c r="B50" s="641" t="s">
        <v>2577</v>
      </c>
      <c r="C50" s="2170" t="s">
        <v>2578</v>
      </c>
      <c r="D50" s="2171" t="s">
        <v>2579</v>
      </c>
      <c r="E50" s="642" t="s">
        <v>2580</v>
      </c>
      <c r="F50" s="643" t="s">
        <v>2581</v>
      </c>
      <c r="G50" s="3352" t="s">
        <v>2582</v>
      </c>
      <c r="H50" s="3399"/>
      <c r="I50" s="1541" t="s">
        <v>2619</v>
      </c>
      <c r="J50" s="1541">
        <f>项目基本情况!F35</f>
        <v>0</v>
      </c>
      <c r="K50" s="2173" t="s">
        <v>2584</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2585</v>
      </c>
      <c r="B51" s="645" t="e">
        <f>C43</f>
        <v>#DIV/0!</v>
      </c>
      <c r="C51" s="646">
        <v>1</v>
      </c>
      <c r="D51" s="1075">
        <v>1</v>
      </c>
      <c r="E51" s="646">
        <f>'数据-汇总表'!E8+'数据-汇总表'!E9</f>
        <v>240.41</v>
      </c>
      <c r="F51" s="647" t="e">
        <f t="shared" ref="F51:F60" si="15">ROUND(B51*E51/10000,0)</f>
        <v>#DIV/0!</v>
      </c>
      <c r="G51" s="3351"/>
      <c r="H51" s="336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2586</v>
      </c>
      <c r="B52" s="224" t="e">
        <f>ROUND($C$43*C52*D52,0)</f>
        <v>#DIV/0!</v>
      </c>
      <c r="C52" s="176">
        <f t="shared" ref="C52:C60" si="16">IF($C$50="北京市系数",I52,J52)</f>
        <v>0</v>
      </c>
      <c r="D52" s="1076">
        <v>0.25</v>
      </c>
      <c r="E52" s="650"/>
      <c r="F52" s="647" t="e">
        <f t="shared" si="15"/>
        <v>#DIV/0!</v>
      </c>
      <c r="G52" s="3400" t="s">
        <v>2587</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2588</v>
      </c>
      <c r="B53" s="224" t="e">
        <f t="shared" ref="B53:B60" si="17">ROUND($C$43*C53*D53,0)</f>
        <v>#DIV/0!</v>
      </c>
      <c r="C53" s="176">
        <f t="shared" si="16"/>
        <v>0</v>
      </c>
      <c r="D53" s="1076">
        <v>0.25</v>
      </c>
      <c r="E53" s="650"/>
      <c r="F53" s="647" t="e">
        <f t="shared" si="15"/>
        <v>#DIV/0!</v>
      </c>
      <c r="G53" s="3400"/>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2589</v>
      </c>
      <c r="B54" s="224" t="e">
        <f t="shared" si="17"/>
        <v>#DIV/0!</v>
      </c>
      <c r="C54" s="176">
        <f t="shared" si="16"/>
        <v>0</v>
      </c>
      <c r="D54" s="1076">
        <v>0.25</v>
      </c>
      <c r="E54" s="650"/>
      <c r="F54" s="647" t="e">
        <f t="shared" si="15"/>
        <v>#DIV/0!</v>
      </c>
      <c r="G54" s="3400"/>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2590</v>
      </c>
      <c r="B55" s="224" t="e">
        <f t="shared" si="17"/>
        <v>#DIV/0!</v>
      </c>
      <c r="C55" s="176">
        <f t="shared" si="16"/>
        <v>0</v>
      </c>
      <c r="D55" s="1076">
        <v>0.25</v>
      </c>
      <c r="E55" s="650"/>
      <c r="F55" s="647" t="e">
        <f t="shared" si="15"/>
        <v>#DIV/0!</v>
      </c>
      <c r="G55" s="3400"/>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2591</v>
      </c>
      <c r="B56" s="224" t="e">
        <f t="shared" si="17"/>
        <v>#DIV/0!</v>
      </c>
      <c r="C56" s="176">
        <f t="shared" si="16"/>
        <v>0.3</v>
      </c>
      <c r="D56" s="1076">
        <v>0.25</v>
      </c>
      <c r="E56" s="223">
        <f>'数据-汇总表'!E11</f>
        <v>0</v>
      </c>
      <c r="F56" s="647" t="e">
        <f t="shared" si="15"/>
        <v>#DIV/0!</v>
      </c>
      <c r="G56" s="2174" t="s">
        <v>2592</v>
      </c>
      <c r="H56" s="1018" t="str">
        <f>项目基本情况!C37</f>
        <v>二级</v>
      </c>
      <c r="I56" s="879">
        <f>SUMIF(修正!A45:A56,H56,修正!F45:F56)</f>
        <v>0.3</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2593</v>
      </c>
      <c r="B57" s="224" t="e">
        <f t="shared" si="17"/>
        <v>#DIV/0!</v>
      </c>
      <c r="C57" s="176">
        <f t="shared" si="16"/>
        <v>0.3</v>
      </c>
      <c r="D57" s="1076">
        <v>0.25</v>
      </c>
      <c r="E57" s="223">
        <f>'数据-汇总表'!E12</f>
        <v>0</v>
      </c>
      <c r="F57" s="647" t="e">
        <f t="shared" si="15"/>
        <v>#DIV/0!</v>
      </c>
      <c r="G57" s="1023" t="s">
        <v>2594</v>
      </c>
      <c r="H57" s="1018" t="str">
        <f>IF(G57="商业",项目基本情况!B37,IF(G57="办公",项目基本情况!C37,IF(G57="住宅",项目基本情况!D37,项目基本情况!E37)))</f>
        <v>二级</v>
      </c>
      <c r="I57" s="879">
        <f>SUMIF(修正!A45:A56,H57,修正!G45:G56)</f>
        <v>0.3</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2597</v>
      </c>
      <c r="B59" s="224" t="e">
        <f t="shared" si="17"/>
        <v>#DIV/0!</v>
      </c>
      <c r="C59" s="176">
        <f t="shared" si="16"/>
        <v>0</v>
      </c>
      <c r="D59" s="1076">
        <v>0.25</v>
      </c>
      <c r="E59" s="223">
        <f>'数据-汇总表'!E14</f>
        <v>0</v>
      </c>
      <c r="F59" s="647" t="e">
        <f t="shared" si="15"/>
        <v>#DIV/0!</v>
      </c>
      <c r="G59" s="2174" t="s">
        <v>2587</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2598</v>
      </c>
      <c r="B60" s="224" t="e">
        <f t="shared" si="17"/>
        <v>#DIV/0!</v>
      </c>
      <c r="C60" s="176">
        <f t="shared" si="16"/>
        <v>0.25</v>
      </c>
      <c r="D60" s="1076">
        <v>0.25</v>
      </c>
      <c r="E60" s="223">
        <f>'数据-汇总表'!E15</f>
        <v>0</v>
      </c>
      <c r="F60" s="647" t="e">
        <f t="shared" si="15"/>
        <v>#DIV/0!</v>
      </c>
      <c r="G60" s="2175" t="s">
        <v>2592</v>
      </c>
      <c r="H60" s="1028" t="str">
        <f>项目基本情况!C37</f>
        <v>二级</v>
      </c>
      <c r="I60" s="879">
        <f>SUMIF(修正!A45:A56,H60,修正!H45:H56)</f>
        <v>0.25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2599</v>
      </c>
      <c r="B61" s="652" t="s">
        <v>28</v>
      </c>
      <c r="C61" s="652" t="s">
        <v>29</v>
      </c>
      <c r="D61" s="652" t="s">
        <v>997</v>
      </c>
      <c r="E61" s="652">
        <f>IF(B41="楼面地价",SUM(E51:E60),'数据-汇总表'!D3)</f>
        <v>11.65</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5"/>
      <c r="Q63" s="2955"/>
      <c r="R63" s="2955"/>
      <c r="S63" s="2955"/>
      <c r="T63" s="2955"/>
      <c r="U63" s="2955"/>
      <c r="V63" s="2955"/>
      <c r="W63" s="2955"/>
      <c r="X63" s="2955"/>
      <c r="Y63" s="2955"/>
      <c r="Z63" s="2955"/>
      <c r="AA63" s="2955"/>
      <c r="AB63" s="2955"/>
      <c r="AC63" s="2955"/>
      <c r="AD63" s="2955"/>
      <c r="AE63" s="2955"/>
    </row>
    <row r="64" spans="1:31" ht="21.75" thickBot="1">
      <c r="A64" s="703" t="s">
        <v>2492</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2600</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2620</v>
      </c>
      <c r="B66" s="294" t="str">
        <f>"北京市平均增长率"&amp;TEXT(基准地价修正!P24,"0.00%")</f>
        <v>北京市平均增长率1.28%</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2403</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2368</v>
      </c>
      <c r="B68" s="467"/>
      <c r="C68" s="479" t="s">
        <v>2470</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2406</v>
      </c>
      <c r="B70" s="485" t="s">
        <v>2372</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2375</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2377</v>
      </c>
      <c r="B83" s="485" t="s">
        <v>2523</v>
      </c>
      <c r="C83" s="530" t="s">
        <v>2415</v>
      </c>
      <c r="D83" s="530" t="s">
        <v>2416</v>
      </c>
      <c r="E83" s="530" t="s">
        <v>2417</v>
      </c>
      <c r="F83" s="530" t="s">
        <v>2418</v>
      </c>
      <c r="G83" s="530" t="s">
        <v>2419</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2420</v>
      </c>
      <c r="C85" s="535" t="s">
        <v>2415</v>
      </c>
      <c r="D85" s="535" t="s">
        <v>2416</v>
      </c>
      <c r="E85" s="535" t="s">
        <v>2417</v>
      </c>
      <c r="F85" s="535" t="s">
        <v>2418</v>
      </c>
      <c r="G85" s="535" t="s">
        <v>2419</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2509</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2568</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2610</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2612</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2613</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1550</v>
      </c>
      <c r="B1" s="722"/>
      <c r="C1" s="1564" t="s">
        <v>48</v>
      </c>
      <c r="D1" s="1547" t="s">
        <v>70</v>
      </c>
      <c r="E1" s="1548" t="s">
        <v>1348</v>
      </c>
      <c r="F1" s="1192">
        <f ca="1">J53</f>
        <v>28.97</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1476</v>
      </c>
      <c r="B2" s="1571">
        <f ca="1">C40+J29+L46</f>
        <v>2884</v>
      </c>
      <c r="C2" s="1572" t="s">
        <v>1477</v>
      </c>
      <c r="D2" s="1572"/>
      <c r="E2" s="1573"/>
      <c r="F2" s="1574"/>
      <c r="G2" s="2936"/>
      <c r="H2" s="2925"/>
      <c r="I2" s="2925"/>
      <c r="J2" s="2925"/>
      <c r="K2" s="2926"/>
      <c r="L2" s="2925"/>
      <c r="M2" s="2925"/>
    </row>
    <row r="3" spans="1:37" ht="18" customHeight="1" thickBot="1">
      <c r="A3" s="1575" t="s">
        <v>1478</v>
      </c>
      <c r="B3" s="1576">
        <f ca="1">IF(ISERROR(B2*10000/F43),0,ROUND(B2*10000/F43,0))</f>
        <v>0</v>
      </c>
      <c r="C3" s="1572" t="s">
        <v>1479</v>
      </c>
      <c r="D3" s="1572"/>
      <c r="E3" s="1573"/>
      <c r="F3" s="1574"/>
      <c r="G3" s="2936"/>
      <c r="H3" s="692" t="s">
        <v>1549</v>
      </c>
      <c r="I3" s="1567"/>
      <c r="J3" s="1567"/>
      <c r="K3" s="1568"/>
      <c r="L3" s="1567"/>
      <c r="M3" s="1567"/>
    </row>
    <row r="4" spans="1:37" ht="18" customHeight="1">
      <c r="A4" s="301" t="s">
        <v>1357</v>
      </c>
      <c r="B4" s="302" t="s">
        <v>1358</v>
      </c>
      <c r="C4" s="302" t="s">
        <v>1359</v>
      </c>
      <c r="D4" s="302" t="s">
        <v>1360</v>
      </c>
      <c r="E4" s="303" t="s">
        <v>1361</v>
      </c>
      <c r="F4" s="304"/>
      <c r="G4" s="1569"/>
      <c r="H4" s="301" t="s">
        <v>1357</v>
      </c>
      <c r="I4" s="302" t="s">
        <v>1358</v>
      </c>
      <c r="J4" s="302" t="s">
        <v>1359</v>
      </c>
      <c r="K4" s="302" t="s">
        <v>1360</v>
      </c>
      <c r="L4" s="303" t="s">
        <v>1361</v>
      </c>
      <c r="M4" s="304"/>
    </row>
    <row r="5" spans="1:37" ht="18" customHeight="1">
      <c r="A5" s="305">
        <v>1</v>
      </c>
      <c r="B5" s="306" t="s">
        <v>1362</v>
      </c>
      <c r="C5" s="1201">
        <f ca="1">C6+C10+C12</f>
        <v>177</v>
      </c>
      <c r="D5" s="1549" t="s">
        <v>1363</v>
      </c>
      <c r="E5" s="1202"/>
      <c r="F5" s="1203"/>
      <c r="G5" s="1569"/>
      <c r="H5" s="305">
        <v>1</v>
      </c>
      <c r="I5" s="306" t="s">
        <v>1362</v>
      </c>
      <c r="J5" s="1201">
        <f ca="1">J6+J10+J12</f>
        <v>0</v>
      </c>
      <c r="K5" s="1549" t="s">
        <v>1363</v>
      </c>
      <c r="L5" s="1202"/>
      <c r="M5" s="1203"/>
    </row>
    <row r="6" spans="1:37" ht="18" customHeight="1">
      <c r="A6" s="1200" t="s">
        <v>1003</v>
      </c>
      <c r="B6" s="3306" t="s">
        <v>1364</v>
      </c>
      <c r="C6" s="1205">
        <f ca="1">ROUND(F6*F8*F7*(1-F9)/10000,0)</f>
        <v>177</v>
      </c>
      <c r="D6" s="160" t="s">
        <v>2846</v>
      </c>
      <c r="E6" s="308" t="s">
        <v>1366</v>
      </c>
      <c r="F6" s="309">
        <f ca="1">INDIRECT("'数据-取费表'!u"&amp;$G$1)</f>
        <v>1240</v>
      </c>
      <c r="G6" s="1569"/>
      <c r="H6" s="1200" t="s">
        <v>1003</v>
      </c>
      <c r="I6" s="3306" t="s">
        <v>1364</v>
      </c>
      <c r="J6" s="307">
        <f ca="1">ROUND(M6*M8*M7*(1-M9)/10000,0)</f>
        <v>0</v>
      </c>
      <c r="K6" s="160" t="s">
        <v>2845</v>
      </c>
      <c r="L6" s="308" t="s">
        <v>1366</v>
      </c>
      <c r="M6" s="309">
        <f ca="1">INDIRECT("'数据-取费表'!z"&amp;$G$1)</f>
        <v>0</v>
      </c>
    </row>
    <row r="7" spans="1:37" ht="18" customHeight="1">
      <c r="A7" s="1204"/>
      <c r="B7" s="3307"/>
      <c r="C7" s="1206"/>
      <c r="D7" s="313"/>
      <c r="E7" s="3051" t="s">
        <v>1367</v>
      </c>
      <c r="F7" s="309">
        <f ca="1">IF(INDIRECT("'数据-取费表'!ah"&amp;$G$1)="",INDIRECT("'数据-取费表'!k"&amp;$G$1),INDIRECT("'数据-取费表'!ah"&amp;$G$1))</f>
        <v>132</v>
      </c>
      <c r="G7" s="1569"/>
      <c r="H7" s="310"/>
      <c r="I7" s="3307"/>
      <c r="J7" s="312"/>
      <c r="K7" s="313"/>
      <c r="L7" s="308" t="s">
        <v>1367</v>
      </c>
      <c r="M7" s="309">
        <f ca="1">F7</f>
        <v>132</v>
      </c>
    </row>
    <row r="8" spans="1:37" ht="18" customHeight="1">
      <c r="A8" s="310"/>
      <c r="B8" s="3307"/>
      <c r="C8" s="312"/>
      <c r="D8" s="313"/>
      <c r="E8" s="308" t="s">
        <v>1368</v>
      </c>
      <c r="F8" s="309">
        <f ca="1">INDIRECT("'数据-取费表'!ai"&amp;$G$1)</f>
        <v>12</v>
      </c>
      <c r="G8" s="1569"/>
      <c r="H8" s="310"/>
      <c r="I8" s="3307"/>
      <c r="J8" s="312"/>
      <c r="K8" s="313"/>
      <c r="L8" s="308" t="s">
        <v>1368</v>
      </c>
      <c r="M8" s="309">
        <f ca="1">INDIRECT("'数据-取费表'!ai"&amp;$G$1)</f>
        <v>12</v>
      </c>
    </row>
    <row r="9" spans="1:37" ht="18" customHeight="1">
      <c r="A9" s="310"/>
      <c r="B9" s="3308"/>
      <c r="C9" s="312"/>
      <c r="D9" s="313"/>
      <c r="E9" s="308" t="s">
        <v>1369</v>
      </c>
      <c r="F9" s="318">
        <f ca="1">INDIRECT("'数据-取费表'!w"&amp;$G$1)</f>
        <v>0.1</v>
      </c>
      <c r="G9" s="1569"/>
      <c r="H9" s="310"/>
      <c r="I9" s="3308"/>
      <c r="J9" s="312"/>
      <c r="K9" s="313"/>
      <c r="L9" s="319" t="s">
        <v>1369</v>
      </c>
      <c r="M9" s="320">
        <f ca="1">INDIRECT("'数据-取费表'!ab"&amp;$G$1)</f>
        <v>0</v>
      </c>
    </row>
    <row r="10" spans="1:37" ht="18" customHeight="1">
      <c r="A10" s="1200" t="s">
        <v>1007</v>
      </c>
      <c r="B10" s="1550" t="s">
        <v>1370</v>
      </c>
      <c r="C10" s="322">
        <f ca="1">ROUND(IF(F10="押一",C6/12*F11,IF(F10="押二",C6/12*2*F11,IF(F10="押三",C6/12*3*F11,C11*F11))),0)</f>
        <v>0</v>
      </c>
      <c r="D10" s="1551" t="s">
        <v>2853</v>
      </c>
      <c r="E10" s="319" t="s">
        <v>1371</v>
      </c>
      <c r="F10" s="1275" t="s">
        <v>3242</v>
      </c>
      <c r="G10" s="1569"/>
      <c r="H10" s="1200" t="s">
        <v>1007</v>
      </c>
      <c r="I10" s="1550" t="s">
        <v>1370</v>
      </c>
      <c r="J10" s="307">
        <f ca="1">ROUND(IF(M10="押一",J6/12*M11,IF(M10="押二",J6/12*2*M11,IF(M10="押三",J6/12*3*M11,J11*M11))),0)</f>
        <v>0</v>
      </c>
      <c r="K10" s="1551" t="s">
        <v>2853</v>
      </c>
      <c r="L10" s="319" t="s">
        <v>1371</v>
      </c>
      <c r="M10" s="1275" t="s">
        <v>1372</v>
      </c>
    </row>
    <row r="11" spans="1:37" ht="18" customHeight="1">
      <c r="A11" s="314"/>
      <c r="B11" s="1552" t="s">
        <v>1349</v>
      </c>
      <c r="C11" s="1090"/>
      <c r="D11" s="1553"/>
      <c r="E11" s="319" t="s">
        <v>1373</v>
      </c>
      <c r="F11" s="320">
        <f ca="1">'数据-取费表'!B39</f>
        <v>1.4999999999999999E-2</v>
      </c>
      <c r="G11" s="1569"/>
      <c r="H11" s="1208"/>
      <c r="I11" s="1552" t="s">
        <v>1349</v>
      </c>
      <c r="J11" s="1090"/>
      <c r="K11" s="693"/>
      <c r="L11" s="319" t="s">
        <v>1373</v>
      </c>
      <c r="M11" s="971">
        <f ca="1">'数据-取费表'!B39</f>
        <v>1.4999999999999999E-2</v>
      </c>
    </row>
    <row r="12" spans="1:37" ht="18" customHeight="1" thickBot="1">
      <c r="A12" s="1242" t="s">
        <v>1043</v>
      </c>
      <c r="B12" s="1554" t="s">
        <v>1374</v>
      </c>
      <c r="C12" s="1243"/>
      <c r="D12" s="1244"/>
      <c r="E12" s="1249"/>
      <c r="F12" s="1245"/>
      <c r="G12" s="1569"/>
      <c r="H12" s="1242" t="s">
        <v>1043</v>
      </c>
      <c r="I12" s="1554" t="s">
        <v>1374</v>
      </c>
      <c r="J12" s="1243"/>
      <c r="K12" s="1257"/>
      <c r="L12" s="1249"/>
      <c r="M12" s="1258"/>
    </row>
    <row r="13" spans="1:37" ht="18" customHeight="1" thickTop="1">
      <c r="A13" s="1238">
        <v>2</v>
      </c>
      <c r="B13" s="1239" t="s">
        <v>1375</v>
      </c>
      <c r="C13" s="316">
        <f ca="1">ROUND(C29*F13,0)</f>
        <v>0</v>
      </c>
      <c r="D13" s="3045" t="s">
        <v>1376</v>
      </c>
      <c r="E13" s="3045" t="s">
        <v>1377</v>
      </c>
      <c r="F13" s="1241">
        <f ca="1">INDIRECT("'数据-取费表'!y"&amp;$G$1)</f>
        <v>0.78</v>
      </c>
      <c r="G13" s="1569"/>
      <c r="H13" s="1238">
        <v>2</v>
      </c>
      <c r="I13" s="1239" t="s">
        <v>1375</v>
      </c>
      <c r="J13" s="1199">
        <f ca="1">ROUND(J14*J15,0)</f>
        <v>0</v>
      </c>
      <c r="K13" s="1246" t="s">
        <v>1376</v>
      </c>
      <c r="L13" s="1577"/>
      <c r="M13" s="1578"/>
    </row>
    <row r="14" spans="1:37" ht="18" customHeight="1">
      <c r="A14" s="1113" t="s">
        <v>1002</v>
      </c>
      <c r="B14" s="308" t="s">
        <v>1378</v>
      </c>
      <c r="C14" s="324">
        <f ca="1">INDIRECT("'数据-取费表'!m"&amp;$G$1)+INDIRECT("'数据-取费表'!t"&amp;$G$1)</f>
        <v>0</v>
      </c>
      <c r="D14" s="3061" t="s">
        <v>1379</v>
      </c>
      <c r="E14" s="3060"/>
      <c r="F14" s="325"/>
      <c r="G14" s="1569"/>
      <c r="H14" s="1113" t="s">
        <v>1003</v>
      </c>
      <c r="I14" s="308" t="s">
        <v>1380</v>
      </c>
      <c r="J14" s="24">
        <f ca="1">C29</f>
        <v>0</v>
      </c>
      <c r="K14" s="3049"/>
      <c r="L14" s="916"/>
      <c r="M14" s="917"/>
    </row>
    <row r="15" spans="1:37" s="1582" customFormat="1" ht="18" customHeight="1" thickBot="1">
      <c r="A15" s="1113" t="s">
        <v>1004</v>
      </c>
      <c r="B15" s="308" t="s">
        <v>1381</v>
      </c>
      <c r="C15" s="24">
        <f ca="1">ROUND(C14*F15,0)</f>
        <v>0</v>
      </c>
      <c r="D15" s="3046" t="s">
        <v>1382</v>
      </c>
      <c r="E15" s="3046" t="s">
        <v>1383</v>
      </c>
      <c r="F15" s="327">
        <f>'数据-取费表'!B33</f>
        <v>0.03</v>
      </c>
      <c r="G15" s="1581"/>
      <c r="H15" s="1248" t="s">
        <v>1007</v>
      </c>
      <c r="I15" s="1249" t="s">
        <v>1377</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9"/>
      <c r="H16" s="1238" t="s">
        <v>998</v>
      </c>
      <c r="I16" s="1239" t="s">
        <v>1385</v>
      </c>
      <c r="J16" s="316">
        <f ca="1">ROUND(J17+J22+J23+J24,0)</f>
        <v>0</v>
      </c>
      <c r="K16" s="1246" t="s">
        <v>1386</v>
      </c>
      <c r="L16" s="3065"/>
      <c r="M16" s="1203"/>
    </row>
    <row r="17" spans="1:37" s="1582" customFormat="1" ht="18" customHeight="1">
      <c r="A17" s="1113" t="s">
        <v>1351</v>
      </c>
      <c r="B17" s="308" t="s">
        <v>1387</v>
      </c>
      <c r="C17" s="24">
        <f ca="1">ROUND(F17*(F43+INDIRECT("'数据-取费表'!S"&amp;$G$1))/10000,0)</f>
        <v>0</v>
      </c>
      <c r="D17" s="308" t="s">
        <v>1388</v>
      </c>
      <c r="E17" s="308" t="s">
        <v>1389</v>
      </c>
      <c r="F17" s="26">
        <f>'数据-取费表'!B35</f>
        <v>200</v>
      </c>
      <c r="G17" s="1581"/>
      <c r="H17" s="1113" t="s">
        <v>1003</v>
      </c>
      <c r="I17" s="308" t="s">
        <v>1390</v>
      </c>
      <c r="J17" s="2535">
        <f ca="1">ROUND(IF(AND(项目基本情况!B11="自然人",项目基本情况!B10="北京市"),J6*M17/(1+'数据-取费表'!C42),J18+J19+J20),0)</f>
        <v>0</v>
      </c>
      <c r="K17" s="3061" t="s">
        <v>1391</v>
      </c>
      <c r="L17" s="3064" t="s">
        <v>1392</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1352</v>
      </c>
      <c r="B18" s="308" t="s">
        <v>1393</v>
      </c>
      <c r="C18" s="24">
        <f ca="1">ROUND(C14*F18,0)</f>
        <v>0</v>
      </c>
      <c r="D18" s="308" t="s">
        <v>1382</v>
      </c>
      <c r="E18" s="308" t="s">
        <v>1383</v>
      </c>
      <c r="F18" s="328">
        <f>'数据-取费表'!B36</f>
        <v>1.4999999999999999E-2</v>
      </c>
      <c r="G18" s="1581"/>
      <c r="H18" s="1113" t="s">
        <v>1002</v>
      </c>
      <c r="I18" s="308" t="s">
        <v>1394</v>
      </c>
      <c r="J18" s="24">
        <f ca="1">ROUND(J6*M18/(1+'数据-取费表'!C42),2)</f>
        <v>0</v>
      </c>
      <c r="K18" s="3064" t="s">
        <v>1395</v>
      </c>
      <c r="L18" s="308" t="s">
        <v>1383</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1396</v>
      </c>
      <c r="C19" s="24">
        <f ca="1">SUM(C14:C18)</f>
        <v>0</v>
      </c>
      <c r="D19" s="136" t="s">
        <v>1397</v>
      </c>
      <c r="E19" s="3068"/>
      <c r="F19" s="26"/>
      <c r="G19" s="1569"/>
      <c r="H19" s="1113" t="s">
        <v>1004</v>
      </c>
      <c r="I19" s="308" t="s">
        <v>1398</v>
      </c>
      <c r="J19" s="24">
        <f ca="1">IF(K19="按租金收入计税",ROUND(J6*M19/(1+'数据-取费表'!C42),2),ROUND(C29*M19*0.7,2))</f>
        <v>0</v>
      </c>
      <c r="K19" s="1555" t="s">
        <v>1399</v>
      </c>
      <c r="L19" s="308" t="s">
        <v>1383</v>
      </c>
      <c r="M19" s="328">
        <f>IF(K19="按租金收入计税",'数据-取费表'!B51,'数据-取费表'!B50)</f>
        <v>1.2E-2</v>
      </c>
    </row>
    <row r="20" spans="1:37" s="1582" customFormat="1" ht="18" customHeight="1">
      <c r="A20" s="1113" t="s">
        <v>1007</v>
      </c>
      <c r="B20" s="308" t="s">
        <v>1400</v>
      </c>
      <c r="C20" s="24">
        <f ca="1">ROUND(C19*F20,0)</f>
        <v>0</v>
      </c>
      <c r="D20" s="329" t="s">
        <v>1401</v>
      </c>
      <c r="E20" s="308" t="s">
        <v>1383</v>
      </c>
      <c r="F20" s="328">
        <f>'数据-取费表'!B37</f>
        <v>0.02</v>
      </c>
      <c r="G20" s="1581"/>
      <c r="H20" s="1113" t="s">
        <v>1350</v>
      </c>
      <c r="I20" s="160" t="s">
        <v>1402</v>
      </c>
      <c r="J20" s="25">
        <f ca="1">ROUND(M20*M21/10000,2)</f>
        <v>0</v>
      </c>
      <c r="K20" s="330" t="s">
        <v>1403</v>
      </c>
      <c r="L20" s="308" t="s">
        <v>1404</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1405</v>
      </c>
      <c r="C21" s="24" t="s">
        <v>18</v>
      </c>
      <c r="D21" s="329" t="s">
        <v>1406</v>
      </c>
      <c r="E21" s="308" t="s">
        <v>1407</v>
      </c>
      <c r="F21" s="328">
        <f>'数据-取费表'!B38</f>
        <v>0.02</v>
      </c>
      <c r="G21" s="1581"/>
      <c r="H21" s="332"/>
      <c r="I21" s="317"/>
      <c r="J21" s="29"/>
      <c r="K21" s="333"/>
      <c r="L21" s="308" t="s">
        <v>1408</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3068"/>
      <c r="F22" s="26"/>
      <c r="G22" s="1569"/>
      <c r="H22" s="1113" t="s">
        <v>1007</v>
      </c>
      <c r="I22" s="308" t="s">
        <v>1410</v>
      </c>
      <c r="J22" s="24">
        <f ca="1">ROUND(J14*M22,1)</f>
        <v>0</v>
      </c>
      <c r="K22" s="3064" t="s">
        <v>1411</v>
      </c>
      <c r="L22" s="308" t="s">
        <v>1383</v>
      </c>
      <c r="M22" s="334">
        <f ca="1">INDIRECT("'数据-取费表'!Ak"&amp;$G$1)</f>
        <v>1.4999999999999999E-2</v>
      </c>
    </row>
    <row r="23" spans="1:37" s="1582" customFormat="1" ht="18" customHeight="1">
      <c r="A23" s="1113"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81"/>
      <c r="H23" s="1113" t="s">
        <v>1043</v>
      </c>
      <c r="I23" s="308" t="s">
        <v>1414</v>
      </c>
      <c r="J23" s="24">
        <f ca="1">ROUND(J13*M23,1)</f>
        <v>0</v>
      </c>
      <c r="K23" s="3064" t="s">
        <v>1415</v>
      </c>
      <c r="L23" s="308" t="s">
        <v>1383</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81"/>
      <c r="H24" s="1248" t="s">
        <v>1353</v>
      </c>
      <c r="I24" s="1249" t="s">
        <v>1400</v>
      </c>
      <c r="J24" s="1250">
        <f ca="1">ROUND(J5*M24,1)</f>
        <v>0</v>
      </c>
      <c r="K24" s="1251" t="s">
        <v>1420</v>
      </c>
      <c r="L24" s="1249" t="s">
        <v>1383</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1421</v>
      </c>
      <c r="B25" s="308" t="s">
        <v>1422</v>
      </c>
      <c r="C25" s="24"/>
      <c r="D25" s="136" t="s">
        <v>1423</v>
      </c>
      <c r="E25" s="3068"/>
      <c r="F25" s="26"/>
      <c r="G25" s="1569"/>
      <c r="H25" s="1238" t="s">
        <v>999</v>
      </c>
      <c r="I25" s="1253" t="s">
        <v>1424</v>
      </c>
      <c r="J25" s="316">
        <f ca="1">J5-J16</f>
        <v>0</v>
      </c>
      <c r="K25" s="1254" t="s">
        <v>1425</v>
      </c>
      <c r="L25" s="1255"/>
      <c r="M25" s="1256"/>
    </row>
    <row r="26" spans="1:37">
      <c r="A26" s="1113" t="s">
        <v>1002</v>
      </c>
      <c r="B26" s="308" t="s">
        <v>1426</v>
      </c>
      <c r="C26" s="24">
        <f ca="1">ROUND((C19+C20)*F26,0)</f>
        <v>0</v>
      </c>
      <c r="D26" s="329" t="s">
        <v>1427</v>
      </c>
      <c r="E26" s="319" t="s">
        <v>1428</v>
      </c>
      <c r="F26" s="318">
        <f ca="1">INDIRECT("'数据-取费表'!q"&amp;$G$1)</f>
        <v>0.15</v>
      </c>
      <c r="G26" s="1569"/>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3" t="s">
        <v>1004</v>
      </c>
      <c r="B27" s="308" t="s">
        <v>1432</v>
      </c>
      <c r="C27" s="24">
        <f ca="1">ROUND(F21*F26,4)</f>
        <v>3.0000000000000001E-3</v>
      </c>
      <c r="D27" s="329" t="s">
        <v>1433</v>
      </c>
      <c r="E27" s="3046"/>
      <c r="F27" s="327"/>
      <c r="G27" s="1569"/>
      <c r="H27" s="310"/>
      <c r="I27" s="311"/>
      <c r="J27" s="312"/>
      <c r="K27" s="338" t="s">
        <v>1434</v>
      </c>
      <c r="L27" s="308" t="s">
        <v>1435</v>
      </c>
      <c r="M27" s="339">
        <f ca="1">INDIRECT("'数据-取费表'!ag"&amp;$G$1)</f>
        <v>0</v>
      </c>
    </row>
    <row r="28" spans="1:37" s="1582" customFormat="1" ht="18" customHeight="1">
      <c r="A28" s="1113" t="s">
        <v>1005</v>
      </c>
      <c r="B28" s="308" t="s">
        <v>1436</v>
      </c>
      <c r="C28" s="24">
        <f>ROUND(F28/(1+'数据-取费表'!C42),4)</f>
        <v>5.33E-2</v>
      </c>
      <c r="D28" s="329" t="s">
        <v>1437</v>
      </c>
      <c r="E28" s="308" t="s">
        <v>1383</v>
      </c>
      <c r="F28" s="328">
        <f>'数据-取费表'!B41</f>
        <v>5.6000000000000001E-2</v>
      </c>
      <c r="G28" s="1581"/>
      <c r="H28" s="314"/>
      <c r="I28" s="315"/>
      <c r="J28" s="316"/>
      <c r="K28" s="333"/>
      <c r="L28" s="308" t="s">
        <v>1438</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1439</v>
      </c>
      <c r="C29" s="1250">
        <f ca="1">ROUND((C19+C20+C23+C26)/(1-F21-C24-C27-C28),0)</f>
        <v>0</v>
      </c>
      <c r="D29" s="1251"/>
      <c r="E29" s="1249"/>
      <c r="F29" s="1252"/>
      <c r="G29" s="1581"/>
      <c r="H29" s="340" t="s">
        <v>1001</v>
      </c>
      <c r="I29" s="341" t="s">
        <v>1440</v>
      </c>
      <c r="J29" s="342">
        <f ca="1">ROUND(J26/(1+F40)^F41,0)</f>
        <v>0</v>
      </c>
      <c r="K29" s="343" t="s">
        <v>1441</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1385</v>
      </c>
      <c r="C30" s="316">
        <f ca="1">ROUND(C31+C36+C37+C38,0)</f>
        <v>34</v>
      </c>
      <c r="D30" s="1246" t="s">
        <v>1386</v>
      </c>
      <c r="E30" s="3065"/>
      <c r="F30" s="1203"/>
      <c r="G30" s="1569"/>
      <c r="H30" s="2927"/>
      <c r="I30" s="1583"/>
      <c r="J30" s="1584"/>
      <c r="K30" s="2702"/>
      <c r="L30" s="2928"/>
      <c r="M30" s="2929"/>
    </row>
    <row r="31" spans="1:37" ht="18" customHeight="1">
      <c r="A31" s="1113" t="s">
        <v>1003</v>
      </c>
      <c r="B31" s="308" t="s">
        <v>1390</v>
      </c>
      <c r="C31" s="2535">
        <f ca="1">ROUND(IF(AND(项目基本情况!B11="自然人",项目基本情况!B10="北京市"),C6*F31/(1+'数据-取费表'!C42),C32+C33+C34),0)</f>
        <v>30</v>
      </c>
      <c r="D31" s="3061" t="s">
        <v>1391</v>
      </c>
      <c r="E31" s="3064" t="s">
        <v>1442</v>
      </c>
      <c r="F31" s="2534" t="str">
        <f>IF(项目基本情况!B11="企业","——",IF('数据-取费表'!B10="住宅",IF(F6*F7*F8/12/(1+'数据-取费表'!F30)&gt;100000,4%,2.5%),IF(F6*F7*F8/12/(1+'数据-取费表'!F30)&gt;100000,12%,7%)))</f>
        <v>——</v>
      </c>
      <c r="G31" s="1569"/>
      <c r="H31" s="3040" t="s">
        <v>3054</v>
      </c>
      <c r="I31" s="1583"/>
      <c r="J31" s="1584"/>
      <c r="K31" s="2702"/>
      <c r="L31" s="2928"/>
      <c r="M31" s="2929"/>
    </row>
    <row r="32" spans="1:37" ht="18" customHeight="1">
      <c r="A32" s="1113" t="s">
        <v>1002</v>
      </c>
      <c r="B32" s="308" t="s">
        <v>1394</v>
      </c>
      <c r="C32" s="24">
        <f ca="1">IF(项目基本情况!B11="自然人","——",ROUND(C6*F32/(1+'数据-取费表'!C42),2))</f>
        <v>9.44</v>
      </c>
      <c r="D32" s="3064" t="s">
        <v>1395</v>
      </c>
      <c r="E32" s="308" t="s">
        <v>1383</v>
      </c>
      <c r="F32" s="337">
        <f>'数据-取费表'!B41</f>
        <v>5.6000000000000001E-2</v>
      </c>
      <c r="G32" s="1569"/>
      <c r="H32" s="2927"/>
      <c r="I32" s="1583"/>
      <c r="J32" s="1584"/>
      <c r="K32" s="2702"/>
      <c r="L32" s="2928"/>
      <c r="M32" s="2929"/>
    </row>
    <row r="33" spans="1:18" ht="18" customHeight="1">
      <c r="A33" s="1113" t="s">
        <v>1004</v>
      </c>
      <c r="B33" s="308" t="s">
        <v>1398</v>
      </c>
      <c r="C33" s="24">
        <f ca="1">IF(项目基本情况!B11="自然人","——",IF(D33="按租金收入计税",ROUND(C6*F33/(1+'数据-取费表'!C42),2),IF(D33="按房产原值计税",ROUND(C29*F33*0.7,2),INDIRECT("'数据-取费表'!Aj"&amp;$G$1))))</f>
        <v>20.23</v>
      </c>
      <c r="D33" s="1555" t="s">
        <v>3219</v>
      </c>
      <c r="E33" s="308" t="s">
        <v>1383</v>
      </c>
      <c r="F33" s="328">
        <f>IF(D33="按票据","——",IF(D33="按租金收入计税",'数据-取费表'!B51,'数据-取费表'!B50))</f>
        <v>0.12</v>
      </c>
      <c r="G33" s="1569"/>
      <c r="H33" s="2930"/>
      <c r="I33" s="1583"/>
      <c r="J33" s="1584"/>
      <c r="K33" s="2931"/>
      <c r="L33" s="2930"/>
      <c r="M33" s="2930"/>
    </row>
    <row r="34" spans="1:18" ht="18" customHeight="1">
      <c r="A34" s="1200" t="s">
        <v>1350</v>
      </c>
      <c r="B34" s="160" t="s">
        <v>1402</v>
      </c>
      <c r="C34" s="25">
        <f ca="1">IF(项目基本情况!B11="自然人","——",ROUND(F34*F35/10000,2))</f>
        <v>0</v>
      </c>
      <c r="D34" s="330" t="s">
        <v>1403</v>
      </c>
      <c r="E34" s="308" t="s">
        <v>1404</v>
      </c>
      <c r="F34" s="331">
        <f>'数据-取费表'!B52</f>
        <v>24</v>
      </c>
      <c r="G34" s="1569"/>
      <c r="H34" s="2927"/>
      <c r="I34" s="1583"/>
      <c r="J34" s="1584"/>
      <c r="K34" s="2932"/>
      <c r="L34" s="2933"/>
      <c r="M34" s="2933"/>
    </row>
    <row r="35" spans="1:18" ht="18" customHeight="1">
      <c r="A35" s="1262"/>
      <c r="B35" s="1260"/>
      <c r="C35" s="29"/>
      <c r="D35" s="333"/>
      <c r="E35" s="308" t="s">
        <v>1408</v>
      </c>
      <c r="F35" s="309">
        <f ca="1">INDIRECT("'数据-取费表'!r"&amp;$G$1)</f>
        <v>0</v>
      </c>
      <c r="G35" s="1569"/>
      <c r="H35" s="2927"/>
      <c r="I35" s="1583"/>
      <c r="J35" s="1584"/>
      <c r="K35" s="2931"/>
      <c r="L35" s="2930"/>
      <c r="M35" s="2930"/>
    </row>
    <row r="36" spans="1:18" ht="18" customHeight="1">
      <c r="A36" s="1261" t="s">
        <v>1007</v>
      </c>
      <c r="B36" s="308" t="s">
        <v>1410</v>
      </c>
      <c r="C36" s="24">
        <f ca="1">ROUND(C29*F36,1)</f>
        <v>0</v>
      </c>
      <c r="D36" s="3064" t="s">
        <v>1443</v>
      </c>
      <c r="E36" s="308" t="s">
        <v>1383</v>
      </c>
      <c r="F36" s="334">
        <f ca="1">INDIRECT("'数据-取费表'!Ak"&amp;$G$1)</f>
        <v>1.4999999999999999E-2</v>
      </c>
      <c r="G36" s="1569"/>
      <c r="H36" s="2930"/>
      <c r="I36" s="1583"/>
      <c r="J36" s="1584"/>
      <c r="K36" s="2771"/>
      <c r="L36" s="2930"/>
      <c r="M36" s="2930"/>
    </row>
    <row r="37" spans="1:18" ht="18" customHeight="1">
      <c r="A37" s="1113" t="s">
        <v>1043</v>
      </c>
      <c r="B37" s="308" t="s">
        <v>1414</v>
      </c>
      <c r="C37" s="24">
        <f ca="1">ROUND(C13*F37,1)</f>
        <v>0</v>
      </c>
      <c r="D37" s="3064" t="s">
        <v>1415</v>
      </c>
      <c r="E37" s="308" t="s">
        <v>1383</v>
      </c>
      <c r="F37" s="336">
        <f ca="1">INDIRECT("'数据-取费表'!Al"&amp;$G$1)</f>
        <v>1.5E-3</v>
      </c>
      <c r="G37" s="1569"/>
      <c r="H37" s="2930"/>
      <c r="I37" s="1583"/>
      <c r="J37" s="1584"/>
      <c r="K37" s="2771"/>
      <c r="L37" s="2930"/>
      <c r="M37" s="2930"/>
    </row>
    <row r="38" spans="1:18" ht="18" customHeight="1" thickBot="1">
      <c r="A38" s="1248" t="s">
        <v>1353</v>
      </c>
      <c r="B38" s="1249" t="s">
        <v>1400</v>
      </c>
      <c r="C38" s="1250">
        <f ca="1">ROUND(C5*F38,1)</f>
        <v>3.5</v>
      </c>
      <c r="D38" s="1251" t="s">
        <v>1420</v>
      </c>
      <c r="E38" s="1249" t="s">
        <v>1383</v>
      </c>
      <c r="F38" s="1245">
        <f ca="1">INDIRECT("'数据-取费表'!Am"&amp;$G$1)</f>
        <v>0.02</v>
      </c>
      <c r="G38" s="1569"/>
      <c r="H38" s="2930"/>
      <c r="I38" s="1583"/>
      <c r="J38" s="1584"/>
      <c r="K38" s="2934"/>
      <c r="L38" s="2930"/>
      <c r="M38" s="2930"/>
    </row>
    <row r="39" spans="1:18" ht="24.6" customHeight="1" thickTop="1">
      <c r="A39" s="1238" t="s">
        <v>999</v>
      </c>
      <c r="B39" s="1253" t="s">
        <v>1424</v>
      </c>
      <c r="C39" s="316">
        <f ca="1">C5-C30</f>
        <v>143</v>
      </c>
      <c r="D39" s="1254" t="s">
        <v>1425</v>
      </c>
      <c r="E39" s="1255"/>
      <c r="F39" s="1256"/>
      <c r="G39" s="1569"/>
      <c r="H39" s="2930"/>
      <c r="I39" s="1583"/>
      <c r="J39" s="1584"/>
      <c r="K39" s="2934"/>
      <c r="L39" s="2930"/>
      <c r="M39" s="2930"/>
    </row>
    <row r="40" spans="1:18" ht="18" customHeight="1">
      <c r="A40" s="305" t="s">
        <v>1000</v>
      </c>
      <c r="B40" s="306" t="s">
        <v>1446</v>
      </c>
      <c r="C40" s="307">
        <f ca="1">ROUND(C39*(1-((1+F42)/(1+F40))^F41)/(F40-F42),0)</f>
        <v>2884</v>
      </c>
      <c r="D40" s="330" t="s">
        <v>1430</v>
      </c>
      <c r="E40" s="308" t="s">
        <v>1431</v>
      </c>
      <c r="F40" s="318">
        <f ca="1">INDIRECT("'数据-取费表'!I"&amp;$G$1)</f>
        <v>4.4999999999999998E-2</v>
      </c>
      <c r="G40" s="1569"/>
      <c r="H40" s="1646"/>
      <c r="I40" s="1583"/>
      <c r="J40" s="1584"/>
      <c r="K40" s="2934"/>
      <c r="L40" s="1646"/>
      <c r="M40" s="1646"/>
    </row>
    <row r="41" spans="1:18" ht="18" customHeight="1">
      <c r="A41" s="310"/>
      <c r="B41" s="311"/>
      <c r="C41" s="312"/>
      <c r="D41" s="338" t="s">
        <v>1447</v>
      </c>
      <c r="E41" s="308" t="s">
        <v>1435</v>
      </c>
      <c r="F41" s="339">
        <f ca="1">IF(INDIRECT("'数据-取费表'!af"&amp;$G$1)=0,INDIRECT("'数据-取费表'!ae"&amp;$G$1),INDIRECT("'数据-取费表'!af"&amp;$G$1))</f>
        <v>28.97</v>
      </c>
      <c r="G41" s="1569"/>
      <c r="H41" s="1352"/>
      <c r="I41" s="1583"/>
      <c r="J41" s="1584"/>
      <c r="K41" s="2771"/>
      <c r="L41" s="1352"/>
      <c r="M41" s="1352"/>
    </row>
    <row r="42" spans="1:18" ht="18" customHeight="1">
      <c r="A42" s="314"/>
      <c r="B42" s="315"/>
      <c r="C42" s="316"/>
      <c r="D42" s="333"/>
      <c r="E42" s="308" t="s">
        <v>1438</v>
      </c>
      <c r="F42" s="318">
        <f ca="1">INDIRECT("'数据-取费表'!v"&amp;$G$1)</f>
        <v>0.02</v>
      </c>
      <c r="G42" s="1569"/>
      <c r="H42" s="1352"/>
      <c r="I42" s="1583"/>
      <c r="J42" s="1584"/>
      <c r="K42" s="2771"/>
      <c r="L42" s="1352"/>
      <c r="M42" s="1352"/>
    </row>
    <row r="43" spans="1:18" ht="18" customHeight="1" thickBot="1">
      <c r="A43" s="340" t="s">
        <v>1001</v>
      </c>
      <c r="B43" s="341" t="s">
        <v>1448</v>
      </c>
      <c r="C43" s="342" t="e">
        <f ca="1">ROUND(C40*10000/F43,0)</f>
        <v>#DIV/0!</v>
      </c>
      <c r="D43" s="343" t="s">
        <v>1449</v>
      </c>
      <c r="E43" s="344" t="s">
        <v>1450</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1480</v>
      </c>
      <c r="P45" s="1646"/>
      <c r="Q45" s="1646"/>
      <c r="R45" s="1646"/>
    </row>
    <row r="46" spans="1:18" s="1569" customFormat="1" ht="13.5" thickBot="1">
      <c r="A46" s="1589" t="s">
        <v>1481</v>
      </c>
      <c r="C46" s="1590">
        <f ca="1">C68-C40</f>
        <v>-2884</v>
      </c>
      <c r="D46" s="1591" t="str">
        <f>C2</f>
        <v>万元</v>
      </c>
      <c r="E46" s="1585"/>
      <c r="F46" s="1585"/>
      <c r="I46" s="1592" t="s">
        <v>1482</v>
      </c>
      <c r="J46" s="1593"/>
      <c r="K46" s="1594"/>
      <c r="L46" s="1595" t="str">
        <f ca="1">IF(M47="住宅",0,IF(L48&gt;J51,L60,J60))</f>
        <v>0</v>
      </c>
      <c r="O46" s="1596" t="s">
        <v>1483</v>
      </c>
      <c r="P46" s="1597" t="s">
        <v>1484</v>
      </c>
      <c r="Q46" s="1598" t="s">
        <v>1485</v>
      </c>
      <c r="R46" s="1598" t="s">
        <v>1486</v>
      </c>
    </row>
    <row r="47" spans="1:18" s="1569" customFormat="1" ht="13.5" thickBot="1">
      <c r="A47" s="1077" t="s">
        <v>1357</v>
      </c>
      <c r="B47" s="1109" t="s">
        <v>1358</v>
      </c>
      <c r="C47" s="1276" t="s">
        <v>1359</v>
      </c>
      <c r="D47" s="1109" t="s">
        <v>1360</v>
      </c>
      <c r="E47" s="1188" t="s">
        <v>1361</v>
      </c>
      <c r="F47" s="1189"/>
      <c r="G47" s="731"/>
      <c r="I47" s="1599" t="s">
        <v>1487</v>
      </c>
      <c r="J47" s="1600" t="s">
        <v>3220</v>
      </c>
      <c r="K47" s="1601" t="s">
        <v>1488</v>
      </c>
      <c r="L47" s="1602">
        <f ca="1">INDIRECT("'数据-取费表'!d"&amp;$G$1)</f>
        <v>50</v>
      </c>
      <c r="M47" s="1565" t="str">
        <f>IF(ISNUMBER(FIND("住宅",C1)),"住宅","非住宅")</f>
        <v>非住宅</v>
      </c>
      <c r="O47" s="1603" t="s">
        <v>1008</v>
      </c>
      <c r="P47" s="1604" t="s">
        <v>1489</v>
      </c>
      <c r="Q47" s="1605">
        <f ca="1">C40+J29</f>
        <v>2884</v>
      </c>
      <c r="R47" s="1605" t="s">
        <v>1490</v>
      </c>
    </row>
    <row r="48" spans="1:18" s="1569" customFormat="1" ht="28.5" thickBot="1">
      <c r="A48" s="1269" t="s">
        <v>1103</v>
      </c>
      <c r="B48" s="306" t="s">
        <v>1362</v>
      </c>
      <c r="C48" s="3067">
        <f ca="1">C49+C53+C55</f>
        <v>0</v>
      </c>
      <c r="D48" s="1271"/>
      <c r="E48" s="1272"/>
      <c r="F48" s="1093"/>
      <c r="G48" s="731"/>
      <c r="H48" s="732"/>
      <c r="I48" s="1606" t="s">
        <v>1491</v>
      </c>
      <c r="J48" s="1607" t="s">
        <v>3221</v>
      </c>
      <c r="K48" s="1608" t="s">
        <v>1492</v>
      </c>
      <c r="L48" s="1609">
        <f ca="1">INDIRECT("'数据-取费表'!f"&amp;$G$1)</f>
        <v>28.97</v>
      </c>
      <c r="O48" s="1603" t="s">
        <v>1009</v>
      </c>
      <c r="P48" s="1604" t="s">
        <v>1493</v>
      </c>
      <c r="Q48" s="1605" t="str">
        <f ca="1">J60</f>
        <v>0</v>
      </c>
      <c r="R48" s="1605" t="s">
        <v>1494</v>
      </c>
    </row>
    <row r="49" spans="1:18" s="1569" customFormat="1" ht="13.5" thickBot="1">
      <c r="A49" s="1106" t="s">
        <v>1104</v>
      </c>
      <c r="B49" s="1556" t="s">
        <v>1451</v>
      </c>
      <c r="C49" s="1273">
        <f ca="1">ROUND(F49*F51*F50*(1-F52)/10000,0)</f>
        <v>0</v>
      </c>
      <c r="D49" s="1185" t="s">
        <v>2845</v>
      </c>
      <c r="E49" s="1557" t="s">
        <v>1452</v>
      </c>
      <c r="F49" s="1190"/>
      <c r="G49" s="1610"/>
      <c r="H49" s="732"/>
      <c r="I49" s="1606" t="s">
        <v>1495</v>
      </c>
      <c r="J49" s="1611">
        <v>2000</v>
      </c>
      <c r="K49" s="1608" t="s">
        <v>1496</v>
      </c>
      <c r="L49" s="1612"/>
      <c r="O49" s="1613" t="s">
        <v>1010</v>
      </c>
      <c r="P49" s="1604" t="s">
        <v>1497</v>
      </c>
      <c r="Q49" s="1605">
        <f ca="1">C29</f>
        <v>0</v>
      </c>
      <c r="R49" s="1605" t="s">
        <v>1490</v>
      </c>
    </row>
    <row r="50" spans="1:18" s="1569" customFormat="1" ht="13.5" thickBot="1">
      <c r="A50" s="1107"/>
      <c r="B50" s="1110"/>
      <c r="C50" s="1277"/>
      <c r="D50" s="1084"/>
      <c r="E50" s="1186" t="s">
        <v>1367</v>
      </c>
      <c r="F50" s="1187">
        <f ca="1">F7</f>
        <v>132</v>
      </c>
      <c r="H50" s="732"/>
      <c r="I50" s="1606" t="s">
        <v>1498</v>
      </c>
      <c r="J50" s="1614">
        <f>SUMPRODUCT((I63:I65=J47)*(J62:L62=J48)*(J63:L65))</f>
        <v>60</v>
      </c>
      <c r="K50" s="1608" t="s">
        <v>1499</v>
      </c>
      <c r="L50" s="1612"/>
      <c r="M50" s="1615"/>
      <c r="O50" s="1613" t="s">
        <v>1011</v>
      </c>
      <c r="P50" s="1604" t="s">
        <v>1500</v>
      </c>
      <c r="Q50" s="1616" t="e">
        <f ca="1">J58</f>
        <v>#VALUE!</v>
      </c>
      <c r="R50" s="1605"/>
    </row>
    <row r="51" spans="1:18" s="1569" customFormat="1" ht="13.5" thickBot="1">
      <c r="A51" s="1108"/>
      <c r="B51" s="1110"/>
      <c r="C51" s="1111"/>
      <c r="D51" s="1084"/>
      <c r="E51" s="1112" t="s">
        <v>1368</v>
      </c>
      <c r="F51" s="309">
        <f ca="1">F8</f>
        <v>12</v>
      </c>
      <c r="I51" s="1617" t="s">
        <v>1501</v>
      </c>
      <c r="J51" s="1618">
        <f>IF(J49="",J50,J49+J50-YEAR('数据-取费表'!B2))</f>
        <v>39</v>
      </c>
      <c r="K51" s="1619" t="s">
        <v>1502</v>
      </c>
      <c r="L51" s="1620">
        <f ca="1">ROUND(-PV(INDIRECT("'数据-取费表'!h"&amp;$G$1),J51,(C39-C13*C76),0),0)</f>
        <v>2801</v>
      </c>
      <c r="M51" s="1621"/>
      <c r="O51" s="1613" t="s">
        <v>1012</v>
      </c>
      <c r="P51" s="1604" t="s">
        <v>1503</v>
      </c>
      <c r="Q51" s="1616">
        <f>J52</f>
        <v>0.09</v>
      </c>
      <c r="R51" s="1605"/>
    </row>
    <row r="52" spans="1:18" s="1569" customFormat="1" ht="13.5" thickBot="1">
      <c r="A52" s="1108"/>
      <c r="B52" s="1110"/>
      <c r="C52" s="1111"/>
      <c r="D52" s="1084"/>
      <c r="E52" s="1112" t="s">
        <v>1369</v>
      </c>
      <c r="F52" s="1184"/>
      <c r="I52" s="1622" t="s">
        <v>1504</v>
      </c>
      <c r="J52" s="1623">
        <v>0.09</v>
      </c>
      <c r="K52" s="1622" t="s">
        <v>1505</v>
      </c>
      <c r="L52" s="1623"/>
      <c r="O52" s="1613" t="s">
        <v>1013</v>
      </c>
      <c r="P52" s="1604" t="s">
        <v>1506</v>
      </c>
      <c r="Q52" s="1605">
        <f ca="1">J53</f>
        <v>28.97</v>
      </c>
      <c r="R52" s="1605" t="s">
        <v>1507</v>
      </c>
    </row>
    <row r="53" spans="1:18" s="1569" customFormat="1" ht="24.75" thickBot="1">
      <c r="A53" s="1313" t="s">
        <v>1105</v>
      </c>
      <c r="B53" s="1558" t="s">
        <v>1370</v>
      </c>
      <c r="C53" s="322">
        <f ca="1">ROUND(IF(F53="押一",C49/12*F11,IF(F53="押二",C49/12*2*F11,IF(F53="押三",C49/12*3*F11,C54*F11))),0)</f>
        <v>0</v>
      </c>
      <c r="D53" s="1551" t="s">
        <v>2853</v>
      </c>
      <c r="E53" s="319" t="s">
        <v>1371</v>
      </c>
      <c r="F53" s="1275"/>
      <c r="I53" s="1624" t="s">
        <v>1508</v>
      </c>
      <c r="J53" s="2387">
        <f ca="1">IF(M47="住宅",IF(D1="——",MAX(J51,L48),MAX(J51,L48-'数据-取费表'!B24)),IF(D1="——",MIN(J51,L48),MIN(J51,L48-'数据-取费表'!B24)))</f>
        <v>28.97</v>
      </c>
      <c r="K53" s="3309" t="s">
        <v>1509</v>
      </c>
      <c r="L53" s="3310"/>
      <c r="O53" s="1603" t="s">
        <v>1014</v>
      </c>
      <c r="P53" s="1604" t="s">
        <v>1510</v>
      </c>
      <c r="Q53" s="1605">
        <f ca="1">Q47+Q48</f>
        <v>2884</v>
      </c>
      <c r="R53" s="1605" t="s">
        <v>1015</v>
      </c>
    </row>
    <row r="54" spans="1:18" s="1569" customFormat="1" ht="13.5" thickBot="1">
      <c r="A54" s="1314"/>
      <c r="B54" s="1552" t="s">
        <v>1349</v>
      </c>
      <c r="C54" s="1090"/>
      <c r="D54" s="1551"/>
      <c r="E54" s="3053"/>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1511</v>
      </c>
      <c r="P54" s="1566"/>
      <c r="Q54" s="1566"/>
      <c r="R54" s="1566"/>
    </row>
    <row r="55" spans="1:18" s="1569" customFormat="1" ht="13.5" thickBot="1">
      <c r="A55" s="1242" t="s">
        <v>1043</v>
      </c>
      <c r="B55" s="1554" t="s">
        <v>1374</v>
      </c>
      <c r="C55" s="1243"/>
      <c r="D55" s="1551"/>
      <c r="E55" s="3053"/>
      <c r="F55" s="1625"/>
      <c r="I55" s="1628" t="s">
        <v>1512</v>
      </c>
      <c r="J55" s="1629" t="e">
        <f ca="1">ROUND(IF(J47="钢混",J57/J50,1-(1-2%)*(J50-J57)/J50),3)</f>
        <v>#VALUE!</v>
      </c>
      <c r="K55" s="1630" t="s">
        <v>1513</v>
      </c>
      <c r="L55" s="1631" t="s">
        <v>1514</v>
      </c>
      <c r="O55" s="1596" t="s">
        <v>1483</v>
      </c>
      <c r="P55" s="1597" t="s">
        <v>1484</v>
      </c>
      <c r="Q55" s="1598" t="s">
        <v>1485</v>
      </c>
      <c r="R55" s="1598" t="s">
        <v>1486</v>
      </c>
    </row>
    <row r="56" spans="1:18" s="1569" customFormat="1" ht="25.5" thickTop="1" thickBot="1">
      <c r="A56" s="1088">
        <v>2</v>
      </c>
      <c r="B56" s="1089" t="s">
        <v>1375</v>
      </c>
      <c r="C56" s="238">
        <f ca="1">C13</f>
        <v>0</v>
      </c>
      <c r="D56" s="1632"/>
      <c r="E56" s="1633"/>
      <c r="F56" s="1625"/>
      <c r="I56" s="1634" t="s">
        <v>1515</v>
      </c>
      <c r="J56" s="1635" t="s">
        <v>3209</v>
      </c>
      <c r="K56" s="1606" t="s">
        <v>1516</v>
      </c>
      <c r="L56" s="1609" t="str">
        <f ca="1">IF(L48&lt;J51,"——",L48-J53)</f>
        <v>——</v>
      </c>
      <c r="O56" s="1603" t="s">
        <v>1008</v>
      </c>
      <c r="P56" s="1604" t="s">
        <v>1489</v>
      </c>
      <c r="Q56" s="1605">
        <f ca="1">C40+J29</f>
        <v>2884</v>
      </c>
      <c r="R56" s="1605" t="s">
        <v>1490</v>
      </c>
    </row>
    <row r="57" spans="1:18" s="1569" customFormat="1" ht="24.75" thickBot="1">
      <c r="A57" s="1636"/>
      <c r="B57" s="1081" t="s">
        <v>1439</v>
      </c>
      <c r="C57" s="244">
        <f ca="1">C29</f>
        <v>0</v>
      </c>
      <c r="D57" s="1637"/>
      <c r="E57" s="1638"/>
      <c r="F57" s="1639"/>
      <c r="I57" s="1640" t="s">
        <v>1517</v>
      </c>
      <c r="J57" s="1641" t="str">
        <f ca="1">IF(OR(M47="住宅",J51&lt;L48,J56="是"),"——",J51-L48)</f>
        <v>——</v>
      </c>
      <c r="K57" s="1606" t="s">
        <v>1518</v>
      </c>
      <c r="L57" s="1609" t="str">
        <f ca="1">IF(L48&lt;J51,"——",IF(L55="比较法",L49,IF(L55="基准地价",L50,L51)))</f>
        <v>——</v>
      </c>
      <c r="O57" s="1603" t="s">
        <v>1009</v>
      </c>
      <c r="P57" s="1604" t="s">
        <v>1519</v>
      </c>
      <c r="Q57" s="1605">
        <f ca="1">L60</f>
        <v>0</v>
      </c>
      <c r="R57" s="1605" t="s">
        <v>1520</v>
      </c>
    </row>
    <row r="58" spans="1:18" s="1569" customFormat="1" ht="24.75" thickBot="1">
      <c r="A58" s="321" t="s">
        <v>998</v>
      </c>
      <c r="B58" s="1089" t="s">
        <v>1385</v>
      </c>
      <c r="C58" s="322">
        <f ca="1">ROUND(C59+C64+C65+C66,0)</f>
        <v>0</v>
      </c>
      <c r="D58" s="1091" t="s">
        <v>1386</v>
      </c>
      <c r="E58" s="1092"/>
      <c r="F58" s="1093"/>
      <c r="I58" s="1640" t="s">
        <v>1521</v>
      </c>
      <c r="J58" s="1642" t="e">
        <f ca="1">IF(J55&lt;0.4,0.4,J55)</f>
        <v>#VALUE!</v>
      </c>
      <c r="K58" s="1619" t="s">
        <v>1522</v>
      </c>
      <c r="L58" s="1609" t="e">
        <f ca="1">ROUND(POWER(1+L52,L47-L48)*(POWER(1+L52,L48)-1)/(POWER(1+L52,L47)-1),4)</f>
        <v>#DIV/0!</v>
      </c>
      <c r="O58" s="1613" t="s">
        <v>1010</v>
      </c>
      <c r="P58" s="1604" t="s">
        <v>1523</v>
      </c>
      <c r="Q58" s="1605">
        <f>IF(L55="比较法",L49,IF(L55="基准地价",L50,0))</f>
        <v>0</v>
      </c>
      <c r="R58" s="1605" t="s">
        <v>1490</v>
      </c>
    </row>
    <row r="59" spans="1:18" s="1569" customFormat="1" ht="24.75" thickBot="1">
      <c r="A59" s="1113" t="s">
        <v>1003</v>
      </c>
      <c r="B59" s="1081" t="s">
        <v>1390</v>
      </c>
      <c r="C59" s="2535">
        <f ca="1">ROUND(IF(AND(项目基本情况!B11="自然人",项目基本情况!B10="北京市"),C49*F59/(1+'数据-取费表'!C42),C60+C61+C62),0)</f>
        <v>0</v>
      </c>
      <c r="D59" s="1094" t="s">
        <v>1391</v>
      </c>
      <c r="E59" s="1095" t="s">
        <v>1392</v>
      </c>
      <c r="F59" s="2534" t="str">
        <f>IF(项目基本情况!B11="企业","——",IF('数据-取费表'!B10="住宅",IF(F49*F50*F51/12/(1+'数据-取费表'!F30)&gt;100000,4%,2.5%),IF(F49*F50*F51/12/(1+'数据-取费表'!F30)&gt;100000,12%,7%)))</f>
        <v>——</v>
      </c>
      <c r="I59" s="1640" t="s">
        <v>1524</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1525</v>
      </c>
      <c r="Q59" s="1616">
        <f>L52</f>
        <v>0</v>
      </c>
      <c r="R59" s="1605"/>
    </row>
    <row r="60" spans="1:18" s="1569"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3" t="s">
        <v>1526</v>
      </c>
      <c r="J60" s="1644" t="str">
        <f ca="1">IF(OR(M47="住宅",J51&lt;L48,J56="是"),"0",ROUND(J59/(1+J52)^J53,0))</f>
        <v>0</v>
      </c>
      <c r="K60" s="1645" t="s">
        <v>1527</v>
      </c>
      <c r="L60" s="1644">
        <f ca="1">IF(OR(M47="住宅",L48&lt;J51),0,ROUND(L57*(L58/L59-1),0))</f>
        <v>0</v>
      </c>
      <c r="O60" s="1613" t="s">
        <v>1012</v>
      </c>
      <c r="P60" s="1604" t="s">
        <v>1528</v>
      </c>
      <c r="Q60" s="1605" t="e">
        <f ca="1">L58</f>
        <v>#DIV/0!</v>
      </c>
      <c r="R60" s="1605" t="s">
        <v>1529</v>
      </c>
    </row>
    <row r="61" spans="1:18" s="1569" customFormat="1" ht="13.5" thickBot="1">
      <c r="A61" s="1113" t="s">
        <v>1453</v>
      </c>
      <c r="B61" s="1081" t="s">
        <v>1398</v>
      </c>
      <c r="C61" s="24">
        <f ca="1">IF(项目基本情况!B11="自然人","——",IF(D61="按租金收入计税",ROUND(C48*F61,2),IF(D61="按房产原值计税",ROUND(C57*F61*0.7,2),INDIRECT("'数据-取费表'!Aj"&amp;$G$1))))</f>
        <v>0</v>
      </c>
      <c r="D61" s="1555" t="s">
        <v>1399</v>
      </c>
      <c r="E61" s="1081" t="s">
        <v>1383</v>
      </c>
      <c r="F61" s="328">
        <f t="shared" si="0"/>
        <v>0.12</v>
      </c>
      <c r="I61" s="1646"/>
      <c r="J61" s="1646"/>
      <c r="K61" s="1646"/>
      <c r="L61" s="1646"/>
      <c r="O61" s="1613" t="s">
        <v>1013</v>
      </c>
      <c r="P61" s="1604" t="str">
        <f>K59</f>
        <v>建筑物剩余耐用年限下的土地年期修正系数Kn</v>
      </c>
      <c r="Q61" s="1605" t="e">
        <f ca="1">L59</f>
        <v>#DIV/0!</v>
      </c>
      <c r="R61" s="1605" t="s">
        <v>1530</v>
      </c>
    </row>
    <row r="62" spans="1:18" s="1569" customFormat="1" ht="13.5" thickBot="1">
      <c r="A62" s="1113" t="s">
        <v>1456</v>
      </c>
      <c r="B62" s="1080" t="s">
        <v>1402</v>
      </c>
      <c r="C62" s="25">
        <f ca="1">IF(项目基本情况!B11="自然人","——",ROUND(F62*F63/10000,2))</f>
        <v>0</v>
      </c>
      <c r="D62" s="1096" t="s">
        <v>1403</v>
      </c>
      <c r="E62" s="1081" t="s">
        <v>1404</v>
      </c>
      <c r="F62" s="331">
        <f t="shared" si="0"/>
        <v>24</v>
      </c>
      <c r="I62" s="1647" t="s">
        <v>1531</v>
      </c>
      <c r="J62" s="1648" t="s">
        <v>1532</v>
      </c>
      <c r="K62" s="1648" t="s">
        <v>1533</v>
      </c>
      <c r="L62" s="1648" t="s">
        <v>1534</v>
      </c>
      <c r="M62" s="1649" t="s">
        <v>1535</v>
      </c>
      <c r="O62" s="1603" t="s">
        <v>1014</v>
      </c>
      <c r="P62" s="1604" t="s">
        <v>1510</v>
      </c>
      <c r="Q62" s="1605">
        <f ca="1">Q56+Q57</f>
        <v>2884</v>
      </c>
      <c r="R62" s="1605" t="s">
        <v>1015</v>
      </c>
    </row>
    <row r="63" spans="1:18" s="1569" customFormat="1" ht="13.5" thickBot="1">
      <c r="A63" s="332"/>
      <c r="B63" s="1087"/>
      <c r="C63" s="29"/>
      <c r="D63" s="1097"/>
      <c r="E63" s="1081" t="s">
        <v>1408</v>
      </c>
      <c r="F63" s="309">
        <f t="shared" ca="1" si="0"/>
        <v>0</v>
      </c>
      <c r="I63" s="1647" t="s">
        <v>1537</v>
      </c>
      <c r="J63" s="1648">
        <v>70</v>
      </c>
      <c r="K63" s="1648">
        <v>50</v>
      </c>
      <c r="L63" s="1648">
        <v>80</v>
      </c>
      <c r="M63" s="1650">
        <v>0.02</v>
      </c>
      <c r="O63" s="1588" t="s">
        <v>1538</v>
      </c>
      <c r="P63" s="1566"/>
      <c r="Q63" s="1566"/>
      <c r="R63" s="1566"/>
    </row>
    <row r="64" spans="1:18" s="1569" customFormat="1" ht="13.5" thickBot="1">
      <c r="A64" s="1113" t="s">
        <v>1007</v>
      </c>
      <c r="B64" s="1081" t="s">
        <v>1410</v>
      </c>
      <c r="C64" s="24">
        <f ca="1">ROUND(C57*F64,1)</f>
        <v>0</v>
      </c>
      <c r="D64" s="1095" t="s">
        <v>1443</v>
      </c>
      <c r="E64" s="1081" t="s">
        <v>1383</v>
      </c>
      <c r="F64" s="334">
        <f t="shared" ca="1" si="0"/>
        <v>1.4999999999999999E-2</v>
      </c>
      <c r="I64" s="1647" t="s">
        <v>1539</v>
      </c>
      <c r="J64" s="1648">
        <v>50</v>
      </c>
      <c r="K64" s="1648">
        <v>35</v>
      </c>
      <c r="L64" s="1648">
        <v>60</v>
      </c>
      <c r="M64" s="1649">
        <v>0</v>
      </c>
      <c r="O64" s="1596" t="s">
        <v>1483</v>
      </c>
      <c r="P64" s="1597" t="s">
        <v>1484</v>
      </c>
      <c r="Q64" s="1598" t="s">
        <v>1485</v>
      </c>
      <c r="R64" s="1598" t="s">
        <v>1486</v>
      </c>
    </row>
    <row r="65" spans="1:18" s="1569" customFormat="1" ht="13.5" thickBot="1">
      <c r="A65" s="1113" t="s">
        <v>1464</v>
      </c>
      <c r="B65" s="1081" t="s">
        <v>1414</v>
      </c>
      <c r="C65" s="24">
        <f ca="1">ROUND(C56*F65,1)</f>
        <v>0</v>
      </c>
      <c r="D65" s="1095" t="s">
        <v>1415</v>
      </c>
      <c r="E65" s="1081" t="s">
        <v>1383</v>
      </c>
      <c r="F65" s="336">
        <f t="shared" ca="1" si="0"/>
        <v>1.5E-3</v>
      </c>
      <c r="I65" s="1647" t="s">
        <v>1540</v>
      </c>
      <c r="J65" s="1648">
        <v>40</v>
      </c>
      <c r="K65" s="1648">
        <v>30</v>
      </c>
      <c r="L65" s="1648">
        <v>50</v>
      </c>
      <c r="M65" s="1650">
        <v>0.02</v>
      </c>
      <c r="O65" s="1603" t="s">
        <v>1008</v>
      </c>
      <c r="P65" s="1604" t="s">
        <v>1489</v>
      </c>
      <c r="Q65" s="1605">
        <f ca="1">C40+J29</f>
        <v>2884</v>
      </c>
      <c r="R65" s="1605" t="s">
        <v>1490</v>
      </c>
    </row>
    <row r="66" spans="1:18" s="1569" customFormat="1" ht="16.5" thickBot="1">
      <c r="A66" s="1113" t="s">
        <v>1465</v>
      </c>
      <c r="B66" s="1081" t="s">
        <v>1400</v>
      </c>
      <c r="C66" s="24">
        <f ca="1">ROUND(C48*F66,1)</f>
        <v>0</v>
      </c>
      <c r="D66" s="1095" t="s">
        <v>1420</v>
      </c>
      <c r="E66" s="1081" t="s">
        <v>1383</v>
      </c>
      <c r="F66" s="318">
        <f t="shared" ca="1" si="0"/>
        <v>0.02</v>
      </c>
      <c r="O66" s="1603" t="s">
        <v>1009</v>
      </c>
      <c r="P66" s="1604" t="s">
        <v>1519</v>
      </c>
      <c r="Q66" s="1605">
        <f ca="1">L60</f>
        <v>0</v>
      </c>
      <c r="R66" s="1605" t="s">
        <v>1542</v>
      </c>
    </row>
    <row r="67" spans="1:18" s="1569" customFormat="1" ht="16.5" thickBot="1">
      <c r="A67" s="1088" t="s">
        <v>999</v>
      </c>
      <c r="B67" s="1098" t="s">
        <v>1424</v>
      </c>
      <c r="C67" s="322">
        <f ca="1">C48-C58</f>
        <v>0</v>
      </c>
      <c r="D67" s="1094" t="s">
        <v>1425</v>
      </c>
      <c r="E67" s="1099"/>
      <c r="F67" s="1100"/>
      <c r="O67" s="1613" t="s">
        <v>1010</v>
      </c>
      <c r="P67" s="1604" t="s">
        <v>1523</v>
      </c>
      <c r="Q67" s="1651">
        <f ca="1">L51</f>
        <v>2801</v>
      </c>
      <c r="R67" s="1605" t="s">
        <v>1543</v>
      </c>
    </row>
    <row r="68" spans="1:18" s="1569" customFormat="1" ht="16.5" thickBot="1">
      <c r="A68" s="1078" t="s">
        <v>1000</v>
      </c>
      <c r="B68" s="1079" t="s">
        <v>1446</v>
      </c>
      <c r="C68" s="307">
        <f ca="1">ROUND(C67*(1-((1+F70)/(1+F68))^F69)/(F68-F70),0)</f>
        <v>0</v>
      </c>
      <c r="D68" s="1096" t="s">
        <v>1430</v>
      </c>
      <c r="E68" s="1081" t="s">
        <v>1431</v>
      </c>
      <c r="F68" s="318">
        <f ca="1">F40</f>
        <v>4.4999999999999998E-2</v>
      </c>
      <c r="O68" s="1613" t="s">
        <v>1011</v>
      </c>
      <c r="P68" s="1652" t="s">
        <v>1544</v>
      </c>
      <c r="Q68" s="1605">
        <f ca="1">ROUND(Q69-Q70*Q71,0)</f>
        <v>143</v>
      </c>
      <c r="R68" s="1605" t="s">
        <v>1019</v>
      </c>
    </row>
    <row r="69" spans="1:18" s="1569" customFormat="1" ht="13.5" thickBot="1">
      <c r="A69" s="1082"/>
      <c r="B69" s="1083"/>
      <c r="C69" s="312"/>
      <c r="D69" s="1101" t="s">
        <v>1434</v>
      </c>
      <c r="E69" s="1081" t="s">
        <v>1435</v>
      </c>
      <c r="F69" s="339">
        <f ca="1">F41</f>
        <v>28.97</v>
      </c>
      <c r="O69" s="1613" t="s">
        <v>1016</v>
      </c>
      <c r="P69" s="1652" t="s">
        <v>1545</v>
      </c>
      <c r="Q69" s="1605">
        <f ca="1">C39</f>
        <v>143</v>
      </c>
      <c r="R69" s="1605" t="s">
        <v>1490</v>
      </c>
    </row>
    <row r="70" spans="1:18" s="1569" customFormat="1" ht="13.5" thickBot="1">
      <c r="A70" s="1085"/>
      <c r="B70" s="1086"/>
      <c r="C70" s="316"/>
      <c r="D70" s="1097"/>
      <c r="E70" s="1081" t="s">
        <v>1438</v>
      </c>
      <c r="F70" s="1184"/>
      <c r="O70" s="1613" t="s">
        <v>1017</v>
      </c>
      <c r="P70" s="1652" t="s">
        <v>1546</v>
      </c>
      <c r="Q70" s="1605">
        <f ca="1">C13</f>
        <v>0</v>
      </c>
      <c r="R70" s="1605" t="s">
        <v>1490</v>
      </c>
    </row>
    <row r="71" spans="1:18" s="1569" customFormat="1" ht="13.5" thickBot="1">
      <c r="A71" s="1102" t="s">
        <v>1001</v>
      </c>
      <c r="B71" s="1103" t="s">
        <v>1448</v>
      </c>
      <c r="C71" s="342" t="e">
        <f ca="1">ROUND(C68*10000/F71,0)</f>
        <v>#DIV/0!</v>
      </c>
      <c r="D71" s="1104" t="s">
        <v>1449</v>
      </c>
      <c r="E71" s="1105" t="s">
        <v>1450</v>
      </c>
      <c r="F71" s="345">
        <f ca="1">F43</f>
        <v>0</v>
      </c>
      <c r="O71" s="1613" t="s">
        <v>1018</v>
      </c>
      <c r="P71" s="1652" t="s">
        <v>1547</v>
      </c>
      <c r="Q71" s="1616">
        <f ca="1">C76</f>
        <v>8.5000000000000006E-2</v>
      </c>
      <c r="R71" s="1605"/>
    </row>
    <row r="72" spans="1:18" s="1569" customFormat="1" ht="13.5" thickBot="1">
      <c r="B72" s="735"/>
      <c r="C72" s="735"/>
      <c r="O72" s="1613" t="s">
        <v>1012</v>
      </c>
      <c r="P72" s="1604" t="s">
        <v>1525</v>
      </c>
      <c r="Q72" s="1616">
        <f>L52</f>
        <v>0</v>
      </c>
      <c r="R72" s="1605"/>
    </row>
    <row r="73" spans="1:18" ht="16.5" thickBot="1">
      <c r="A73" s="1569"/>
      <c r="B73" s="735"/>
      <c r="C73" s="735"/>
      <c r="D73" s="1569"/>
      <c r="E73" s="1569"/>
      <c r="F73" s="1569"/>
      <c r="O73" s="1613" t="s">
        <v>1013</v>
      </c>
      <c r="P73" s="1604" t="s">
        <v>1528</v>
      </c>
      <c r="Q73" s="1605" t="e">
        <f ca="1">L58</f>
        <v>#DIV/0!</v>
      </c>
      <c r="R73" s="1605" t="s">
        <v>1529</v>
      </c>
    </row>
    <row r="74" spans="1:18" ht="13.5" thickBot="1">
      <c r="A74" s="1569"/>
      <c r="B74" s="279" t="s">
        <v>1548</v>
      </c>
      <c r="C74" s="1654"/>
      <c r="D74" s="1569"/>
      <c r="E74" s="1569"/>
      <c r="F74" s="1569"/>
      <c r="O74" s="1613" t="s">
        <v>1020</v>
      </c>
      <c r="P74" s="1604" t="str">
        <f>K59</f>
        <v>建筑物剩余耐用年限下的土地年期修正系数Kn</v>
      </c>
      <c r="Q74" s="1605" t="e">
        <f ca="1">L59</f>
        <v>#DIV/0!</v>
      </c>
      <c r="R74" s="1605" t="s">
        <v>1530</v>
      </c>
    </row>
    <row r="75" spans="1:18" ht="13.5" thickBot="1">
      <c r="A75" s="1569"/>
      <c r="B75" s="346" t="s">
        <v>1467</v>
      </c>
      <c r="C75" s="347">
        <f ca="1">ROUND(C13*C76,0)</f>
        <v>0</v>
      </c>
      <c r="D75" s="1569"/>
      <c r="E75" s="1569"/>
      <c r="F75" s="1569"/>
      <c r="K75" s="1587"/>
      <c r="L75" s="1569"/>
      <c r="O75" s="1603" t="s">
        <v>1014</v>
      </c>
      <c r="P75" s="1604" t="s">
        <v>1510</v>
      </c>
      <c r="Q75" s="1605">
        <f ca="1">Q65+Q66</f>
        <v>2884</v>
      </c>
      <c r="R75" s="1605" t="s">
        <v>1015</v>
      </c>
    </row>
    <row r="76" spans="1:18">
      <c r="B76" s="348" t="s">
        <v>1468</v>
      </c>
      <c r="C76" s="349">
        <f ca="1">INDIRECT("'数据-取费表'!j"&amp;$G$1)</f>
        <v>8.5000000000000006E-2</v>
      </c>
      <c r="I76" s="1569"/>
      <c r="J76" s="1569"/>
      <c r="K76" s="1587"/>
      <c r="L76" s="1569"/>
    </row>
    <row r="77" spans="1:18">
      <c r="B77" s="350" t="s">
        <v>1469</v>
      </c>
      <c r="C77" s="351"/>
      <c r="I77" s="1569"/>
      <c r="J77" s="1569"/>
      <c r="K77" s="1587"/>
      <c r="L77" s="1569"/>
    </row>
    <row r="78" spans="1:18">
      <c r="B78" s="276" t="s">
        <v>1470</v>
      </c>
      <c r="C78" s="352"/>
    </row>
    <row r="79" spans="1:18">
      <c r="B79" s="346" t="s">
        <v>1471</v>
      </c>
      <c r="C79" s="280">
        <f ca="1">1-C80</f>
        <v>1</v>
      </c>
    </row>
    <row r="80" spans="1:18">
      <c r="B80" s="346" t="s">
        <v>1472</v>
      </c>
      <c r="C80" s="280">
        <f ca="1">ROUND(C75/C39,3)</f>
        <v>0</v>
      </c>
    </row>
    <row r="81" spans="2:3">
      <c r="B81" s="276" t="s">
        <v>1473</v>
      </c>
      <c r="C81" s="244"/>
    </row>
    <row r="82" spans="2:3">
      <c r="B82" s="279" t="s">
        <v>1474</v>
      </c>
      <c r="C82" s="281">
        <f ca="1">1-C83</f>
        <v>1</v>
      </c>
    </row>
    <row r="83" spans="2:3">
      <c r="B83" s="279" t="s">
        <v>1475</v>
      </c>
      <c r="C83" s="280">
        <f ca="1">ROUND(C13/C40,3)</f>
        <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5" t="s">
        <v>183</v>
      </c>
      <c r="B18" s="821" t="s">
        <v>560</v>
      </c>
      <c r="C18" s="822" t="s">
        <v>561</v>
      </c>
      <c r="D18" s="823"/>
      <c r="E18" s="821">
        <v>1</v>
      </c>
      <c r="F18" s="824" t="s">
        <v>562</v>
      </c>
      <c r="G18" s="825"/>
      <c r="H18" s="817"/>
      <c r="I18" s="817"/>
    </row>
    <row r="19" spans="1:9" s="826" customFormat="1" ht="19.5" customHeight="1">
      <c r="A19" s="3405"/>
      <c r="B19" s="3405" t="s">
        <v>563</v>
      </c>
      <c r="C19" s="822" t="s">
        <v>564</v>
      </c>
      <c r="D19" s="823"/>
      <c r="E19" s="821">
        <v>0.9</v>
      </c>
      <c r="F19" s="824" t="s">
        <v>565</v>
      </c>
      <c r="G19" s="825"/>
      <c r="H19" s="817"/>
      <c r="I19" s="817"/>
    </row>
    <row r="20" spans="1:9" s="826" customFormat="1" ht="19.5" customHeight="1">
      <c r="A20" s="3405"/>
      <c r="B20" s="3405"/>
      <c r="C20" s="822" t="s">
        <v>566</v>
      </c>
      <c r="D20" s="823"/>
      <c r="E20" s="821">
        <v>1.1000000000000001</v>
      </c>
      <c r="F20" s="824" t="s">
        <v>567</v>
      </c>
      <c r="G20" s="825"/>
      <c r="H20" s="817"/>
      <c r="I20" s="817"/>
    </row>
    <row r="21" spans="1:9" s="826" customFormat="1" ht="19.5" customHeight="1">
      <c r="A21" s="3405"/>
      <c r="B21" s="3405"/>
      <c r="C21" s="822" t="s">
        <v>568</v>
      </c>
      <c r="D21" s="823"/>
      <c r="E21" s="821">
        <v>0.8</v>
      </c>
      <c r="F21" s="824" t="s">
        <v>569</v>
      </c>
      <c r="G21" s="825"/>
      <c r="H21" s="817"/>
      <c r="I21" s="817"/>
    </row>
    <row r="22" spans="1:9" s="826" customFormat="1" ht="19.5" customHeight="1">
      <c r="A22" s="3405"/>
      <c r="B22" s="3405"/>
      <c r="C22" s="822" t="s">
        <v>570</v>
      </c>
      <c r="D22" s="823"/>
      <c r="E22" s="821">
        <v>0.5</v>
      </c>
      <c r="F22" s="824"/>
      <c r="G22" s="825"/>
      <c r="H22" s="817"/>
      <c r="I22" s="817"/>
    </row>
    <row r="23" spans="1:9" s="826" customFormat="1" ht="19.5" customHeight="1">
      <c r="A23" s="3405" t="s">
        <v>184</v>
      </c>
      <c r="B23" s="821" t="s">
        <v>560</v>
      </c>
      <c r="C23" s="822" t="s">
        <v>571</v>
      </c>
      <c r="D23" s="823"/>
      <c r="E23" s="821">
        <v>1</v>
      </c>
      <c r="F23" s="824" t="s">
        <v>572</v>
      </c>
      <c r="G23" s="825"/>
      <c r="H23" s="817"/>
      <c r="I23" s="817"/>
    </row>
    <row r="24" spans="1:9" s="826" customFormat="1" ht="19.5" customHeight="1">
      <c r="A24" s="3405"/>
      <c r="B24" s="3405" t="s">
        <v>563</v>
      </c>
      <c r="C24" s="822" t="s">
        <v>573</v>
      </c>
      <c r="D24" s="823"/>
      <c r="E24" s="821">
        <v>0.5</v>
      </c>
      <c r="F24" s="824"/>
      <c r="G24" s="825"/>
      <c r="H24" s="817"/>
      <c r="I24" s="817"/>
    </row>
    <row r="25" spans="1:9" s="826" customFormat="1" ht="19.5" customHeight="1">
      <c r="A25" s="3405"/>
      <c r="B25" s="3405"/>
      <c r="C25" s="822" t="s">
        <v>574</v>
      </c>
      <c r="D25" s="823"/>
      <c r="E25" s="821">
        <v>1.1000000000000001</v>
      </c>
      <c r="F25" s="824"/>
      <c r="G25" s="825"/>
      <c r="H25" s="817"/>
      <c r="I25" s="817"/>
    </row>
    <row r="26" spans="1:9" s="826" customFormat="1" ht="19.5" customHeight="1">
      <c r="A26" s="3405"/>
      <c r="B26" s="3405"/>
      <c r="C26" s="822" t="s">
        <v>575</v>
      </c>
      <c r="D26" s="823"/>
      <c r="E26" s="821">
        <v>1.1000000000000001</v>
      </c>
      <c r="F26" s="824"/>
      <c r="G26" s="825"/>
      <c r="H26" s="817"/>
      <c r="I26" s="817"/>
    </row>
    <row r="27" spans="1:9" s="826" customFormat="1" ht="19.5" customHeight="1">
      <c r="A27" s="3405"/>
      <c r="B27" s="3405"/>
      <c r="C27" s="822" t="s">
        <v>576</v>
      </c>
      <c r="D27" s="823"/>
      <c r="E27" s="821">
        <v>0.9</v>
      </c>
      <c r="F27" s="824" t="s">
        <v>577</v>
      </c>
      <c r="G27" s="825"/>
      <c r="H27" s="817"/>
      <c r="I27" s="817"/>
    </row>
    <row r="28" spans="1:9" s="826" customFormat="1" ht="19.5" customHeight="1">
      <c r="A28" s="3405"/>
      <c r="B28" s="3405"/>
      <c r="C28" s="822" t="s">
        <v>578</v>
      </c>
      <c r="D28" s="823"/>
      <c r="E28" s="821">
        <v>0.9</v>
      </c>
      <c r="F28" s="824" t="s">
        <v>579</v>
      </c>
      <c r="G28" s="825"/>
      <c r="H28" s="817"/>
      <c r="I28" s="817"/>
    </row>
    <row r="29" spans="1:9" s="826" customFormat="1" ht="19.5" customHeight="1">
      <c r="A29" s="3405"/>
      <c r="B29" s="3405"/>
      <c r="C29" s="822" t="s">
        <v>580</v>
      </c>
      <c r="D29" s="823"/>
      <c r="E29" s="821">
        <v>0.9</v>
      </c>
      <c r="F29" s="824" t="s">
        <v>581</v>
      </c>
      <c r="G29" s="825"/>
      <c r="H29" s="817"/>
      <c r="I29" s="817"/>
    </row>
    <row r="30" spans="1:9" s="826" customFormat="1" ht="19.5" customHeight="1">
      <c r="A30" s="3405"/>
      <c r="B30" s="3405"/>
      <c r="C30" s="822" t="s">
        <v>582</v>
      </c>
      <c r="D30" s="823"/>
      <c r="E30" s="821">
        <v>0.9</v>
      </c>
      <c r="F30" s="824" t="s">
        <v>583</v>
      </c>
      <c r="G30" s="825"/>
      <c r="H30" s="817"/>
      <c r="I30" s="817"/>
    </row>
    <row r="31" spans="1:9" s="826" customFormat="1" ht="19.5" customHeight="1">
      <c r="A31" s="3405"/>
      <c r="B31" s="3405"/>
      <c r="C31" s="822" t="s">
        <v>584</v>
      </c>
      <c r="D31" s="823"/>
      <c r="E31" s="821">
        <v>0.8</v>
      </c>
      <c r="F31" s="824" t="s">
        <v>585</v>
      </c>
      <c r="G31" s="825"/>
      <c r="H31" s="817"/>
      <c r="I31" s="817"/>
    </row>
    <row r="32" spans="1:9" s="826" customFormat="1" ht="19.5" customHeight="1">
      <c r="A32" s="3405"/>
      <c r="B32" s="3405"/>
      <c r="C32" s="822" t="s">
        <v>586</v>
      </c>
      <c r="D32" s="823"/>
      <c r="E32" s="821">
        <v>0.8</v>
      </c>
      <c r="F32" s="824" t="s">
        <v>587</v>
      </c>
      <c r="G32" s="825"/>
      <c r="H32" s="817"/>
      <c r="I32" s="817"/>
    </row>
    <row r="33" spans="1:9" s="826" customFormat="1" ht="19.5" customHeight="1">
      <c r="A33" s="3405" t="s">
        <v>185</v>
      </c>
      <c r="B33" s="821" t="s">
        <v>560</v>
      </c>
      <c r="C33" s="822" t="s">
        <v>588</v>
      </c>
      <c r="D33" s="823"/>
      <c r="E33" s="821">
        <v>1</v>
      </c>
      <c r="F33" s="824" t="s">
        <v>589</v>
      </c>
      <c r="G33" s="825"/>
      <c r="H33" s="817"/>
      <c r="I33" s="817"/>
    </row>
    <row r="34" spans="1:9" s="826" customFormat="1" ht="19.5" customHeight="1">
      <c r="A34" s="3405"/>
      <c r="B34" s="821" t="s">
        <v>563</v>
      </c>
      <c r="C34" s="822" t="s">
        <v>590</v>
      </c>
      <c r="D34" s="823"/>
      <c r="E34" s="821">
        <v>1.5</v>
      </c>
      <c r="F34" s="824" t="s">
        <v>591</v>
      </c>
      <c r="G34" s="825"/>
      <c r="H34" s="817"/>
      <c r="I34" s="817"/>
    </row>
    <row r="35" spans="1:9" s="826" customFormat="1" ht="19.5" customHeight="1">
      <c r="A35" s="3405" t="s">
        <v>186</v>
      </c>
      <c r="B35" s="821" t="s">
        <v>560</v>
      </c>
      <c r="C35" s="822" t="s">
        <v>592</v>
      </c>
      <c r="D35" s="823"/>
      <c r="E35" s="821">
        <v>1</v>
      </c>
      <c r="F35" s="824" t="s">
        <v>593</v>
      </c>
      <c r="G35" s="825"/>
      <c r="H35" s="817"/>
      <c r="I35" s="817"/>
    </row>
    <row r="36" spans="1:9" s="826" customFormat="1" ht="19.5" customHeight="1">
      <c r="A36" s="3405"/>
      <c r="B36" s="3405" t="s">
        <v>563</v>
      </c>
      <c r="C36" s="822" t="s">
        <v>594</v>
      </c>
      <c r="D36" s="823"/>
      <c r="E36" s="821">
        <v>1</v>
      </c>
      <c r="F36" s="824" t="s">
        <v>595</v>
      </c>
      <c r="G36" s="825"/>
      <c r="H36" s="817"/>
      <c r="I36" s="817"/>
    </row>
    <row r="37" spans="1:9" s="826" customFormat="1" ht="19.5" customHeight="1">
      <c r="A37" s="3405"/>
      <c r="B37" s="3405"/>
      <c r="C37" s="822" t="s">
        <v>596</v>
      </c>
      <c r="D37" s="823"/>
      <c r="E37" s="821">
        <v>1.5</v>
      </c>
      <c r="F37" s="824" t="s">
        <v>597</v>
      </c>
      <c r="G37" s="825"/>
      <c r="H37" s="817"/>
      <c r="I37" s="817"/>
    </row>
    <row r="38" spans="1:9" s="826" customFormat="1" ht="19.5" customHeight="1">
      <c r="A38" s="3405"/>
      <c r="B38" s="3405"/>
      <c r="C38" s="822" t="s">
        <v>598</v>
      </c>
      <c r="D38" s="823"/>
      <c r="E38" s="821">
        <v>1</v>
      </c>
      <c r="F38" s="824" t="s">
        <v>599</v>
      </c>
      <c r="G38" s="825"/>
      <c r="H38" s="817"/>
      <c r="I38" s="817"/>
    </row>
    <row r="39" spans="1:9" s="826" customFormat="1" ht="19.5" customHeight="1">
      <c r="A39" s="3405"/>
      <c r="B39" s="340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5" t="s">
        <v>614</v>
      </c>
      <c r="C61" s="757" t="s">
        <v>615</v>
      </c>
      <c r="D61" s="757" t="s">
        <v>616</v>
      </c>
      <c r="E61" s="834">
        <v>0.5</v>
      </c>
      <c r="F61" s="821">
        <v>80</v>
      </c>
    </row>
    <row r="62" spans="1:8" s="817" customFormat="1" ht="24">
      <c r="A62" s="821">
        <v>2</v>
      </c>
      <c r="B62" s="3405"/>
      <c r="C62" s="757" t="s">
        <v>617</v>
      </c>
      <c r="D62" s="757" t="s">
        <v>618</v>
      </c>
      <c r="E62" s="834">
        <v>0.5</v>
      </c>
      <c r="F62" s="821">
        <v>80</v>
      </c>
    </row>
    <row r="63" spans="1:8" s="817" customFormat="1" ht="36">
      <c r="A63" s="821">
        <v>3</v>
      </c>
      <c r="B63" s="3405"/>
      <c r="C63" s="757" t="s">
        <v>619</v>
      </c>
      <c r="D63" s="757" t="s">
        <v>620</v>
      </c>
      <c r="E63" s="834">
        <v>0.5</v>
      </c>
      <c r="F63" s="821">
        <v>80</v>
      </c>
    </row>
    <row r="64" spans="1:8" s="817" customFormat="1" ht="36">
      <c r="A64" s="821">
        <v>4</v>
      </c>
      <c r="B64" s="3405"/>
      <c r="C64" s="757" t="s">
        <v>621</v>
      </c>
      <c r="D64" s="757" t="s">
        <v>622</v>
      </c>
      <c r="E64" s="834">
        <v>0.4</v>
      </c>
      <c r="F64" s="821">
        <v>60</v>
      </c>
    </row>
    <row r="65" spans="1:6" s="817" customFormat="1" ht="36">
      <c r="A65" s="821">
        <v>5</v>
      </c>
      <c r="B65" s="3405"/>
      <c r="C65" s="757" t="s">
        <v>623</v>
      </c>
      <c r="D65" s="757" t="s">
        <v>624</v>
      </c>
      <c r="E65" s="834">
        <v>0.2</v>
      </c>
      <c r="F65" s="821">
        <v>30</v>
      </c>
    </row>
    <row r="66" spans="1:6" s="817" customFormat="1" ht="36">
      <c r="A66" s="821">
        <v>6</v>
      </c>
      <c r="B66" s="3405"/>
      <c r="C66" s="757" t="s">
        <v>625</v>
      </c>
      <c r="D66" s="757" t="s">
        <v>626</v>
      </c>
      <c r="E66" s="834">
        <v>0.3</v>
      </c>
      <c r="F66" s="821">
        <v>50</v>
      </c>
    </row>
    <row r="67" spans="1:6" s="817" customFormat="1" ht="36">
      <c r="A67" s="821">
        <v>7</v>
      </c>
      <c r="B67" s="3405"/>
      <c r="C67" s="757" t="s">
        <v>627</v>
      </c>
      <c r="D67" s="757" t="s">
        <v>628</v>
      </c>
      <c r="E67" s="834">
        <v>0.2</v>
      </c>
      <c r="F67" s="821">
        <v>30</v>
      </c>
    </row>
    <row r="68" spans="1:6" s="817" customFormat="1" ht="36">
      <c r="A68" s="821">
        <v>8</v>
      </c>
      <c r="B68" s="3405"/>
      <c r="C68" s="757" t="s">
        <v>629</v>
      </c>
      <c r="D68" s="757" t="s">
        <v>630</v>
      </c>
      <c r="E68" s="834">
        <v>0.2</v>
      </c>
      <c r="F68" s="821">
        <v>30</v>
      </c>
    </row>
    <row r="69" spans="1:6" s="817" customFormat="1" ht="36">
      <c r="A69" s="821">
        <v>9</v>
      </c>
      <c r="B69" s="3405"/>
      <c r="C69" s="757" t="s">
        <v>631</v>
      </c>
      <c r="D69" s="757" t="s">
        <v>632</v>
      </c>
      <c r="E69" s="834">
        <v>0.2</v>
      </c>
      <c r="F69" s="821">
        <v>30</v>
      </c>
    </row>
    <row r="70" spans="1:6" s="817" customFormat="1" ht="48">
      <c r="A70" s="821">
        <v>10</v>
      </c>
      <c r="B70" s="3405"/>
      <c r="C70" s="757" t="s">
        <v>633</v>
      </c>
      <c r="D70" s="757" t="s">
        <v>634</v>
      </c>
      <c r="E70" s="834">
        <v>0.2</v>
      </c>
      <c r="F70" s="821">
        <v>30</v>
      </c>
    </row>
    <row r="71" spans="1:6" s="817" customFormat="1" ht="48">
      <c r="A71" s="821">
        <v>11</v>
      </c>
      <c r="B71" s="3405"/>
      <c r="C71" s="757" t="s">
        <v>635</v>
      </c>
      <c r="D71" s="757" t="s">
        <v>636</v>
      </c>
      <c r="E71" s="834">
        <v>0.2</v>
      </c>
      <c r="F71" s="821">
        <v>30</v>
      </c>
    </row>
    <row r="72" spans="1:6" s="817" customFormat="1" ht="36">
      <c r="A72" s="821">
        <v>12</v>
      </c>
      <c r="B72" s="3405"/>
      <c r="C72" s="757" t="s">
        <v>637</v>
      </c>
      <c r="D72" s="757" t="s">
        <v>638</v>
      </c>
      <c r="E72" s="834">
        <v>0.5</v>
      </c>
      <c r="F72" s="821">
        <v>80</v>
      </c>
    </row>
    <row r="73" spans="1:6" s="817" customFormat="1" ht="24">
      <c r="A73" s="821">
        <v>13</v>
      </c>
      <c r="B73" s="3405"/>
      <c r="C73" s="757" t="s">
        <v>639</v>
      </c>
      <c r="D73" s="757" t="s">
        <v>640</v>
      </c>
      <c r="E73" s="834">
        <v>0.4</v>
      </c>
      <c r="F73" s="821">
        <v>60</v>
      </c>
    </row>
    <row r="74" spans="1:6" s="817" customFormat="1" ht="24">
      <c r="A74" s="821">
        <v>14</v>
      </c>
      <c r="B74" s="3405"/>
      <c r="C74" s="757" t="s">
        <v>641</v>
      </c>
      <c r="D74" s="757" t="s">
        <v>642</v>
      </c>
      <c r="E74" s="834">
        <v>0.2</v>
      </c>
      <c r="F74" s="821">
        <v>30</v>
      </c>
    </row>
    <row r="75" spans="1:6" s="817" customFormat="1" ht="24">
      <c r="A75" s="821">
        <v>15</v>
      </c>
      <c r="B75" s="3405"/>
      <c r="C75" s="757" t="s">
        <v>643</v>
      </c>
      <c r="D75" s="757" t="s">
        <v>644</v>
      </c>
      <c r="E75" s="834">
        <v>0.2</v>
      </c>
      <c r="F75" s="821">
        <v>30</v>
      </c>
    </row>
    <row r="76" spans="1:6" s="817" customFormat="1" ht="24">
      <c r="A76" s="821">
        <v>16</v>
      </c>
      <c r="B76" s="3405" t="s">
        <v>645</v>
      </c>
      <c r="C76" s="757" t="s">
        <v>646</v>
      </c>
      <c r="D76" s="757" t="s">
        <v>647</v>
      </c>
      <c r="E76" s="834">
        <v>0.5</v>
      </c>
      <c r="F76" s="821">
        <v>80</v>
      </c>
    </row>
    <row r="77" spans="1:6" s="817" customFormat="1" ht="24">
      <c r="A77" s="821">
        <v>17</v>
      </c>
      <c r="B77" s="3405"/>
      <c r="C77" s="757" t="s">
        <v>648</v>
      </c>
      <c r="D77" s="757" t="s">
        <v>649</v>
      </c>
      <c r="E77" s="834">
        <v>0.5</v>
      </c>
      <c r="F77" s="821">
        <v>80</v>
      </c>
    </row>
    <row r="78" spans="1:6" s="817" customFormat="1" ht="24">
      <c r="A78" s="821">
        <v>18</v>
      </c>
      <c r="B78" s="3405"/>
      <c r="C78" s="757" t="s">
        <v>650</v>
      </c>
      <c r="D78" s="757" t="s">
        <v>651</v>
      </c>
      <c r="E78" s="834">
        <v>0.2</v>
      </c>
      <c r="F78" s="821">
        <v>30</v>
      </c>
    </row>
    <row r="79" spans="1:6" s="817" customFormat="1" ht="24">
      <c r="A79" s="821">
        <v>19</v>
      </c>
      <c r="B79" s="3405"/>
      <c r="C79" s="757" t="s">
        <v>652</v>
      </c>
      <c r="D79" s="757" t="s">
        <v>653</v>
      </c>
      <c r="E79" s="834">
        <v>0.5</v>
      </c>
      <c r="F79" s="821">
        <v>80</v>
      </c>
    </row>
    <row r="80" spans="1:6" s="817" customFormat="1" ht="36">
      <c r="A80" s="821">
        <v>20</v>
      </c>
      <c r="B80" s="3405"/>
      <c r="C80" s="757" t="s">
        <v>654</v>
      </c>
      <c r="D80" s="757" t="s">
        <v>655</v>
      </c>
      <c r="E80" s="834">
        <v>0.2</v>
      </c>
      <c r="F80" s="821">
        <v>30</v>
      </c>
    </row>
    <row r="81" spans="1:6" s="817" customFormat="1" ht="36">
      <c r="A81" s="821">
        <v>21</v>
      </c>
      <c r="B81" s="3405"/>
      <c r="C81" s="757" t="s">
        <v>656</v>
      </c>
      <c r="D81" s="757" t="s">
        <v>657</v>
      </c>
      <c r="E81" s="834">
        <v>0.2</v>
      </c>
      <c r="F81" s="821">
        <v>30</v>
      </c>
    </row>
    <row r="82" spans="1:6" s="817" customFormat="1" ht="48">
      <c r="A82" s="821">
        <v>22</v>
      </c>
      <c r="B82" s="3405"/>
      <c r="C82" s="757" t="s">
        <v>658</v>
      </c>
      <c r="D82" s="757" t="s">
        <v>659</v>
      </c>
      <c r="E82" s="834">
        <v>0.2</v>
      </c>
      <c r="F82" s="821">
        <v>30</v>
      </c>
    </row>
    <row r="83" spans="1:6" s="817" customFormat="1" ht="48">
      <c r="A83" s="821">
        <v>23</v>
      </c>
      <c r="B83" s="3405"/>
      <c r="C83" s="757" t="s">
        <v>660</v>
      </c>
      <c r="D83" s="757" t="s">
        <v>661</v>
      </c>
      <c r="E83" s="834">
        <v>0.2</v>
      </c>
      <c r="F83" s="821">
        <v>30</v>
      </c>
    </row>
    <row r="84" spans="1:6" s="817" customFormat="1" ht="36">
      <c r="A84" s="821">
        <v>24</v>
      </c>
      <c r="B84" s="3405"/>
      <c r="C84" s="757" t="s">
        <v>662</v>
      </c>
      <c r="D84" s="757" t="s">
        <v>663</v>
      </c>
      <c r="E84" s="834">
        <v>0.2</v>
      </c>
      <c r="F84" s="821">
        <v>30</v>
      </c>
    </row>
    <row r="85" spans="1:6" s="817" customFormat="1" ht="36">
      <c r="A85" s="821">
        <v>25</v>
      </c>
      <c r="B85" s="3405"/>
      <c r="C85" s="757" t="s">
        <v>664</v>
      </c>
      <c r="D85" s="757" t="s">
        <v>665</v>
      </c>
      <c r="E85" s="834">
        <v>0.5</v>
      </c>
      <c r="F85" s="821">
        <v>80</v>
      </c>
    </row>
    <row r="86" spans="1:6" s="817" customFormat="1" ht="36">
      <c r="A86" s="821">
        <v>26</v>
      </c>
      <c r="B86" s="3405"/>
      <c r="C86" s="757" t="s">
        <v>666</v>
      </c>
      <c r="D86" s="757" t="s">
        <v>667</v>
      </c>
      <c r="E86" s="834">
        <v>0.2</v>
      </c>
      <c r="F86" s="821">
        <v>30</v>
      </c>
    </row>
    <row r="87" spans="1:6" s="817" customFormat="1" ht="36">
      <c r="A87" s="821">
        <v>27</v>
      </c>
      <c r="B87" s="3405"/>
      <c r="C87" s="757" t="s">
        <v>668</v>
      </c>
      <c r="D87" s="757" t="s">
        <v>669</v>
      </c>
      <c r="E87" s="834">
        <v>0.2</v>
      </c>
      <c r="F87" s="821">
        <v>30</v>
      </c>
    </row>
    <row r="88" spans="1:6" s="817" customFormat="1" ht="36">
      <c r="A88" s="821">
        <v>28</v>
      </c>
      <c r="B88" s="3405"/>
      <c r="C88" s="757" t="s">
        <v>670</v>
      </c>
      <c r="D88" s="757" t="s">
        <v>671</v>
      </c>
      <c r="E88" s="834">
        <v>0.2</v>
      </c>
      <c r="F88" s="821">
        <v>30</v>
      </c>
    </row>
    <row r="89" spans="1:6" s="817" customFormat="1" ht="24">
      <c r="A89" s="821">
        <v>29</v>
      </c>
      <c r="B89" s="3405"/>
      <c r="C89" s="757" t="s">
        <v>672</v>
      </c>
      <c r="D89" s="757" t="s">
        <v>673</v>
      </c>
      <c r="E89" s="834">
        <v>0.2</v>
      </c>
      <c r="F89" s="821">
        <v>30</v>
      </c>
    </row>
    <row r="90" spans="1:6" s="817" customFormat="1" ht="24">
      <c r="A90" s="821">
        <v>30</v>
      </c>
      <c r="B90" s="3405"/>
      <c r="C90" s="757" t="s">
        <v>674</v>
      </c>
      <c r="D90" s="757" t="s">
        <v>675</v>
      </c>
      <c r="E90" s="834">
        <v>0.2</v>
      </c>
      <c r="F90" s="821">
        <v>30</v>
      </c>
    </row>
    <row r="91" spans="1:6" s="817" customFormat="1" ht="36">
      <c r="A91" s="821">
        <v>31</v>
      </c>
      <c r="B91" s="3405"/>
      <c r="C91" s="757" t="s">
        <v>676</v>
      </c>
      <c r="D91" s="757" t="s">
        <v>677</v>
      </c>
      <c r="E91" s="834">
        <v>0.2</v>
      </c>
      <c r="F91" s="821">
        <v>30</v>
      </c>
    </row>
    <row r="92" spans="1:6" s="817" customFormat="1" ht="24">
      <c r="A92" s="821">
        <v>32</v>
      </c>
      <c r="B92" s="3405" t="s">
        <v>678</v>
      </c>
      <c r="C92" s="821" t="s">
        <v>679</v>
      </c>
      <c r="D92" s="757" t="s">
        <v>680</v>
      </c>
      <c r="E92" s="834">
        <v>0.2</v>
      </c>
      <c r="F92" s="821">
        <v>30</v>
      </c>
    </row>
    <row r="93" spans="1:6" s="817" customFormat="1" ht="36">
      <c r="A93" s="821">
        <v>33</v>
      </c>
      <c r="B93" s="3405"/>
      <c r="C93" s="821" t="s">
        <v>681</v>
      </c>
      <c r="D93" s="757" t="s">
        <v>682</v>
      </c>
      <c r="E93" s="834">
        <v>0.2</v>
      </c>
      <c r="F93" s="821">
        <v>30</v>
      </c>
    </row>
    <row r="94" spans="1:6" s="817" customFormat="1" ht="48">
      <c r="A94" s="821">
        <v>34</v>
      </c>
      <c r="B94" s="3405"/>
      <c r="C94" s="821" t="s">
        <v>683</v>
      </c>
      <c r="D94" s="757" t="s">
        <v>684</v>
      </c>
      <c r="E94" s="834">
        <v>0.2</v>
      </c>
      <c r="F94" s="821">
        <v>30</v>
      </c>
    </row>
    <row r="95" spans="1:6" s="817" customFormat="1" ht="36">
      <c r="A95" s="821">
        <v>35</v>
      </c>
      <c r="B95" s="3405"/>
      <c r="C95" s="821" t="s">
        <v>685</v>
      </c>
      <c r="D95" s="757" t="s">
        <v>686</v>
      </c>
      <c r="E95" s="834">
        <v>0.2</v>
      </c>
      <c r="F95" s="821">
        <v>30</v>
      </c>
    </row>
    <row r="96" spans="1:6" s="817" customFormat="1" ht="48">
      <c r="A96" s="821">
        <v>36</v>
      </c>
      <c r="B96" s="3405"/>
      <c r="C96" s="757" t="s">
        <v>687</v>
      </c>
      <c r="D96" s="757" t="s">
        <v>688</v>
      </c>
      <c r="E96" s="834">
        <v>0.2</v>
      </c>
      <c r="F96" s="821">
        <v>30</v>
      </c>
    </row>
    <row r="97" spans="1:6" s="817" customFormat="1" ht="36">
      <c r="A97" s="821">
        <v>37</v>
      </c>
      <c r="B97" s="3405"/>
      <c r="C97" s="821" t="s">
        <v>689</v>
      </c>
      <c r="D97" s="757" t="s">
        <v>690</v>
      </c>
      <c r="E97" s="834">
        <v>0.2</v>
      </c>
      <c r="F97" s="821">
        <v>30</v>
      </c>
    </row>
    <row r="98" spans="1:6" s="817" customFormat="1" ht="36">
      <c r="A98" s="821">
        <v>38</v>
      </c>
      <c r="B98" s="3405"/>
      <c r="C98" s="821" t="s">
        <v>691</v>
      </c>
      <c r="D98" s="757" t="s">
        <v>692</v>
      </c>
      <c r="E98" s="834">
        <v>0.2</v>
      </c>
      <c r="F98" s="821">
        <v>30</v>
      </c>
    </row>
    <row r="99" spans="1:6" s="817" customFormat="1" ht="36">
      <c r="A99" s="821">
        <v>39</v>
      </c>
      <c r="B99" s="3405" t="s">
        <v>693</v>
      </c>
      <c r="C99" s="821" t="s">
        <v>694</v>
      </c>
      <c r="D99" s="757" t="s">
        <v>695</v>
      </c>
      <c r="E99" s="834">
        <v>0.3</v>
      </c>
      <c r="F99" s="821">
        <v>50</v>
      </c>
    </row>
    <row r="100" spans="1:6" s="817" customFormat="1" ht="24">
      <c r="A100" s="821">
        <v>40</v>
      </c>
      <c r="B100" s="3405"/>
      <c r="C100" s="821" t="s">
        <v>696</v>
      </c>
      <c r="D100" s="757" t="s">
        <v>697</v>
      </c>
      <c r="E100" s="834">
        <v>0.2</v>
      </c>
      <c r="F100" s="821">
        <v>30</v>
      </c>
    </row>
    <row r="101" spans="1:6" s="817" customFormat="1" ht="36">
      <c r="A101" s="821">
        <v>41</v>
      </c>
      <c r="B101" s="340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5" t="s">
        <v>708</v>
      </c>
      <c r="C105" s="821" t="s">
        <v>709</v>
      </c>
      <c r="D105" s="757" t="s">
        <v>710</v>
      </c>
      <c r="E105" s="834">
        <v>0.2</v>
      </c>
      <c r="F105" s="821">
        <v>30</v>
      </c>
    </row>
    <row r="106" spans="1:6" s="817" customFormat="1" ht="36">
      <c r="A106" s="821">
        <v>46</v>
      </c>
      <c r="B106" s="3405"/>
      <c r="C106" s="821" t="s">
        <v>711</v>
      </c>
      <c r="D106" s="757" t="s">
        <v>712</v>
      </c>
      <c r="E106" s="834">
        <v>0.2</v>
      </c>
      <c r="F106" s="821">
        <v>30</v>
      </c>
    </row>
    <row r="107" spans="1:6" s="817" customFormat="1" ht="36">
      <c r="A107" s="821">
        <v>47</v>
      </c>
      <c r="B107" s="3405" t="s">
        <v>713</v>
      </c>
      <c r="C107" s="821" t="s">
        <v>714</v>
      </c>
      <c r="D107" s="757" t="s">
        <v>715</v>
      </c>
      <c r="E107" s="834">
        <v>0.3</v>
      </c>
      <c r="F107" s="821">
        <v>50</v>
      </c>
    </row>
    <row r="108" spans="1:6" s="817" customFormat="1" ht="36">
      <c r="A108" s="821">
        <v>48</v>
      </c>
      <c r="B108" s="340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5" t="s">
        <v>724</v>
      </c>
      <c r="C111" s="821" t="s">
        <v>725</v>
      </c>
      <c r="D111" s="757" t="s">
        <v>726</v>
      </c>
      <c r="E111" s="834">
        <v>0.2</v>
      </c>
      <c r="F111" s="821">
        <v>30</v>
      </c>
    </row>
    <row r="112" spans="1:6" s="817" customFormat="1" ht="24">
      <c r="A112" s="821">
        <v>52</v>
      </c>
      <c r="B112" s="3405"/>
      <c r="C112" s="821" t="s">
        <v>727</v>
      </c>
      <c r="D112" s="757" t="s">
        <v>728</v>
      </c>
      <c r="E112" s="834">
        <v>0.2</v>
      </c>
      <c r="F112" s="821">
        <v>30</v>
      </c>
    </row>
    <row r="113" spans="1:6" s="817" customFormat="1" ht="24">
      <c r="A113" s="821">
        <v>53</v>
      </c>
      <c r="B113" s="340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5" t="s">
        <v>737</v>
      </c>
      <c r="C116" s="821" t="s">
        <v>738</v>
      </c>
      <c r="D116" s="757" t="s">
        <v>739</v>
      </c>
      <c r="E116" s="834">
        <v>0.2</v>
      </c>
      <c r="F116" s="821">
        <v>30</v>
      </c>
    </row>
    <row r="117" spans="1:6" ht="36">
      <c r="A117" s="821">
        <v>57</v>
      </c>
      <c r="B117" s="340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1582</v>
      </c>
      <c r="B1" s="1677"/>
      <c r="C1" s="1677"/>
      <c r="D1" s="1677"/>
      <c r="E1" s="1677"/>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v>
      </c>
      <c r="B3" s="3090"/>
      <c r="C3" s="3090"/>
      <c r="D3" s="3090"/>
      <c r="E3" s="3090"/>
    </row>
    <row r="4" spans="1:5" ht="19.5" thickBot="1">
      <c r="A4" s="1679"/>
      <c r="B4" s="3088" t="s">
        <v>1591</v>
      </c>
      <c r="C4" s="3088"/>
      <c r="D4" s="3088"/>
      <c r="E4" s="1679"/>
    </row>
    <row r="5" spans="1:5" ht="16.5" thickTop="1">
      <c r="A5" s="1677"/>
      <c r="B5" s="3086" t="s">
        <v>1583</v>
      </c>
      <c r="C5" s="1680" t="s">
        <v>1584</v>
      </c>
      <c r="D5" s="959">
        <f ca="1">结果表!H101</f>
        <v>63513</v>
      </c>
      <c r="E5" s="1677"/>
    </row>
    <row r="6" spans="1:5" ht="15.75">
      <c r="A6" s="1677"/>
      <c r="B6" s="3086"/>
      <c r="C6" s="1680" t="s">
        <v>1585</v>
      </c>
      <c r="D6" s="959" t="str">
        <f ca="1">NUMBERSTRING(INT(D5*10000),2)&amp;"元整"</f>
        <v>陆亿叁仟伍佰壹拾叁万元整</v>
      </c>
      <c r="E6" s="1677"/>
    </row>
    <row r="7" spans="1:5" ht="15.75">
      <c r="A7" s="1677"/>
      <c r="B7" s="3091"/>
      <c r="C7" s="1681" t="s">
        <v>1586</v>
      </c>
      <c r="D7" s="960">
        <f ca="1">结果表!H102</f>
        <v>2641862</v>
      </c>
      <c r="E7" s="1677"/>
    </row>
    <row r="8" spans="1:5" ht="15.75">
      <c r="A8" s="1677"/>
      <c r="B8" s="3092" t="str">
        <f>结果表!E103</f>
        <v>2.估价师知悉的法定优先受偿款</v>
      </c>
      <c r="C8" s="1682" t="s">
        <v>1587</v>
      </c>
      <c r="D8" s="960">
        <f>结果表!H103</f>
        <v>0</v>
      </c>
      <c r="E8" s="1677"/>
    </row>
    <row r="9" spans="1:5" ht="15.75">
      <c r="A9" s="1677"/>
      <c r="B9" s="3094"/>
      <c r="C9" s="1680" t="s">
        <v>1585</v>
      </c>
      <c r="D9" s="959" t="str">
        <f>NUMBERSTRING(INT(D8*10000),2)&amp;"元整"</f>
        <v>零元整</v>
      </c>
      <c r="E9" s="1677"/>
    </row>
    <row r="10" spans="1:5" ht="15">
      <c r="A10" s="1677"/>
      <c r="B10" s="1683" t="s">
        <v>1590</v>
      </c>
      <c r="C10" s="1684" t="s">
        <v>1588</v>
      </c>
      <c r="D10" s="961">
        <f>结果表!H104</f>
        <v>0</v>
      </c>
      <c r="E10" s="1677"/>
    </row>
    <row r="11" spans="1:5" ht="15">
      <c r="A11" s="1677"/>
      <c r="B11" s="1683" t="s">
        <v>1592</v>
      </c>
      <c r="C11" s="1684" t="s">
        <v>1593</v>
      </c>
      <c r="D11" s="961">
        <f>结果表!H105</f>
        <v>0</v>
      </c>
      <c r="E11" s="1677"/>
    </row>
    <row r="12" spans="1:5" ht="15">
      <c r="A12" s="1677"/>
      <c r="B12" s="1683" t="s">
        <v>1594</v>
      </c>
      <c r="C12" s="1684" t="s">
        <v>1593</v>
      </c>
      <c r="D12" s="961">
        <f>结果表!H106</f>
        <v>0</v>
      </c>
      <c r="E12" s="1677"/>
    </row>
    <row r="13" spans="1:5" ht="15.75">
      <c r="A13" s="1677"/>
      <c r="B13" s="3085" t="str">
        <f>结果表!E107</f>
        <v>3.房地产抵押价值</v>
      </c>
      <c r="C13" s="1685" t="s">
        <v>1584</v>
      </c>
      <c r="D13" s="962">
        <f ca="1">结果表!H107</f>
        <v>63513</v>
      </c>
      <c r="E13" s="1677"/>
    </row>
    <row r="14" spans="1:5" ht="15.75">
      <c r="A14" s="1677"/>
      <c r="B14" s="3086"/>
      <c r="C14" s="1680" t="s">
        <v>1585</v>
      </c>
      <c r="D14" s="959" t="str">
        <f ca="1">NUMBERSTRING(INT(D13*10000),2)&amp;"元整"</f>
        <v>陆亿叁仟伍佰壹拾叁万元整</v>
      </c>
      <c r="E14" s="1677"/>
    </row>
    <row r="15" spans="1:5" ht="15">
      <c r="A15" s="1677"/>
      <c r="B15" s="3091"/>
      <c r="C15" s="1681" t="s">
        <v>1595</v>
      </c>
      <c r="D15" s="968">
        <f ca="1">结果表!H108</f>
        <v>2641862</v>
      </c>
      <c r="E15" s="1677"/>
    </row>
    <row r="16" spans="1:5" ht="15">
      <c r="A16" s="1677"/>
      <c r="B16" s="3092" t="str">
        <f>结果表!E109</f>
        <v>——</v>
      </c>
      <c r="C16" s="1685" t="s">
        <v>1596</v>
      </c>
      <c r="D16" s="1686" t="str">
        <f>结果表!H109</f>
        <v>——</v>
      </c>
      <c r="E16" s="1677"/>
    </row>
    <row r="17" spans="1:5" ht="15.75">
      <c r="A17" s="1677"/>
      <c r="B17" s="3093"/>
      <c r="C17" s="1680" t="s">
        <v>1597</v>
      </c>
      <c r="D17" s="959" t="e">
        <f>NUMBERSTRING(INT(D16*10000),2)&amp;"元整"</f>
        <v>#VALUE!</v>
      </c>
      <c r="E17" s="1677"/>
    </row>
    <row r="18" spans="1:5" ht="15">
      <c r="A18" s="1677"/>
      <c r="B18" s="3094"/>
      <c r="C18" s="1681" t="s">
        <v>1586</v>
      </c>
      <c r="D18" s="968" t="str">
        <f>结果表!H110</f>
        <v>——</v>
      </c>
      <c r="E18" s="1677"/>
    </row>
    <row r="19" spans="1:5" ht="15.75">
      <c r="A19" s="1677"/>
      <c r="B19" s="3085" t="str">
        <f>结果表!E111</f>
        <v>——</v>
      </c>
      <c r="C19" s="1685" t="s">
        <v>1584</v>
      </c>
      <c r="D19" s="960" t="str">
        <f>结果表!H111</f>
        <v>——</v>
      </c>
      <c r="E19" s="1677"/>
    </row>
    <row r="20" spans="1:5" ht="15.75">
      <c r="A20" s="1677"/>
      <c r="B20" s="3086"/>
      <c r="C20" s="1680" t="s">
        <v>1597</v>
      </c>
      <c r="D20" s="959" t="e">
        <f>NUMBERSTRING(INT(D19*10000),2)&amp;"元整"</f>
        <v>#VALUE!</v>
      </c>
      <c r="E20" s="1677"/>
    </row>
    <row r="21" spans="1:5" ht="15.75" thickBot="1">
      <c r="A21" s="1677"/>
      <c r="B21" s="3087"/>
      <c r="C21" s="1687" t="s">
        <v>1595</v>
      </c>
      <c r="D21" s="969" t="str">
        <f>结果表!H112</f>
        <v>——</v>
      </c>
      <c r="E21" s="1677"/>
    </row>
    <row r="22" spans="1:5" ht="15" thickTop="1">
      <c r="A22" s="1677"/>
      <c r="B22" s="1688" t="s">
        <v>1598</v>
      </c>
      <c r="C22" s="1677"/>
      <c r="D22" s="1677"/>
      <c r="E22" s="1677"/>
    </row>
    <row r="23" spans="1:5">
      <c r="A23" s="1677"/>
      <c r="B23" s="1677"/>
      <c r="C23" s="1677"/>
      <c r="D23" s="1677"/>
      <c r="E23" s="1677"/>
    </row>
    <row r="24" spans="1:5" ht="18.75">
      <c r="A24" s="1689"/>
      <c r="B24" s="1690" t="s">
        <v>1589</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2819</v>
      </c>
      <c r="B1" s="2364"/>
      <c r="C1" s="2364"/>
      <c r="D1" s="2364"/>
      <c r="E1" s="2364"/>
      <c r="F1" s="3025"/>
      <c r="G1" s="3025"/>
      <c r="H1" s="3025"/>
      <c r="I1" s="3025"/>
      <c r="J1" s="3025"/>
      <c r="K1" s="3025"/>
      <c r="L1" s="3025"/>
      <c r="M1" s="3025"/>
      <c r="N1" s="3025"/>
      <c r="O1" s="3025"/>
      <c r="P1" s="3025"/>
    </row>
    <row r="2" spans="1:16" ht="15.75">
      <c r="A2" s="2362" t="s">
        <v>2811</v>
      </c>
      <c r="B2" s="2829">
        <f ca="1">SUMIF(B6:B13,"&lt;&gt;#ref!",B6:B13)</f>
        <v>475</v>
      </c>
      <c r="C2" s="2362" t="s">
        <v>2812</v>
      </c>
      <c r="D2" s="2362" t="s">
        <v>2813</v>
      </c>
      <c r="E2" s="2839">
        <f ca="1">SUMIF(E6:E13,"&lt;&gt;#ref!",E6:E13)</f>
        <v>240.41</v>
      </c>
      <c r="F2" s="3025"/>
      <c r="G2" s="3025"/>
      <c r="H2" s="3025"/>
      <c r="I2" s="3025"/>
      <c r="J2" s="3025"/>
      <c r="K2" s="3025"/>
      <c r="L2" s="3025"/>
      <c r="M2" s="3025"/>
      <c r="N2" s="3025"/>
      <c r="O2" s="3025"/>
      <c r="P2" s="3025"/>
    </row>
    <row r="3" spans="1:16" ht="15.75">
      <c r="A3" s="2362" t="s">
        <v>2814</v>
      </c>
      <c r="B3" s="2829">
        <f ca="1">ROUND(B2*10000/E2,0)</f>
        <v>19758</v>
      </c>
      <c r="C3" s="2362" t="s">
        <v>2820</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2815</v>
      </c>
      <c r="B5" s="2837" t="s">
        <v>2816</v>
      </c>
      <c r="C5" s="2363"/>
      <c r="D5" s="3025"/>
      <c r="E5" s="2838" t="s">
        <v>2817</v>
      </c>
      <c r="F5" s="3025"/>
      <c r="G5" s="3025"/>
      <c r="H5" s="3025"/>
      <c r="I5" s="3025"/>
      <c r="J5" s="3025"/>
      <c r="K5" s="3025"/>
      <c r="L5" s="3025"/>
      <c r="M5" s="3025"/>
      <c r="N5" s="3025"/>
      <c r="O5" s="3025"/>
      <c r="P5" s="3025"/>
    </row>
    <row r="6" spans="1:16" ht="15.75">
      <c r="A6" s="2836" t="s">
        <v>2818</v>
      </c>
      <c r="B6" s="2829">
        <f ca="1">SUMIF(INDIRECT("'"&amp;A6&amp;"'"&amp;"!A:A"),"总价",INDIRECT("'"&amp;A6&amp;"'"&amp;"!B:B"))</f>
        <v>475</v>
      </c>
      <c r="C6" s="2362" t="s">
        <v>2812</v>
      </c>
      <c r="D6" s="3025"/>
      <c r="E6" s="2839">
        <f ca="1">SUMIF(INDIRECT("'"&amp;A6&amp;"'"&amp;"!C:C"),"建筑面积",INDIRECT("'"&amp;A6&amp;"'"&amp;"!D:D"))</f>
        <v>240.41</v>
      </c>
      <c r="F6" s="3025"/>
      <c r="G6" s="3025"/>
      <c r="H6" s="3025"/>
      <c r="I6" s="3025"/>
      <c r="J6" s="3025"/>
      <c r="K6" s="3025"/>
      <c r="L6" s="3025"/>
      <c r="M6" s="3025"/>
      <c r="N6" s="3025"/>
      <c r="O6" s="3025"/>
      <c r="P6" s="3025"/>
    </row>
    <row r="7" spans="1:16" ht="15.75">
      <c r="A7" s="2836"/>
      <c r="B7" s="2829" t="e">
        <f ca="1">SUMIF(INDIRECT("'"&amp;A7&amp;"'"&amp;"!A:A"),"总价",INDIRECT("'"&amp;A7&amp;"'"&amp;"!B:B"))</f>
        <v>#REF!</v>
      </c>
      <c r="C7" s="2362" t="s">
        <v>2812</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2812</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2812</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2812</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2812</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2812</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2812</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1" t="s">
        <v>1117</v>
      </c>
      <c r="C1" s="3411"/>
      <c r="D1" s="3411"/>
      <c r="E1" s="3411"/>
      <c r="F1" s="3411"/>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1" customFormat="1" ht="14.25" thickBot="1">
      <c r="B2" s="2392" t="s">
        <v>1123</v>
      </c>
      <c r="C2" s="2392" t="s">
        <v>1124</v>
      </c>
      <c r="D2" s="2393" t="s">
        <v>1125</v>
      </c>
      <c r="E2" s="2393" t="s">
        <v>1126</v>
      </c>
      <c r="F2" s="2392" t="s">
        <v>1127</v>
      </c>
      <c r="G2" s="2394"/>
      <c r="I2" s="2392" t="s">
        <v>1123</v>
      </c>
      <c r="J2" s="2393" t="s">
        <v>1346</v>
      </c>
      <c r="K2" s="2393" t="s">
        <v>751</v>
      </c>
      <c r="L2" s="2392" t="s">
        <v>1127</v>
      </c>
      <c r="N2" s="2392" t="s">
        <v>1123</v>
      </c>
      <c r="O2" s="2393" t="s">
        <v>1346</v>
      </c>
      <c r="P2" s="2393" t="s">
        <v>751</v>
      </c>
      <c r="Q2" s="2392" t="s">
        <v>1127</v>
      </c>
      <c r="S2" s="2392" t="s">
        <v>1123</v>
      </c>
      <c r="T2" s="2393" t="s">
        <v>1346</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ROUND(AVERAGE($I4:$I33),2)</f>
        <v>1.75</v>
      </c>
      <c r="J3" s="2400">
        <f>ROUND(AVERAGE($J4:$J33),2)</f>
        <v>1.1200000000000001</v>
      </c>
      <c r="K3" s="2400">
        <f>ROUND(AVERAGE($K4:$K33),2)</f>
        <v>1.93</v>
      </c>
      <c r="L3" s="2400">
        <f>ROUND(AVERAGE($L4:$L33),2)</f>
        <v>1.28</v>
      </c>
      <c r="N3" s="2398"/>
      <c r="S3" s="2398"/>
      <c r="W3" s="2402"/>
      <c r="X3" s="2403">
        <f>ROUND(SUMPRODUCT(PRODUCT(1+N3:N$32)),4)</f>
        <v>1.6034999999999999</v>
      </c>
      <c r="Y3" s="2403">
        <f>ROUND(SUMPRODUCT(PRODUCT(1+O3:O$32)),4)</f>
        <v>1.3469</v>
      </c>
      <c r="Z3" s="2403">
        <f t="shared" ref="Z3:Z30" si="0">Y3</f>
        <v>1.3469</v>
      </c>
      <c r="AA3" s="2403">
        <f>ROUND(SUMPRODUCT(PRODUCT(1+P3:P$32)),4)</f>
        <v>1.6801999999999999</v>
      </c>
      <c r="AB3" s="2403">
        <f>ROUND(SUMPRODUCT(PRODUCT(1+Q3:Q$32)),4)</f>
        <v>1.4263999999999999</v>
      </c>
      <c r="AD3" s="2404">
        <f>ROUND(AVERAGE(I3:I$33)/100,4)</f>
        <v>1.7500000000000002E-2</v>
      </c>
      <c r="AE3" s="2404">
        <f>ROUND(AVERAGE(J3:J$33)/100,4)</f>
        <v>1.12E-2</v>
      </c>
      <c r="AF3" s="2404">
        <f t="shared" ref="AF3:AF31" si="1">AE3</f>
        <v>1.12E-2</v>
      </c>
      <c r="AG3" s="2404">
        <f>ROUND(AVERAGE(K3:K$33)/100,4)</f>
        <v>1.9300000000000001E-2</v>
      </c>
      <c r="AH3" s="2404">
        <f>ROUND(AVERAGE(L3:L$33)/100,4)</f>
        <v>1.2800000000000001E-2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493.14449689037161</v>
      </c>
      <c r="C5" s="2414">
        <f t="shared" ref="C5" si="3">C6*(1+O5)</f>
        <v>347.21619073020611</v>
      </c>
      <c r="D5" s="2414">
        <f t="shared" ref="D5" si="4">C5</f>
        <v>347.21619073020611</v>
      </c>
      <c r="E5" s="2414">
        <f t="shared" ref="E5" si="5">E6*(1+P5)</f>
        <v>710.55974278763904</v>
      </c>
      <c r="F5" s="2414">
        <f t="shared" ref="F5" si="6">F6*(1+Q5)</f>
        <v>327.94540235306141</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ROUND(IF(项目基本情况!B5="出让",SUMPRODUCT(PRODUCT(1+N5:N$33)),SUMPRODUCT(PRODUCT(1+N5:N$32))),4)</f>
        <v>1.6034999999999999</v>
      </c>
      <c r="Y5" s="2422">
        <f>ROUND(IF(项目基本情况!B5="出让",SUMPRODUCT(PRODUCT(1+O5:O$33)),SUMPRODUCT(PRODUCT(1+O5:O$32))),4)</f>
        <v>1.3469</v>
      </c>
      <c r="Z5" s="2422">
        <f t="shared" ref="Z5" si="11">Y5</f>
        <v>1.3469</v>
      </c>
      <c r="AA5" s="2422">
        <f>ROUND(IF(项目基本情况!B5="出让",SUMPRODUCT(PRODUCT(1+P5:P$33)),SUMPRODUCT(PRODUCT(1+P5:P$32))),4)</f>
        <v>1.6801999999999999</v>
      </c>
      <c r="AB5" s="2422">
        <f>ROUND(IF(项目基本情况!B5="出让",SUMPRODUCT(PRODUCT(1+Q5:Q$33)),SUMPRODUCT(PRODUCT(1+Q5:Q$32))),4)</f>
        <v>1.4263999999999999</v>
      </c>
      <c r="AD5" s="2423">
        <f>ROUND(AVERAGE(I5:I$33)/100,4)</f>
        <v>1.7500000000000002E-2</v>
      </c>
      <c r="AE5" s="2423">
        <f>ROUND(AVERAGE(J5:J$33)/100,4)</f>
        <v>1.12E-2</v>
      </c>
      <c r="AF5" s="2423">
        <f t="shared" ref="AF5" si="12">AE5</f>
        <v>1.12E-2</v>
      </c>
      <c r="AG5" s="2423">
        <f>ROUND(AVERAGE(K5:K$33)/100,4)</f>
        <v>1.9300000000000001E-2</v>
      </c>
      <c r="AH5" s="2423">
        <f>ROUND(AVERAGE(L5:L$33)/100,4)</f>
        <v>1.2800000000000001E-2</v>
      </c>
    </row>
    <row r="6" spans="1:34" s="2431" customFormat="1">
      <c r="A6" s="2424" t="s">
        <v>3057</v>
      </c>
      <c r="B6" s="2425">
        <f t="shared" ref="B6" si="13">B7*(1+N6)</f>
        <v>493.14449689037161</v>
      </c>
      <c r="C6" s="2425">
        <f t="shared" ref="C6" si="14">C7*(1+O6)</f>
        <v>347.21619073020611</v>
      </c>
      <c r="D6" s="2425">
        <f t="shared" ref="D6" si="15">C6</f>
        <v>347.21619073020611</v>
      </c>
      <c r="E6" s="2425">
        <f t="shared" ref="E6" si="16">E7*(1+P6)</f>
        <v>710.55974278763904</v>
      </c>
      <c r="F6" s="2425">
        <f t="shared" ref="F6" si="17">F7*(1+Q6)</f>
        <v>327.94540235306141</v>
      </c>
      <c r="G6" s="3044">
        <v>2020</v>
      </c>
      <c r="H6" s="2426">
        <v>4</v>
      </c>
      <c r="I6" s="2388">
        <v>2.0699999999999998</v>
      </c>
      <c r="J6" s="2388">
        <v>0.37</v>
      </c>
      <c r="K6" s="2388">
        <v>2.35</v>
      </c>
      <c r="L6" s="2389">
        <v>2.69</v>
      </c>
      <c r="M6" s="2411"/>
      <c r="N6" s="2427">
        <f t="shared" ref="N6" si="18">I6/100</f>
        <v>2.07E-2</v>
      </c>
      <c r="O6" s="2412">
        <f t="shared" ref="O6" si="19">J6/100</f>
        <v>3.7000000000000002E-3</v>
      </c>
      <c r="P6" s="2412">
        <f t="shared" ref="P6" si="20">K6/100</f>
        <v>2.35E-2</v>
      </c>
      <c r="Q6" s="2412">
        <f t="shared" ref="Q6" si="21">L6/100</f>
        <v>2.69E-2</v>
      </c>
      <c r="R6" s="2428"/>
      <c r="S6" s="2427"/>
      <c r="T6" s="2412"/>
      <c r="U6" s="2412"/>
      <c r="V6" s="2412"/>
      <c r="W6" s="2429"/>
      <c r="X6" s="2429">
        <f>ROUND(IF(项目基本情况!B6="出让",SUMPRODUCT(PRODUCT(1+N6:N$33)),SUMPRODUCT(PRODUCT(1+N6:N$32))),4)</f>
        <v>1.6034999999999999</v>
      </c>
      <c r="Y6" s="2429">
        <f>ROUND(IF(项目基本情况!B6="出让",SUMPRODUCT(PRODUCT(1+O6:O$33)),SUMPRODUCT(PRODUCT(1+O6:O$32))),4)</f>
        <v>1.3469</v>
      </c>
      <c r="Z6" s="2429">
        <f t="shared" ref="Z6" si="22">Y6</f>
        <v>1.3469</v>
      </c>
      <c r="AA6" s="2429">
        <f>ROUND(IF(项目基本情况!B6="出让",SUMPRODUCT(PRODUCT(1+P6:P$33)),SUMPRODUCT(PRODUCT(1+P6:P$32))),4)</f>
        <v>1.6801999999999999</v>
      </c>
      <c r="AB6" s="2429">
        <f>ROUND(IF(项目基本情况!B6="出让",SUMPRODUCT(PRODUCT(1+Q6:Q$33)),SUMPRODUCT(PRODUCT(1+Q6:Q$32))),4)</f>
        <v>1.4263999999999999</v>
      </c>
      <c r="AC6" s="2429"/>
      <c r="AD6" s="2430">
        <f>ROUND(AVERAGE(I6:I$33)/100,4)</f>
        <v>1.8200000000000001E-2</v>
      </c>
      <c r="AE6" s="2430">
        <f>ROUND(AVERAGE(J6:J$33)/100,4)</f>
        <v>1.1599999999999999E-2</v>
      </c>
      <c r="AF6" s="2430">
        <f t="shared" ref="AF6" si="23">AE6</f>
        <v>1.1599999999999999E-2</v>
      </c>
      <c r="AG6" s="2430">
        <f>ROUND(AVERAGE(K6:K$33)/100,4)</f>
        <v>0.02</v>
      </c>
      <c r="AH6" s="2430">
        <f>ROUND(AVERAGE(L6:L$33)/100,4)</f>
        <v>1.3299999999999999E-2</v>
      </c>
    </row>
    <row r="7" spans="1:34" s="2431" customFormat="1">
      <c r="A7" s="2424" t="s">
        <v>3055</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2868</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2866</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2865</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2864</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2862</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2860</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2863</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09">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2858</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09"/>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2857</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09"/>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2850</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6"/>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2848</v>
      </c>
      <c r="B18" s="2439">
        <v>439</v>
      </c>
      <c r="C18" s="2439">
        <v>327</v>
      </c>
      <c r="D18" s="2439">
        <f>C18</f>
        <v>327</v>
      </c>
      <c r="E18" s="2439">
        <v>627</v>
      </c>
      <c r="F18" s="2440">
        <v>283</v>
      </c>
      <c r="G18" s="3412">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2849</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09"/>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1347</v>
      </c>
      <c r="B20" s="2425">
        <f t="shared" si="152"/>
        <v>419.31181600000002</v>
      </c>
      <c r="C20" s="2425">
        <f t="shared" si="153"/>
        <v>313.95436800000004</v>
      </c>
      <c r="D20" s="2425">
        <f t="shared" si="154"/>
        <v>313.95436800000004</v>
      </c>
      <c r="E20" s="2425">
        <f t="shared" si="155"/>
        <v>596.63028431999999</v>
      </c>
      <c r="F20" s="2425">
        <f t="shared" si="156"/>
        <v>274.74220703999998</v>
      </c>
      <c r="G20" s="3409"/>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6"/>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12">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09"/>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09"/>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0"/>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08">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09"/>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09"/>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0"/>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08">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09"/>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09"/>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0"/>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3">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4"/>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4"/>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5"/>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08">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09"/>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09"/>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0"/>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08">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09">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09">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0">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08">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09">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09">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0">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08">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09">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09">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0">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08">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09">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09">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0">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08">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09">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09">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0">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08">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09">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09">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0">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08">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09">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09">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0">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08">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09">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09">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0">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08">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09">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09">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0">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08">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09">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09">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0">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20" t="s">
        <v>2822</v>
      </c>
      <c r="D1" s="3421"/>
      <c r="E1" s="3421"/>
      <c r="F1" s="3421"/>
      <c r="G1" s="3421"/>
      <c r="H1" s="3421"/>
      <c r="I1" s="3421"/>
      <c r="J1" s="3421"/>
      <c r="K1" s="3421"/>
      <c r="L1" s="3421"/>
      <c r="M1" s="3421"/>
      <c r="N1" s="3421"/>
      <c r="O1" s="3421"/>
      <c r="P1" s="3421"/>
      <c r="Q1" s="3421"/>
      <c r="R1" s="3421"/>
      <c r="S1" s="3422"/>
      <c r="T1" s="1114" t="s">
        <v>2823</v>
      </c>
    </row>
    <row r="2" spans="1:45" s="663" customFormat="1" ht="38.25">
      <c r="A2" s="1115"/>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4">
        <v>500</v>
      </c>
      <c r="G3" s="1474">
        <v>1000</v>
      </c>
      <c r="H3" s="1474">
        <v>2000</v>
      </c>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96</v>
      </c>
      <c r="D4" s="1121">
        <v>98</v>
      </c>
      <c r="E4" s="1121">
        <v>100</v>
      </c>
      <c r="F4" s="1478">
        <v>98</v>
      </c>
      <c r="G4" s="1478">
        <v>96</v>
      </c>
      <c r="H4" s="1478">
        <v>94</v>
      </c>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2825</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2826</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2827</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2831</v>
      </c>
      <c r="B17" s="2366" t="s">
        <v>2832</v>
      </c>
      <c r="C17" s="3073" t="s">
        <v>3300</v>
      </c>
      <c r="D17" s="3074" t="s">
        <v>3301</v>
      </c>
      <c r="E17" s="3074" t="s">
        <v>3302</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100</v>
      </c>
      <c r="D18" s="1153">
        <v>95</v>
      </c>
      <c r="E18" s="1153">
        <v>90</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7" t="s">
        <v>2833</v>
      </c>
      <c r="E19" s="1525"/>
      <c r="F19" s="1525"/>
      <c r="G19" s="1525"/>
      <c r="H19" s="1189"/>
      <c r="I19" s="164"/>
      <c r="J19" s="164"/>
      <c r="K19" s="164"/>
      <c r="L19" s="164"/>
      <c r="M19" s="164"/>
      <c r="N19" s="164"/>
      <c r="O19" s="164"/>
      <c r="P19" s="164"/>
      <c r="Q19" s="164"/>
      <c r="R19" s="727"/>
      <c r="S19" s="134"/>
    </row>
    <row r="20" spans="1:45" ht="16.5" thickBot="1">
      <c r="A20" s="671" t="s">
        <v>2834</v>
      </c>
      <c r="B20" s="300">
        <f ca="1">IF(D20="——",S22,S22-F20)</f>
        <v>63513</v>
      </c>
      <c r="C20" s="164"/>
      <c r="D20" s="2368" t="s">
        <v>70</v>
      </c>
      <c r="E20" s="1526"/>
      <c r="F20" s="1114" t="e">
        <f ca="1">SUMIF(INDIRECT("'"&amp;H20&amp;"'"&amp;"!A:A"),"承租人权益价值",INDIRECT("'"&amp;H20&amp;"'"&amp;"!c:c"))</f>
        <v>#REF!</v>
      </c>
      <c r="G20" s="1114" t="s">
        <v>2835</v>
      </c>
      <c r="H20" s="2369"/>
      <c r="I20" s="164"/>
      <c r="J20" s="164"/>
      <c r="K20" s="164"/>
      <c r="L20" s="164"/>
      <c r="M20" s="164"/>
      <c r="N20" s="164"/>
      <c r="O20" s="164"/>
      <c r="P20" s="164"/>
      <c r="Q20" s="164"/>
      <c r="R20" s="727"/>
      <c r="S20" s="134"/>
    </row>
    <row r="21" spans="1:45" ht="15.75">
      <c r="A21" s="671" t="s">
        <v>2836</v>
      </c>
      <c r="B21" s="300">
        <f ca="1">ROUND(B20*10000/B22,0)</f>
        <v>48012</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13228.490000000002</v>
      </c>
      <c r="C22" s="3417" t="s">
        <v>33</v>
      </c>
      <c r="D22" s="3418"/>
      <c r="E22" s="3418"/>
      <c r="F22" s="3418"/>
      <c r="G22" s="3418"/>
      <c r="H22" s="3418"/>
      <c r="I22" s="3418"/>
      <c r="J22" s="3418"/>
      <c r="K22" s="3418"/>
      <c r="L22" s="3418"/>
      <c r="M22" s="3418"/>
      <c r="N22" s="3418"/>
      <c r="O22" s="3418"/>
      <c r="P22" s="3418"/>
      <c r="Q22" s="3419"/>
      <c r="R22" s="672">
        <f ca="1">ROUND(S22*10000/B22,0)</f>
        <v>48012</v>
      </c>
      <c r="S22" s="24">
        <f ca="1">SUM(S24:S10000)</f>
        <v>63513</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Sheet1!E18</f>
        <v>2-1101</v>
      </c>
      <c r="B24" s="674">
        <f>Sheet1!G18</f>
        <v>240.41</v>
      </c>
      <c r="C24" s="3042">
        <v>1</v>
      </c>
      <c r="D24" s="3043"/>
      <c r="E24" s="3042">
        <v>1</v>
      </c>
      <c r="F24" s="3043"/>
      <c r="G24" s="3042">
        <v>1</v>
      </c>
      <c r="H24" s="3043"/>
      <c r="I24" s="3042">
        <v>1</v>
      </c>
      <c r="J24" s="3043"/>
      <c r="K24" s="3042">
        <v>1</v>
      </c>
      <c r="L24" s="3043"/>
      <c r="M24" s="3042">
        <v>1</v>
      </c>
      <c r="N24" s="3043"/>
      <c r="O24" s="3042">
        <v>1</v>
      </c>
      <c r="P24" s="3075" t="s">
        <v>3303</v>
      </c>
      <c r="Q24" s="3042">
        <v>1</v>
      </c>
      <c r="R24" s="677">
        <f ca="1">'结果表-基准'!G20</f>
        <v>48899</v>
      </c>
      <c r="S24" s="675">
        <f t="shared" ref="S24:S54" ca="1" si="11">ROUND(R24*B24/10000,0)</f>
        <v>1176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Sheet1!E2</f>
        <v>105</v>
      </c>
      <c r="B25" s="57">
        <f>Sheet1!G2</f>
        <v>359.78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6" t="s">
        <v>3304</v>
      </c>
      <c r="Q25" s="24">
        <f>(SUMIF($17:$17,P25,$18:$18)-SUMIF($17:$17,$P$24,$18:$18)+100)/100</f>
        <v>0.95</v>
      </c>
      <c r="R25" s="672">
        <f ca="1">IF(B25="",0,ROUND($R$24*C25*E25*G25*I25*K25*M25*O25*Q25,0))</f>
        <v>46454</v>
      </c>
      <c r="S25" s="322">
        <f t="shared" ca="1" si="11"/>
        <v>1671</v>
      </c>
    </row>
    <row r="26" spans="1:45">
      <c r="A26" s="155">
        <f>Sheet1!E3</f>
        <v>106</v>
      </c>
      <c r="B26" s="57">
        <f>Sheet1!G3</f>
        <v>536.13</v>
      </c>
      <c r="C26" s="24">
        <f t="shared" ref="C26:C89" si="12">IF(B26="",1,(LOOKUP(B26,$3:$3,$4:$4)-LOOKUP($B$24,$3:$3,$4:$4)+100)/100)</f>
        <v>0.98</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6" t="s">
        <v>3302</v>
      </c>
      <c r="Q26" s="24">
        <f t="shared" ref="Q26:Q89" si="19">(SUMIF($17:$17,P26,$18:$18)-SUMIF($17:$17,$P$24,$18:$18)+100)/100</f>
        <v>0.95</v>
      </c>
      <c r="R26" s="672">
        <f t="shared" ref="R26:R89" ca="1" si="20">IF(B26="",0,ROUND($R$24*C26*E26*G26*I26*K26*M26*O26*Q26,0))</f>
        <v>45525</v>
      </c>
      <c r="S26" s="322">
        <f t="shared" ca="1" si="11"/>
        <v>2441</v>
      </c>
    </row>
    <row r="27" spans="1:45">
      <c r="A27" s="155">
        <f>Sheet1!E4</f>
        <v>107</v>
      </c>
      <c r="B27" s="57">
        <f>Sheet1!G4</f>
        <v>648.16</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3076" t="s">
        <v>3302</v>
      </c>
      <c r="Q27" s="24">
        <f t="shared" si="19"/>
        <v>0.95</v>
      </c>
      <c r="R27" s="672">
        <f t="shared" ca="1" si="20"/>
        <v>45525</v>
      </c>
      <c r="S27" s="322">
        <f t="shared" ca="1" si="11"/>
        <v>2951</v>
      </c>
    </row>
    <row r="28" spans="1:45">
      <c r="A28" s="155" t="str">
        <f>Sheet1!E5</f>
        <v>3-301</v>
      </c>
      <c r="B28" s="57">
        <f>Sheet1!G5</f>
        <v>683.76</v>
      </c>
      <c r="C28" s="24">
        <f t="shared" si="12"/>
        <v>0.98</v>
      </c>
      <c r="D28" s="676"/>
      <c r="E28" s="24">
        <f t="shared" si="13"/>
        <v>1</v>
      </c>
      <c r="F28" s="676"/>
      <c r="G28" s="24">
        <f t="shared" si="14"/>
        <v>1</v>
      </c>
      <c r="H28" s="676"/>
      <c r="I28" s="24">
        <f t="shared" si="15"/>
        <v>1</v>
      </c>
      <c r="J28" s="676"/>
      <c r="K28" s="24">
        <f t="shared" si="16"/>
        <v>1</v>
      </c>
      <c r="L28" s="676"/>
      <c r="M28" s="24">
        <f t="shared" si="17"/>
        <v>1</v>
      </c>
      <c r="N28" s="676"/>
      <c r="O28" s="24">
        <f t="shared" si="18"/>
        <v>1</v>
      </c>
      <c r="P28" s="3076" t="s">
        <v>3302</v>
      </c>
      <c r="Q28" s="24">
        <f t="shared" si="19"/>
        <v>0.95</v>
      </c>
      <c r="R28" s="672">
        <f t="shared" ca="1" si="20"/>
        <v>45525</v>
      </c>
      <c r="S28" s="322">
        <f t="shared" ca="1" si="11"/>
        <v>3113</v>
      </c>
    </row>
    <row r="29" spans="1:45">
      <c r="A29" s="155" t="str">
        <f>Sheet1!E6</f>
        <v>3-302</v>
      </c>
      <c r="B29" s="57">
        <f>Sheet1!G6</f>
        <v>189.28</v>
      </c>
      <c r="C29" s="24">
        <f t="shared" si="12"/>
        <v>0.98</v>
      </c>
      <c r="D29" s="676"/>
      <c r="E29" s="24">
        <f t="shared" si="13"/>
        <v>1</v>
      </c>
      <c r="F29" s="676"/>
      <c r="G29" s="24">
        <f t="shared" si="14"/>
        <v>1</v>
      </c>
      <c r="H29" s="676"/>
      <c r="I29" s="24">
        <f t="shared" si="15"/>
        <v>1</v>
      </c>
      <c r="J29" s="676"/>
      <c r="K29" s="24">
        <f t="shared" si="16"/>
        <v>1</v>
      </c>
      <c r="L29" s="676"/>
      <c r="M29" s="24">
        <f t="shared" si="17"/>
        <v>1</v>
      </c>
      <c r="N29" s="676"/>
      <c r="O29" s="24">
        <f t="shared" si="18"/>
        <v>1</v>
      </c>
      <c r="P29" s="3076" t="s">
        <v>3302</v>
      </c>
      <c r="Q29" s="24">
        <f t="shared" si="19"/>
        <v>0.95</v>
      </c>
      <c r="R29" s="672">
        <f t="shared" ca="1" si="20"/>
        <v>45525</v>
      </c>
      <c r="S29" s="322">
        <f t="shared" ca="1" si="11"/>
        <v>862</v>
      </c>
    </row>
    <row r="30" spans="1:45">
      <c r="A30" s="155" t="str">
        <f>Sheet1!E7</f>
        <v>3-303</v>
      </c>
      <c r="B30" s="57">
        <f>Sheet1!G7</f>
        <v>189.28</v>
      </c>
      <c r="C30" s="24">
        <f t="shared" si="12"/>
        <v>0.98</v>
      </c>
      <c r="D30" s="676"/>
      <c r="E30" s="24">
        <f t="shared" si="13"/>
        <v>1</v>
      </c>
      <c r="F30" s="676"/>
      <c r="G30" s="24">
        <f t="shared" si="14"/>
        <v>1</v>
      </c>
      <c r="H30" s="676"/>
      <c r="I30" s="24">
        <f t="shared" si="15"/>
        <v>1</v>
      </c>
      <c r="J30" s="676"/>
      <c r="K30" s="24">
        <f t="shared" si="16"/>
        <v>1</v>
      </c>
      <c r="L30" s="676"/>
      <c r="M30" s="24">
        <f t="shared" si="17"/>
        <v>1</v>
      </c>
      <c r="N30" s="676"/>
      <c r="O30" s="24">
        <f t="shared" si="18"/>
        <v>1</v>
      </c>
      <c r="P30" s="3076" t="s">
        <v>3302</v>
      </c>
      <c r="Q30" s="24">
        <f t="shared" si="19"/>
        <v>0.95</v>
      </c>
      <c r="R30" s="672">
        <f t="shared" ca="1" si="20"/>
        <v>45525</v>
      </c>
      <c r="S30" s="322">
        <f t="shared" ca="1" si="11"/>
        <v>862</v>
      </c>
    </row>
    <row r="31" spans="1:45">
      <c r="A31" s="155" t="str">
        <f>Sheet1!E8</f>
        <v>3-305</v>
      </c>
      <c r="B31" s="57">
        <f>Sheet1!G8</f>
        <v>540.91999999999996</v>
      </c>
      <c r="C31" s="24">
        <f t="shared" si="12"/>
        <v>0.98</v>
      </c>
      <c r="D31" s="676"/>
      <c r="E31" s="24">
        <f t="shared" si="13"/>
        <v>1</v>
      </c>
      <c r="F31" s="676"/>
      <c r="G31" s="24">
        <f t="shared" si="14"/>
        <v>1</v>
      </c>
      <c r="H31" s="676"/>
      <c r="I31" s="24">
        <f t="shared" si="15"/>
        <v>1</v>
      </c>
      <c r="J31" s="676"/>
      <c r="K31" s="24">
        <f t="shared" si="16"/>
        <v>1</v>
      </c>
      <c r="L31" s="676"/>
      <c r="M31" s="24">
        <f t="shared" si="17"/>
        <v>1</v>
      </c>
      <c r="N31" s="676"/>
      <c r="O31" s="24">
        <f t="shared" si="18"/>
        <v>1</v>
      </c>
      <c r="P31" s="3076" t="s">
        <v>3302</v>
      </c>
      <c r="Q31" s="24">
        <f t="shared" si="19"/>
        <v>0.95</v>
      </c>
      <c r="R31" s="672">
        <f t="shared" ca="1" si="20"/>
        <v>45525</v>
      </c>
      <c r="S31" s="322">
        <f t="shared" ca="1" si="11"/>
        <v>2463</v>
      </c>
    </row>
    <row r="32" spans="1:45">
      <c r="A32" s="155" t="str">
        <f>Sheet1!E9</f>
        <v>3-306</v>
      </c>
      <c r="B32" s="57">
        <f>Sheet1!G9</f>
        <v>564.35</v>
      </c>
      <c r="C32" s="24">
        <f t="shared" si="12"/>
        <v>0.98</v>
      </c>
      <c r="D32" s="676"/>
      <c r="E32" s="24">
        <f t="shared" si="13"/>
        <v>1</v>
      </c>
      <c r="F32" s="676"/>
      <c r="G32" s="24">
        <f t="shared" si="14"/>
        <v>1</v>
      </c>
      <c r="H32" s="676"/>
      <c r="I32" s="24">
        <f t="shared" si="15"/>
        <v>1</v>
      </c>
      <c r="J32" s="676"/>
      <c r="K32" s="24">
        <f t="shared" si="16"/>
        <v>1</v>
      </c>
      <c r="L32" s="676"/>
      <c r="M32" s="24">
        <f t="shared" si="17"/>
        <v>1</v>
      </c>
      <c r="N32" s="676"/>
      <c r="O32" s="24">
        <f t="shared" si="18"/>
        <v>1</v>
      </c>
      <c r="P32" s="3076" t="s">
        <v>3302</v>
      </c>
      <c r="Q32" s="24">
        <f t="shared" si="19"/>
        <v>0.95</v>
      </c>
      <c r="R32" s="672">
        <f t="shared" ca="1" si="20"/>
        <v>45525</v>
      </c>
      <c r="S32" s="322">
        <f t="shared" ca="1" si="11"/>
        <v>2569</v>
      </c>
    </row>
    <row r="33" spans="1:19">
      <c r="A33" s="155" t="str">
        <f>Sheet1!E10</f>
        <v>3-307</v>
      </c>
      <c r="B33" s="57">
        <f>Sheet1!G10</f>
        <v>189.28</v>
      </c>
      <c r="C33" s="24">
        <f t="shared" si="12"/>
        <v>0.98</v>
      </c>
      <c r="D33" s="676"/>
      <c r="E33" s="24">
        <f t="shared" si="13"/>
        <v>1</v>
      </c>
      <c r="F33" s="676"/>
      <c r="G33" s="24">
        <f t="shared" si="14"/>
        <v>1</v>
      </c>
      <c r="H33" s="676"/>
      <c r="I33" s="24">
        <f t="shared" si="15"/>
        <v>1</v>
      </c>
      <c r="J33" s="676"/>
      <c r="K33" s="24">
        <f t="shared" si="16"/>
        <v>1</v>
      </c>
      <c r="L33" s="676"/>
      <c r="M33" s="24">
        <f t="shared" si="17"/>
        <v>1</v>
      </c>
      <c r="N33" s="676"/>
      <c r="O33" s="24">
        <f t="shared" si="18"/>
        <v>1</v>
      </c>
      <c r="P33" s="3076" t="s">
        <v>3302</v>
      </c>
      <c r="Q33" s="24">
        <f t="shared" si="19"/>
        <v>0.95</v>
      </c>
      <c r="R33" s="672">
        <f t="shared" ca="1" si="20"/>
        <v>45525</v>
      </c>
      <c r="S33" s="322">
        <f t="shared" ca="1" si="11"/>
        <v>862</v>
      </c>
    </row>
    <row r="34" spans="1:19">
      <c r="A34" s="155" t="str">
        <f>Sheet1!E11</f>
        <v>3-308</v>
      </c>
      <c r="B34" s="57">
        <f>Sheet1!G11</f>
        <v>440.53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6" t="s">
        <v>3302</v>
      </c>
      <c r="Q34" s="24">
        <f t="shared" si="19"/>
        <v>0.95</v>
      </c>
      <c r="R34" s="672">
        <f t="shared" ca="1" si="20"/>
        <v>46454</v>
      </c>
      <c r="S34" s="322">
        <f t="shared" ca="1" si="11"/>
        <v>2046</v>
      </c>
    </row>
    <row r="35" spans="1:19">
      <c r="A35" s="155" t="str">
        <f>Sheet1!E12</f>
        <v>3-309</v>
      </c>
      <c r="B35" s="57">
        <f>Sheet1!G12</f>
        <v>432.37</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6" t="s">
        <v>3302</v>
      </c>
      <c r="Q35" s="24">
        <f t="shared" si="19"/>
        <v>0.95</v>
      </c>
      <c r="R35" s="672">
        <f t="shared" ca="1" si="20"/>
        <v>46454</v>
      </c>
      <c r="S35" s="322">
        <f t="shared" ca="1" si="11"/>
        <v>2009</v>
      </c>
    </row>
    <row r="36" spans="1:19">
      <c r="A36" s="155" t="str">
        <f>Sheet1!E13</f>
        <v>3-2202</v>
      </c>
      <c r="B36" s="57">
        <f>Sheet1!G13</f>
        <v>189.28</v>
      </c>
      <c r="C36" s="24">
        <f t="shared" si="12"/>
        <v>0.98</v>
      </c>
      <c r="D36" s="676"/>
      <c r="E36" s="24">
        <f t="shared" si="13"/>
        <v>1</v>
      </c>
      <c r="F36" s="676"/>
      <c r="G36" s="24">
        <f t="shared" si="14"/>
        <v>1</v>
      </c>
      <c r="H36" s="676"/>
      <c r="I36" s="24">
        <f t="shared" si="15"/>
        <v>1</v>
      </c>
      <c r="J36" s="676"/>
      <c r="K36" s="24">
        <f t="shared" si="16"/>
        <v>1</v>
      </c>
      <c r="L36" s="676"/>
      <c r="M36" s="24">
        <f t="shared" si="17"/>
        <v>1</v>
      </c>
      <c r="N36" s="676"/>
      <c r="O36" s="24">
        <f t="shared" si="18"/>
        <v>1</v>
      </c>
      <c r="P36" s="3076" t="s">
        <v>3300</v>
      </c>
      <c r="Q36" s="24">
        <f t="shared" si="19"/>
        <v>1.05</v>
      </c>
      <c r="R36" s="672">
        <f t="shared" ca="1" si="20"/>
        <v>50317</v>
      </c>
      <c r="S36" s="322">
        <f t="shared" ca="1" si="11"/>
        <v>952</v>
      </c>
    </row>
    <row r="37" spans="1:19">
      <c r="A37" s="155" t="str">
        <f>Sheet1!E14</f>
        <v>3-3308</v>
      </c>
      <c r="B37" s="57">
        <f>Sheet1!G14</f>
        <v>440.11</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6" t="s">
        <v>3300</v>
      </c>
      <c r="Q37" s="24">
        <f t="shared" si="19"/>
        <v>1.05</v>
      </c>
      <c r="R37" s="672">
        <f t="shared" ca="1" si="20"/>
        <v>51344</v>
      </c>
      <c r="S37" s="322">
        <f t="shared" ca="1" si="11"/>
        <v>2260</v>
      </c>
    </row>
    <row r="38" spans="1:19">
      <c r="A38" s="155" t="str">
        <f>Sheet1!E15</f>
        <v>3-3309</v>
      </c>
      <c r="B38" s="57">
        <f>Sheet1!G15</f>
        <v>372.35</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6" t="s">
        <v>3300</v>
      </c>
      <c r="Q38" s="24">
        <f t="shared" si="19"/>
        <v>1.05</v>
      </c>
      <c r="R38" s="672">
        <f t="shared" ca="1" si="20"/>
        <v>51344</v>
      </c>
      <c r="S38" s="322">
        <f t="shared" ca="1" si="11"/>
        <v>1912</v>
      </c>
    </row>
    <row r="39" spans="1:19">
      <c r="A39" s="155" t="str">
        <f>Sheet1!E16</f>
        <v>3-3601</v>
      </c>
      <c r="B39" s="57">
        <f>Sheet1!G16</f>
        <v>1442.97</v>
      </c>
      <c r="C39" s="24">
        <f t="shared" si="12"/>
        <v>0.96</v>
      </c>
      <c r="D39" s="676"/>
      <c r="E39" s="24">
        <f t="shared" si="13"/>
        <v>1</v>
      </c>
      <c r="F39" s="676"/>
      <c r="G39" s="24">
        <f t="shared" si="14"/>
        <v>1</v>
      </c>
      <c r="H39" s="676"/>
      <c r="I39" s="24">
        <f t="shared" si="15"/>
        <v>1</v>
      </c>
      <c r="J39" s="676"/>
      <c r="K39" s="24">
        <f t="shared" si="16"/>
        <v>1</v>
      </c>
      <c r="L39" s="676"/>
      <c r="M39" s="24">
        <f t="shared" si="17"/>
        <v>1</v>
      </c>
      <c r="N39" s="676"/>
      <c r="O39" s="24">
        <f t="shared" si="18"/>
        <v>1</v>
      </c>
      <c r="P39" s="3076" t="s">
        <v>3300</v>
      </c>
      <c r="Q39" s="24">
        <f t="shared" si="19"/>
        <v>1.05</v>
      </c>
      <c r="R39" s="672">
        <f t="shared" ca="1" si="20"/>
        <v>49290</v>
      </c>
      <c r="S39" s="322">
        <f t="shared" ca="1" si="11"/>
        <v>7112</v>
      </c>
    </row>
    <row r="40" spans="1:19">
      <c r="A40" s="155" t="str">
        <f>Sheet1!E17</f>
        <v>3-3602</v>
      </c>
      <c r="B40" s="57">
        <f>Sheet1!G17</f>
        <v>1424.65</v>
      </c>
      <c r="C40" s="24">
        <f t="shared" si="12"/>
        <v>0.96</v>
      </c>
      <c r="D40" s="676"/>
      <c r="E40" s="24">
        <f t="shared" si="13"/>
        <v>1</v>
      </c>
      <c r="F40" s="676"/>
      <c r="G40" s="24">
        <f t="shared" si="14"/>
        <v>1</v>
      </c>
      <c r="H40" s="676"/>
      <c r="I40" s="24">
        <f t="shared" si="15"/>
        <v>1</v>
      </c>
      <c r="J40" s="676"/>
      <c r="K40" s="24">
        <f t="shared" si="16"/>
        <v>1</v>
      </c>
      <c r="L40" s="676"/>
      <c r="M40" s="24">
        <f t="shared" si="17"/>
        <v>1</v>
      </c>
      <c r="N40" s="676"/>
      <c r="O40" s="24">
        <f t="shared" si="18"/>
        <v>1</v>
      </c>
      <c r="P40" s="3076" t="s">
        <v>3300</v>
      </c>
      <c r="Q40" s="24">
        <f t="shared" si="19"/>
        <v>1.05</v>
      </c>
      <c r="R40" s="672">
        <f t="shared" ca="1" si="20"/>
        <v>49290</v>
      </c>
      <c r="S40" s="322">
        <f t="shared" ca="1" si="11"/>
        <v>7022</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str">
        <f>Sheet1!E19</f>
        <v>2-1102</v>
      </c>
      <c r="B42" s="57">
        <f>Sheet1!G19</f>
        <v>198.69</v>
      </c>
      <c r="C42" s="24">
        <f t="shared" si="12"/>
        <v>0.98</v>
      </c>
      <c r="D42" s="676"/>
      <c r="E42" s="24">
        <f t="shared" si="13"/>
        <v>1</v>
      </c>
      <c r="F42" s="676"/>
      <c r="G42" s="24">
        <f t="shared" si="14"/>
        <v>1</v>
      </c>
      <c r="H42" s="676"/>
      <c r="I42" s="24">
        <f t="shared" si="15"/>
        <v>1</v>
      </c>
      <c r="J42" s="676"/>
      <c r="K42" s="24">
        <f t="shared" si="16"/>
        <v>1</v>
      </c>
      <c r="L42" s="676"/>
      <c r="M42" s="24">
        <f t="shared" si="17"/>
        <v>1</v>
      </c>
      <c r="N42" s="676"/>
      <c r="O42" s="24">
        <f t="shared" si="18"/>
        <v>1</v>
      </c>
      <c r="P42" s="3076" t="s">
        <v>3305</v>
      </c>
      <c r="Q42" s="24">
        <f t="shared" si="19"/>
        <v>1</v>
      </c>
      <c r="R42" s="672">
        <f t="shared" ca="1" si="20"/>
        <v>47921</v>
      </c>
      <c r="S42" s="322">
        <f t="shared" ca="1" si="11"/>
        <v>952</v>
      </c>
    </row>
    <row r="43" spans="1:19">
      <c r="A43" s="155" t="str">
        <f>Sheet1!E20</f>
        <v>2-1103</v>
      </c>
      <c r="B43" s="57">
        <f>Sheet1!G20</f>
        <v>564.69000000000005</v>
      </c>
      <c r="C43" s="24">
        <f t="shared" si="12"/>
        <v>0.98</v>
      </c>
      <c r="D43" s="676"/>
      <c r="E43" s="24">
        <f t="shared" si="13"/>
        <v>1</v>
      </c>
      <c r="F43" s="676"/>
      <c r="G43" s="24">
        <f t="shared" si="14"/>
        <v>1</v>
      </c>
      <c r="H43" s="676"/>
      <c r="I43" s="24">
        <f t="shared" si="15"/>
        <v>1</v>
      </c>
      <c r="J43" s="676"/>
      <c r="K43" s="24">
        <f t="shared" si="16"/>
        <v>1</v>
      </c>
      <c r="L43" s="676"/>
      <c r="M43" s="24">
        <f t="shared" si="17"/>
        <v>1</v>
      </c>
      <c r="N43" s="676"/>
      <c r="O43" s="24">
        <f t="shared" si="18"/>
        <v>1</v>
      </c>
      <c r="P43" s="3076" t="s">
        <v>3303</v>
      </c>
      <c r="Q43" s="24">
        <f t="shared" si="19"/>
        <v>1</v>
      </c>
      <c r="R43" s="672">
        <f t="shared" ca="1" si="20"/>
        <v>47921</v>
      </c>
      <c r="S43" s="322">
        <f t="shared" ca="1" si="11"/>
        <v>2706</v>
      </c>
    </row>
    <row r="44" spans="1:19">
      <c r="A44" s="155" t="str">
        <f>Sheet1!E21</f>
        <v>2-1105</v>
      </c>
      <c r="B44" s="57">
        <f>Sheet1!G21</f>
        <v>589.16</v>
      </c>
      <c r="C44" s="24">
        <f t="shared" si="12"/>
        <v>0.98</v>
      </c>
      <c r="D44" s="676"/>
      <c r="E44" s="24">
        <f t="shared" si="13"/>
        <v>1</v>
      </c>
      <c r="F44" s="676"/>
      <c r="G44" s="24">
        <f t="shared" si="14"/>
        <v>1</v>
      </c>
      <c r="H44" s="676"/>
      <c r="I44" s="24">
        <f t="shared" si="15"/>
        <v>1</v>
      </c>
      <c r="J44" s="676"/>
      <c r="K44" s="24">
        <f t="shared" si="16"/>
        <v>1</v>
      </c>
      <c r="L44" s="676"/>
      <c r="M44" s="24">
        <f t="shared" si="17"/>
        <v>1</v>
      </c>
      <c r="N44" s="676"/>
      <c r="O44" s="24">
        <f t="shared" si="18"/>
        <v>1</v>
      </c>
      <c r="P44" s="3076" t="s">
        <v>3303</v>
      </c>
      <c r="Q44" s="24">
        <f t="shared" si="19"/>
        <v>1</v>
      </c>
      <c r="R44" s="672">
        <f t="shared" ca="1" si="20"/>
        <v>47921</v>
      </c>
      <c r="S44" s="322">
        <f t="shared" ca="1" si="11"/>
        <v>2823</v>
      </c>
    </row>
    <row r="45" spans="1:19">
      <c r="A45" s="155" t="str">
        <f>Sheet1!E22</f>
        <v>2-3601</v>
      </c>
      <c r="B45" s="57">
        <f>Sheet1!G22</f>
        <v>1504.53</v>
      </c>
      <c r="C45" s="24">
        <f t="shared" si="12"/>
        <v>0.96</v>
      </c>
      <c r="D45" s="676"/>
      <c r="E45" s="24">
        <f t="shared" si="13"/>
        <v>1</v>
      </c>
      <c r="F45" s="676"/>
      <c r="G45" s="24">
        <f t="shared" si="14"/>
        <v>1</v>
      </c>
      <c r="H45" s="676"/>
      <c r="I45" s="24">
        <f t="shared" si="15"/>
        <v>1</v>
      </c>
      <c r="J45" s="676"/>
      <c r="K45" s="24">
        <f t="shared" si="16"/>
        <v>1</v>
      </c>
      <c r="L45" s="676"/>
      <c r="M45" s="24">
        <f t="shared" si="17"/>
        <v>1</v>
      </c>
      <c r="N45" s="676"/>
      <c r="O45" s="24">
        <f t="shared" si="18"/>
        <v>1</v>
      </c>
      <c r="P45" s="3076" t="s">
        <v>3306</v>
      </c>
      <c r="Q45" s="24">
        <f t="shared" si="19"/>
        <v>1.05</v>
      </c>
      <c r="R45" s="672">
        <f t="shared" ca="1" si="20"/>
        <v>49290</v>
      </c>
      <c r="S45" s="322">
        <f t="shared" ca="1" si="11"/>
        <v>7416</v>
      </c>
    </row>
    <row r="46" spans="1:19">
      <c r="A46" s="155" t="str">
        <f>Sheet1!E23</f>
        <v>2-3602</v>
      </c>
      <c r="B46" s="57">
        <f>Sheet1!G23</f>
        <v>1487.81</v>
      </c>
      <c r="C46" s="24">
        <f t="shared" si="12"/>
        <v>0.96</v>
      </c>
      <c r="D46" s="676"/>
      <c r="E46" s="24">
        <f t="shared" si="13"/>
        <v>1</v>
      </c>
      <c r="F46" s="676"/>
      <c r="G46" s="24">
        <f t="shared" si="14"/>
        <v>1</v>
      </c>
      <c r="H46" s="676"/>
      <c r="I46" s="24">
        <f t="shared" si="15"/>
        <v>1</v>
      </c>
      <c r="J46" s="676"/>
      <c r="K46" s="24">
        <f t="shared" si="16"/>
        <v>1</v>
      </c>
      <c r="L46" s="676"/>
      <c r="M46" s="24">
        <f t="shared" si="17"/>
        <v>1</v>
      </c>
      <c r="N46" s="676"/>
      <c r="O46" s="24">
        <f t="shared" si="18"/>
        <v>1</v>
      </c>
      <c r="P46" s="3076" t="s">
        <v>3306</v>
      </c>
      <c r="Q46" s="24">
        <f t="shared" si="19"/>
        <v>1.05</v>
      </c>
      <c r="R46" s="672">
        <f t="shared" ca="1" si="20"/>
        <v>49290</v>
      </c>
      <c r="S46" s="322">
        <f t="shared" ca="1" si="11"/>
        <v>7333</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30908</v>
      </c>
      <c r="C2" s="2" t="s">
        <v>133</v>
      </c>
      <c r="D2" s="205"/>
      <c r="E2" s="205"/>
      <c r="F2" s="205"/>
      <c r="G2" s="205"/>
    </row>
    <row r="3" spans="1:7" s="206" customFormat="1" ht="18" customHeight="1" thickBot="1">
      <c r="A3" s="209" t="s">
        <v>85</v>
      </c>
      <c r="B3" s="210">
        <f ca="1">ROUND(B2*10000/'数据-汇总表'!E3,0)</f>
        <v>1285637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5</v>
      </c>
      <c r="D10" s="954">
        <f>'数据-汇总表'!E6</f>
        <v>240.41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v>
      </c>
      <c r="D19" s="958">
        <f>'数据-汇总表'!E3</f>
        <v>240.41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3110</v>
      </c>
      <c r="D22" s="241">
        <f ca="1">C26</f>
        <v>1.4E-3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3079</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4">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4205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120</v>
      </c>
      <c r="D34" s="223"/>
      <c r="E34" s="226"/>
      <c r="F34" s="263">
        <f>IF('数据-取费表'!B24=0,1,'数据-取费表'!N16)</f>
        <v>1</v>
      </c>
      <c r="G34" s="225" t="s">
        <v>116</v>
      </c>
    </row>
    <row r="35" spans="1:7" ht="13.5" customHeight="1">
      <c r="A35" s="888" t="s">
        <v>796</v>
      </c>
      <c r="B35" s="221" t="s">
        <v>60</v>
      </c>
      <c r="C35" s="226">
        <f>ROUND(C34*F35,0)</f>
        <v>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v>
      </c>
      <c r="D37" s="223">
        <f>'数据-汇总表'!E3</f>
        <v>240.41</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v>
      </c>
      <c r="D41" s="241">
        <f ca="1">C44</f>
        <v>1.4E-3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9</v>
      </c>
      <c r="D42" s="244"/>
      <c r="E42" s="244"/>
      <c r="F42" s="245"/>
      <c r="G42" s="3277" t="s">
        <v>121</v>
      </c>
    </row>
    <row r="43" spans="1:7" ht="13.5" customHeight="1">
      <c r="A43" s="888" t="s">
        <v>792</v>
      </c>
      <c r="B43" s="221" t="s">
        <v>1032</v>
      </c>
      <c r="C43" s="244">
        <f ca="1">ROUND(IF('数据-取费表'!B22&lt;=1,C39*F22*'数据-取费表'!B21/2,C39*(POWER((1+F22),'数据-取费表'!B21/2)-1)),0)</f>
        <v>0</v>
      </c>
      <c r="D43" s="244"/>
      <c r="E43" s="244"/>
      <c r="F43" s="245"/>
      <c r="G43" s="3278"/>
    </row>
    <row r="44" spans="1:7" ht="13.5" customHeight="1">
      <c r="A44" s="888" t="s">
        <v>793</v>
      </c>
      <c r="B44" s="221" t="s">
        <v>1034</v>
      </c>
      <c r="C44" s="244">
        <f ca="1">ROUND(IF('数据-取费表'!B22&lt;=1,C40*F22*'数据-取费表'!B21/2,C40*(POWER((1+F22),'数据-取费表'!B21/2)-1)),4)</f>
        <v>1.4E-3</v>
      </c>
      <c r="D44" s="244"/>
      <c r="E44" s="244"/>
      <c r="F44" s="245"/>
      <c r="G44" s="3279"/>
    </row>
    <row r="45" spans="1:7" s="220" customFormat="1" ht="13.5" customHeight="1">
      <c r="A45" s="885" t="s">
        <v>786</v>
      </c>
      <c r="B45" s="250" t="s">
        <v>112</v>
      </c>
      <c r="C45" s="251">
        <f>C46</f>
        <v>27</v>
      </c>
      <c r="D45" s="241">
        <f>C47</f>
        <v>4.0000000000000001E-3</v>
      </c>
      <c r="E45" s="242" t="s">
        <v>129</v>
      </c>
      <c r="F45" s="252"/>
      <c r="G45" s="253" t="s">
        <v>1040</v>
      </c>
    </row>
    <row r="46" spans="1:7" s="220" customFormat="1" ht="13.5" customHeight="1">
      <c r="A46" s="888" t="s">
        <v>794</v>
      </c>
      <c r="B46" s="254" t="s">
        <v>1033</v>
      </c>
      <c r="C46" s="255">
        <f>ROUND((C33+C39)*F27,0)</f>
        <v>27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185</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144</v>
      </c>
      <c r="D51" s="238"/>
      <c r="E51" s="238"/>
      <c r="F51" s="270"/>
      <c r="G51" s="240" t="s">
        <v>64</v>
      </c>
    </row>
    <row r="52" spans="1:7" s="214" customFormat="1" ht="16.5" thickBot="1">
      <c r="A52" s="271" t="s">
        <v>65</v>
      </c>
      <c r="B52" s="272"/>
      <c r="C52" s="273">
        <f ca="1">C31+C51</f>
        <v>30908</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3" t="s">
        <v>156</v>
      </c>
      <c r="B1" s="3423"/>
      <c r="C1" s="3423"/>
      <c r="D1" s="3423"/>
      <c r="E1" s="3423"/>
      <c r="F1" s="34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4" t="s">
        <v>169</v>
      </c>
      <c r="B2" s="3424"/>
      <c r="C2" s="3424"/>
      <c r="D2" s="3424"/>
      <c r="E2" s="3424"/>
      <c r="F2" s="34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3" t="s">
        <v>839</v>
      </c>
      <c r="B1" s="342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44222</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1334</v>
      </c>
      <c r="E1" s="1513" t="s">
        <v>1338</v>
      </c>
      <c r="F1" s="1514" t="s">
        <v>1342</v>
      </c>
    </row>
    <row r="2" spans="1:13" ht="20.25">
      <c r="A2" s="1520" t="s">
        <v>1335</v>
      </c>
    </row>
    <row r="3" spans="1:13" ht="16.5">
      <c r="A3" s="1521" t="s">
        <v>1336</v>
      </c>
    </row>
    <row r="4" spans="1:13" ht="14.25">
      <c r="A4" s="1511" t="s">
        <v>1337</v>
      </c>
      <c r="B4" s="1516" t="s">
        <v>1339</v>
      </c>
      <c r="C4" s="1517"/>
      <c r="D4" s="1518"/>
      <c r="E4" s="1516" t="s">
        <v>27</v>
      </c>
      <c r="F4" s="1517"/>
      <c r="G4" s="1518"/>
      <c r="H4" s="1516" t="s">
        <v>1340</v>
      </c>
      <c r="I4" s="1517"/>
      <c r="J4" s="1518"/>
      <c r="K4" s="1516" t="s">
        <v>6</v>
      </c>
      <c r="L4" s="1517"/>
      <c r="M4" s="1518"/>
    </row>
    <row r="5" spans="1:13" ht="14.25">
      <c r="A5" s="1512" t="s">
        <v>1341</v>
      </c>
      <c r="B5" s="1511" t="s">
        <v>1343</v>
      </c>
      <c r="C5" s="1511" t="s">
        <v>1344</v>
      </c>
      <c r="D5" s="1511" t="s">
        <v>1345</v>
      </c>
      <c r="E5" s="1511" t="s">
        <v>1343</v>
      </c>
      <c r="F5" s="1511" t="s">
        <v>1344</v>
      </c>
      <c r="G5" s="1511" t="s">
        <v>1345</v>
      </c>
      <c r="H5" s="1511" t="s">
        <v>1343</v>
      </c>
      <c r="I5" s="1511" t="s">
        <v>1344</v>
      </c>
      <c r="J5" s="1511" t="s">
        <v>1345</v>
      </c>
      <c r="K5" s="1511" t="s">
        <v>1343</v>
      </c>
      <c r="L5" s="1511" t="s">
        <v>1344</v>
      </c>
      <c r="M5" s="1511" t="s">
        <v>1345</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M24"/>
  <sheetViews>
    <sheetView topLeftCell="C1" workbookViewId="0">
      <selection activeCell="E25" sqref="E25"/>
    </sheetView>
  </sheetViews>
  <sheetFormatPr defaultRowHeight="13.5"/>
  <cols>
    <col min="4" max="4" width="18.625" bestFit="1" customWidth="1"/>
    <col min="5" max="5" width="14.375" customWidth="1"/>
  </cols>
  <sheetData>
    <row r="4" spans="3:6">
      <c r="C4" s="261" t="s">
        <v>3328</v>
      </c>
      <c r="D4" s="216" t="s">
        <v>3327</v>
      </c>
      <c r="E4" s="262">
        <f>E5+E6+E7+E8+E9</f>
        <v>10326952</v>
      </c>
      <c r="F4" s="238"/>
    </row>
    <row r="5" spans="3:6">
      <c r="C5" s="888" t="s">
        <v>3326</v>
      </c>
      <c r="D5" s="221" t="s">
        <v>3325</v>
      </c>
      <c r="E5" s="226">
        <f>ROUND('数据-取费表'!L7*F8,0)</f>
        <v>9369885</v>
      </c>
      <c r="F5" s="223"/>
    </row>
    <row r="6" spans="3:6">
      <c r="C6" s="888" t="s">
        <v>3324</v>
      </c>
      <c r="D6" s="221" t="s">
        <v>3323</v>
      </c>
      <c r="E6" s="226">
        <f>ROUND(E5*'数据-取费表'!B33,0)</f>
        <v>281097</v>
      </c>
      <c r="F6" s="226"/>
    </row>
    <row r="7" spans="3:6">
      <c r="C7" s="888" t="s">
        <v>3322</v>
      </c>
      <c r="D7" s="221" t="s">
        <v>3321</v>
      </c>
      <c r="E7" s="226">
        <v>0</v>
      </c>
      <c r="F7" s="226"/>
    </row>
    <row r="8" spans="3:6">
      <c r="C8" s="888" t="s">
        <v>3320</v>
      </c>
      <c r="D8" s="221" t="s">
        <v>3319</v>
      </c>
      <c r="E8" s="255">
        <f>ROUND(F8*'数据-取费表'!B35,0)</f>
        <v>535422</v>
      </c>
      <c r="F8" s="223">
        <f>Sheet1!G31</f>
        <v>2677.11</v>
      </c>
    </row>
    <row r="9" spans="3:6">
      <c r="C9" s="888" t="s">
        <v>3318</v>
      </c>
      <c r="D9" s="221" t="s">
        <v>3317</v>
      </c>
      <c r="E9" s="226">
        <f>ROUND(E5*'数据-取费表'!B36,0)</f>
        <v>140548</v>
      </c>
      <c r="F9" s="226"/>
    </row>
    <row r="18" spans="3:13" ht="14.25">
      <c r="C18" s="3195" t="s">
        <v>3347</v>
      </c>
      <c r="D18" s="3199" t="s">
        <v>3348</v>
      </c>
      <c r="E18" s="3199" t="s">
        <v>3349</v>
      </c>
      <c r="F18" s="3205" t="s">
        <v>3350</v>
      </c>
      <c r="G18" s="3206"/>
      <c r="H18" s="3237" t="s">
        <v>3351</v>
      </c>
      <c r="I18" s="3237"/>
      <c r="J18" s="3195" t="s">
        <v>3352</v>
      </c>
      <c r="K18" s="3195"/>
    </row>
    <row r="19" spans="3:13" ht="14.25">
      <c r="C19" s="3195"/>
      <c r="D19" s="3200"/>
      <c r="E19" s="3200"/>
      <c r="F19" s="3077" t="s">
        <v>3353</v>
      </c>
      <c r="G19" s="3077" t="s">
        <v>3354</v>
      </c>
      <c r="H19" s="3077" t="s">
        <v>3353</v>
      </c>
      <c r="I19" s="3077" t="s">
        <v>3354</v>
      </c>
      <c r="J19" s="3077" t="s">
        <v>3353</v>
      </c>
      <c r="K19" s="3077" t="s">
        <v>3354</v>
      </c>
    </row>
    <row r="20" spans="3:13" ht="28.5">
      <c r="C20" s="2827" t="s">
        <v>3355</v>
      </c>
      <c r="D20" s="3077">
        <f>系统读取表!B14</f>
        <v>13228.490000000002</v>
      </c>
      <c r="E20" s="3077">
        <f>系统读取表!C14</f>
        <v>641.06000000000006</v>
      </c>
      <c r="F20" s="3077">
        <f ca="1">J20-H20</f>
        <v>53160</v>
      </c>
      <c r="G20" s="3077">
        <f ca="1">K20-I20</f>
        <v>40186</v>
      </c>
      <c r="H20" s="3077">
        <f ca="1">ROUND(J20*M20,0)</f>
        <v>10353</v>
      </c>
      <c r="I20" s="3077">
        <f ca="1">ROUND(H20/D20*10000,0)</f>
        <v>7826</v>
      </c>
      <c r="J20" s="3077">
        <f ca="1">系统读取表!D14</f>
        <v>63513</v>
      </c>
      <c r="K20" s="3077">
        <f ca="1">ROUND(J20/D20*10000,0)</f>
        <v>48012</v>
      </c>
      <c r="M20">
        <v>0.16300000000000001</v>
      </c>
    </row>
    <row r="21" spans="3:13" ht="14.25">
      <c r="D21" s="3077">
        <f>系统读取表!B15</f>
        <v>4077.78</v>
      </c>
      <c r="E21" s="3077">
        <f>系统读取表!C15</f>
        <v>197.47</v>
      </c>
      <c r="F21" s="3077">
        <f t="shared" ref="F21:F23" si="0">J21-H21</f>
        <v>4735</v>
      </c>
      <c r="G21" s="3077">
        <f t="shared" ref="G21:G23" si="1">K21-I21</f>
        <v>11611</v>
      </c>
      <c r="H21" s="3077">
        <f t="shared" ref="H21:H23" si="2">ROUND(J21*M21,0)</f>
        <v>2128</v>
      </c>
      <c r="I21" s="3077">
        <f t="shared" ref="I21:I23" si="3">ROUND(H21/D21*10000,0)</f>
        <v>5219</v>
      </c>
      <c r="J21" s="3077">
        <f>系统读取表!D15</f>
        <v>6863</v>
      </c>
      <c r="K21" s="3077">
        <f t="shared" ref="K21:K23" si="4">ROUND(J21/D21*10000,0)</f>
        <v>16830</v>
      </c>
      <c r="M21">
        <v>0.31</v>
      </c>
    </row>
    <row r="22" spans="3:13" ht="14.25">
      <c r="D22" s="3077">
        <f>系统读取表!B16</f>
        <v>8459.389999999994</v>
      </c>
      <c r="E22" s="3077">
        <f>系统读取表!C16</f>
        <v>410.12999999999954</v>
      </c>
      <c r="F22" s="3077">
        <f t="shared" si="0"/>
        <v>6234</v>
      </c>
      <c r="G22" s="3077">
        <f t="shared" si="1"/>
        <v>7369</v>
      </c>
      <c r="H22" s="3077">
        <f t="shared" si="2"/>
        <v>2365</v>
      </c>
      <c r="I22" s="3077">
        <f t="shared" si="3"/>
        <v>2796</v>
      </c>
      <c r="J22" s="3077">
        <f>系统读取表!D16</f>
        <v>8599</v>
      </c>
      <c r="K22" s="3077">
        <f t="shared" si="4"/>
        <v>10165</v>
      </c>
      <c r="M22">
        <v>0.27500000000000002</v>
      </c>
    </row>
    <row r="23" spans="3:13" ht="14.25">
      <c r="D23" s="3077">
        <f>系统读取表!B17</f>
        <v>2677.11</v>
      </c>
      <c r="E23" s="3077">
        <f>系统读取表!C17</f>
        <v>129.74</v>
      </c>
      <c r="F23" s="3077">
        <f t="shared" si="0"/>
        <v>0</v>
      </c>
      <c r="G23" s="3077">
        <f t="shared" si="1"/>
        <v>0</v>
      </c>
      <c r="H23" s="3077">
        <f t="shared" si="2"/>
        <v>1033</v>
      </c>
      <c r="I23" s="3077">
        <f t="shared" si="3"/>
        <v>3859</v>
      </c>
      <c r="J23" s="3077">
        <f>系统读取表!D17</f>
        <v>1033</v>
      </c>
      <c r="K23" s="3077">
        <f t="shared" si="4"/>
        <v>3859</v>
      </c>
      <c r="M23">
        <v>1</v>
      </c>
    </row>
    <row r="24" spans="3:13">
      <c r="D24">
        <f>SUM(D20:D23)</f>
        <v>28442.769999999997</v>
      </c>
      <c r="E24">
        <f t="shared" ref="E24:J24" si="5">SUM(E20:E23)</f>
        <v>1378.3999999999996</v>
      </c>
      <c r="F24">
        <f t="shared" ca="1" si="5"/>
        <v>64129</v>
      </c>
      <c r="H24">
        <f t="shared" ca="1" si="5"/>
        <v>15879</v>
      </c>
      <c r="J24">
        <f t="shared" ca="1" si="5"/>
        <v>80008</v>
      </c>
    </row>
  </sheetData>
  <mergeCells count="6">
    <mergeCell ref="J18:K18"/>
    <mergeCell ref="C18:C19"/>
    <mergeCell ref="D18:D19"/>
    <mergeCell ref="E18:E19"/>
    <mergeCell ref="F18:G18"/>
    <mergeCell ref="H18:I18"/>
  </mergeCells>
  <phoneticPr fontId="141" type="noConversion"/>
  <dataValidations count="4">
    <dataValidation type="list" allowBlank="1" showInputMessage="1" showErrorMessage="1" sqref="H18:I18">
      <formula1>"建筑物价值,在建建筑物价值,建筑物/在建建筑物价值"</formula1>
    </dataValidation>
    <dataValidation type="list" allowBlank="1" showInputMessage="1" showErrorMessage="1" sqref="F18:G18">
      <formula1>"出让国有建设用地使用权价值,划拨国有建设用地使用权价值"</formula1>
    </dataValidation>
    <dataValidation type="list" allowBlank="1" showInputMessage="1" showErrorMessage="1" sqref="E18:E19">
      <formula1>"土地面积,分摊土地面积,（分摊）土地面积"</formula1>
    </dataValidation>
    <dataValidation type="list" allowBlank="1" showInputMessage="1" showErrorMessage="1" sqref="D18:D19">
      <formula1>"建筑面积,规划建筑面积,（规划）建筑面积"</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1602</v>
      </c>
      <c r="B2" s="3096" t="s">
        <v>1603</v>
      </c>
      <c r="C2" s="3096" t="s">
        <v>1604</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7"/>
      <c r="B3" s="3097"/>
      <c r="C3" s="3097"/>
      <c r="D3" s="963" t="s">
        <v>1599</v>
      </c>
      <c r="E3" s="963" t="s">
        <v>1605</v>
      </c>
      <c r="F3" s="963" t="s">
        <v>1599</v>
      </c>
      <c r="G3" s="963" t="s">
        <v>1600</v>
      </c>
      <c r="H3" s="963" t="s">
        <v>1599</v>
      </c>
      <c r="I3" s="963" t="s">
        <v>1600</v>
      </c>
    </row>
    <row r="4" spans="1:9" ht="15">
      <c r="A4" s="1691" t="str">
        <f>项目基本情况!S2</f>
        <v>北京市房地产</v>
      </c>
      <c r="B4" s="963">
        <f>项目基本情况!C17</f>
        <v>240.41</v>
      </c>
      <c r="C4" s="963">
        <f>项目基本情况!C18</f>
        <v>11.65</v>
      </c>
      <c r="D4" s="963">
        <f ca="1">结果表!D118</f>
        <v>51509</v>
      </c>
      <c r="E4" s="963">
        <f ca="1">结果表!E118</f>
        <v>2142548</v>
      </c>
      <c r="F4" s="963">
        <f ca="1">结果表!F118</f>
        <v>12004</v>
      </c>
      <c r="G4" s="963">
        <f ca="1">结果表!G118</f>
        <v>499314</v>
      </c>
      <c r="H4" s="963">
        <f ca="1">结果表!H118</f>
        <v>63513</v>
      </c>
      <c r="I4" s="963">
        <f ca="1">结果表!I118</f>
        <v>2641862</v>
      </c>
    </row>
    <row r="5" spans="1:9" ht="30" customHeight="1">
      <c r="A5" s="3097" t="s">
        <v>1601</v>
      </c>
      <c r="B5" s="3097"/>
      <c r="C5" s="3097"/>
      <c r="D5" s="3098" t="str">
        <f ca="1">结果表!D119</f>
        <v>伍亿壹仟伍佰零玖万元整</v>
      </c>
      <c r="E5" s="3098"/>
      <c r="F5" s="3098" t="str">
        <f ca="1">结果表!F119</f>
        <v>壹亿贰仟零肆万元整</v>
      </c>
      <c r="G5" s="3098"/>
      <c r="H5" s="3098" t="str">
        <f ca="1">结果表!H119</f>
        <v>陆亿叁仟伍佰壹拾叁万元整</v>
      </c>
      <c r="I5" s="3098"/>
    </row>
    <row r="6" spans="1:9" ht="15.75">
      <c r="A6" s="3099" t="str">
        <f>结果表!A120</f>
        <v>估价师知悉的法定优先受偿款</v>
      </c>
      <c r="B6" s="3099"/>
      <c r="C6" s="3099"/>
      <c r="D6" s="3099">
        <f>结果表!D120</f>
        <v>0</v>
      </c>
      <c r="E6" s="3099"/>
      <c r="F6" s="3099"/>
      <c r="G6" s="3099"/>
      <c r="H6" s="3099"/>
      <c r="I6" s="3099"/>
    </row>
    <row r="7" spans="1:9" ht="15">
      <c r="A7" s="3097" t="s">
        <v>1601</v>
      </c>
      <c r="B7" s="3097"/>
      <c r="C7" s="3097"/>
      <c r="D7" s="3100" t="str">
        <f>结果表!D121</f>
        <v>零元整</v>
      </c>
      <c r="E7" s="3101"/>
      <c r="F7" s="3101"/>
      <c r="G7" s="3101"/>
      <c r="H7" s="3101"/>
      <c r="I7" s="3102"/>
    </row>
    <row r="8" spans="1:9" ht="15.75">
      <c r="A8" s="3099" t="str">
        <f>结果表!A122</f>
        <v>房地产抵押价值</v>
      </c>
      <c r="B8" s="3099"/>
      <c r="C8" s="3099"/>
      <c r="D8" s="3099">
        <f ca="1">结果表!D122</f>
        <v>63513</v>
      </c>
      <c r="E8" s="3099"/>
      <c r="F8" s="3099"/>
      <c r="G8" s="3099"/>
      <c r="H8" s="3099"/>
      <c r="I8" s="3099"/>
    </row>
    <row r="9" spans="1:9" ht="15">
      <c r="A9" s="3097" t="s">
        <v>1601</v>
      </c>
      <c r="B9" s="3097"/>
      <c r="C9" s="3097"/>
      <c r="D9" s="3098" t="str">
        <f ca="1">结果表!D123</f>
        <v>陆亿叁仟伍佰壹拾叁万元整</v>
      </c>
      <c r="E9" s="3098"/>
      <c r="F9" s="3098"/>
      <c r="G9" s="3098"/>
      <c r="H9" s="3098"/>
      <c r="I9" s="3098"/>
    </row>
    <row r="10" spans="1:9" ht="15.75">
      <c r="A10" s="3099" t="str">
        <f>结果表!A124</f>
        <v/>
      </c>
      <c r="B10" s="3099"/>
      <c r="C10" s="3099"/>
      <c r="D10" s="3099" t="str">
        <f>结果表!D124</f>
        <v>——</v>
      </c>
      <c r="E10" s="3099"/>
      <c r="F10" s="3099"/>
      <c r="G10" s="3099"/>
      <c r="H10" s="3099"/>
      <c r="I10" s="3099"/>
    </row>
    <row r="11" spans="1:9" ht="15">
      <c r="A11" s="3097" t="s">
        <v>1601</v>
      </c>
      <c r="B11" s="3097"/>
      <c r="C11" s="3097"/>
      <c r="D11" s="3098" t="e">
        <f>结果表!D125</f>
        <v>#VALUE!</v>
      </c>
      <c r="E11" s="3098"/>
      <c r="F11" s="3098"/>
      <c r="G11" s="3098"/>
      <c r="H11" s="3098"/>
      <c r="I11" s="3098"/>
    </row>
    <row r="12" spans="1:9" ht="15.75">
      <c r="A12" s="3099" t="str">
        <f>结果表!A126</f>
        <v/>
      </c>
      <c r="B12" s="3099"/>
      <c r="C12" s="3099"/>
      <c r="D12" s="3099" t="str">
        <f>结果表!D126</f>
        <v>——</v>
      </c>
      <c r="E12" s="3099"/>
      <c r="F12" s="3099"/>
      <c r="G12" s="3099"/>
      <c r="H12" s="3099"/>
      <c r="I12" s="3099"/>
    </row>
    <row r="13" spans="1:9" ht="15.75" thickBot="1">
      <c r="A13" s="3103" t="s">
        <v>1601</v>
      </c>
      <c r="B13" s="3103"/>
      <c r="C13" s="3103"/>
      <c r="D13" s="3104" t="e">
        <f>结果表!D127</f>
        <v>#VALUE!</v>
      </c>
      <c r="E13" s="3104"/>
      <c r="F13" s="3104"/>
      <c r="G13" s="3104"/>
      <c r="H13" s="3104"/>
      <c r="I13" s="3104"/>
    </row>
    <row r="14" spans="1:9" ht="15" thickTop="1">
      <c r="A14" s="3105" t="s">
        <v>1606</v>
      </c>
      <c r="B14" s="3105"/>
      <c r="C14" s="3105"/>
      <c r="D14" s="3105"/>
      <c r="E14" s="3105"/>
      <c r="F14" s="3105"/>
      <c r="G14" s="3105"/>
      <c r="H14" s="3105"/>
      <c r="I14" s="3105"/>
    </row>
    <row r="16" spans="1:9" ht="18.75">
      <c r="A16" s="1692" t="s">
        <v>1589</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6" t="s">
        <v>1623</v>
      </c>
      <c r="B1" s="3106"/>
      <c r="C1" s="3106"/>
      <c r="D1" s="3106"/>
    </row>
    <row r="2" spans="1:4" ht="18">
      <c r="A2" s="3107" t="s">
        <v>1607</v>
      </c>
      <c r="B2" s="3107"/>
      <c r="C2" s="3107"/>
      <c r="D2" s="3107"/>
    </row>
    <row r="3" spans="1:4" ht="18.75">
      <c r="A3" s="1695" t="s">
        <v>1608</v>
      </c>
      <c r="B3" s="1695" t="s">
        <v>1609</v>
      </c>
      <c r="C3" s="1695" t="s">
        <v>1610</v>
      </c>
      <c r="D3" s="1695" t="s">
        <v>1611</v>
      </c>
    </row>
    <row r="4" spans="1:4" ht="56.25" customHeight="1">
      <c r="A4" s="1696">
        <f>项目基本情况!B4</f>
        <v>0</v>
      </c>
      <c r="B4" s="1697">
        <f>项目基本情况!C4</f>
        <v>0</v>
      </c>
      <c r="C4" s="1698"/>
      <c r="D4" s="1699" t="s">
        <v>1612</v>
      </c>
    </row>
    <row r="5" spans="1:4" ht="56.25" customHeight="1">
      <c r="A5" s="1696">
        <f>项目基本情况!D4</f>
        <v>0</v>
      </c>
      <c r="B5" s="1697">
        <f>项目基本情况!E4</f>
        <v>0</v>
      </c>
      <c r="C5" s="1700"/>
      <c r="D5" s="1699" t="s">
        <v>1612</v>
      </c>
    </row>
    <row r="6" spans="1:4" ht="18">
      <c r="A6" s="3107" t="s">
        <v>1613</v>
      </c>
      <c r="B6" s="3107"/>
      <c r="C6" s="3107"/>
      <c r="D6" s="3107"/>
    </row>
    <row r="7" spans="1:4" ht="18.75">
      <c r="A7" s="1695" t="s">
        <v>1608</v>
      </c>
      <c r="B7" s="1697" t="s">
        <v>1614</v>
      </c>
      <c r="C7" s="1695" t="s">
        <v>1610</v>
      </c>
      <c r="D7" s="1695" t="s">
        <v>1611</v>
      </c>
    </row>
    <row r="8" spans="1:4" ht="56.25" customHeight="1">
      <c r="A8" s="1701" t="s">
        <v>837</v>
      </c>
      <c r="B8" s="1701" t="s">
        <v>1</v>
      </c>
      <c r="C8" s="1698"/>
      <c r="D8" s="1699" t="s">
        <v>1612</v>
      </c>
    </row>
    <row r="9" spans="1:4">
      <c r="A9" s="684"/>
      <c r="B9" s="684"/>
      <c r="C9" s="684"/>
      <c r="D9" s="684"/>
    </row>
    <row r="10" spans="1:4" ht="18.75">
      <c r="A10" s="1702" t="s">
        <v>1615</v>
      </c>
      <c r="B10" s="684"/>
      <c r="C10" s="684"/>
      <c r="D10" s="684"/>
    </row>
    <row r="11" spans="1:4" ht="30" customHeight="1">
      <c r="A11" s="3108" t="s">
        <v>1616</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9" t="str">
        <f>IF(项目基本情况!B8="抵押","4.本次评估估价师所知悉的法定优先受偿款情况说明如下：","——")</f>
        <v>4.本次评估估价师所知悉的法定优先受偿款情况说明如下：</v>
      </c>
      <c r="B14" s="3110"/>
      <c r="C14" s="3110"/>
      <c r="D14" s="3110"/>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2" t="s">
        <v>1617</v>
      </c>
      <c r="B16" s="3112"/>
      <c r="C16" s="3112"/>
      <c r="D16" s="3112"/>
    </row>
    <row r="17" spans="1:4" ht="144" customHeight="1">
      <c r="A17" s="3112" t="s">
        <v>1618</v>
      </c>
      <c r="B17" s="3112"/>
      <c r="C17" s="3112"/>
      <c r="D17" s="3112"/>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1619</v>
      </c>
      <c r="B22" s="3114"/>
      <c r="C22" s="3114"/>
      <c r="D22" s="3114"/>
    </row>
    <row r="23" spans="1:4">
      <c r="A23" s="1703"/>
      <c r="B23" s="1675"/>
      <c r="C23" s="1675"/>
      <c r="D23" s="1675"/>
    </row>
    <row r="24" spans="1:4">
      <c r="A24" s="1703"/>
      <c r="B24" s="1675"/>
      <c r="C24" s="1675"/>
      <c r="D24" s="1675"/>
    </row>
    <row r="25" spans="1:4" ht="18.75">
      <c r="A25" s="1704" t="s">
        <v>1620</v>
      </c>
    </row>
    <row r="26" spans="1:4" ht="18">
      <c r="A26" s="1673"/>
    </row>
    <row r="27" spans="1:4" ht="18.75">
      <c r="A27" s="1673" t="s">
        <v>1621</v>
      </c>
    </row>
    <row r="30" spans="1:4" ht="18.75">
      <c r="D30" s="1704" t="s">
        <v>1622</v>
      </c>
    </row>
    <row r="31" spans="1:4" ht="13.5" customHeight="1">
      <c r="C31" s="3111">
        <v>42551</v>
      </c>
      <c r="D31" s="31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1624</v>
      </c>
    </row>
    <row r="3" spans="1:7">
      <c r="A3" s="1709" t="s">
        <v>82</v>
      </c>
      <c r="B3" s="1693" t="s">
        <v>1625</v>
      </c>
      <c r="G3" s="1710"/>
    </row>
    <row r="4" spans="1:7">
      <c r="G4" s="1710"/>
    </row>
    <row r="5" spans="1:7">
      <c r="A5" s="1712" t="s">
        <v>73</v>
      </c>
      <c r="B5" s="1693" t="s">
        <v>1626</v>
      </c>
      <c r="G5" s="1710"/>
    </row>
    <row r="6" spans="1:7">
      <c r="G6" s="1710"/>
    </row>
    <row r="7" spans="1:7">
      <c r="A7" s="1713" t="s">
        <v>135</v>
      </c>
      <c r="B7" s="1693" t="s">
        <v>1627</v>
      </c>
      <c r="G7" s="1710"/>
    </row>
    <row r="8" spans="1:7">
      <c r="G8" s="1710"/>
    </row>
    <row r="9" spans="1:7">
      <c r="A9" s="1714" t="s">
        <v>74</v>
      </c>
      <c r="B9" s="1693" t="s">
        <v>1628</v>
      </c>
    </row>
    <row r="11" spans="1:7">
      <c r="A11" s="1715" t="s">
        <v>75</v>
      </c>
      <c r="B11" s="1716" t="s">
        <v>72</v>
      </c>
    </row>
    <row r="13" spans="1:7">
      <c r="A13" s="1717" t="s">
        <v>1629</v>
      </c>
    </row>
    <row r="15" spans="1:7" ht="13.5">
      <c r="A15" s="3120" t="s">
        <v>1630</v>
      </c>
      <c r="B15" s="3115" t="s">
        <v>136</v>
      </c>
      <c r="C15" s="3116"/>
    </row>
    <row r="16" spans="1:7" ht="13.5">
      <c r="A16" s="3121"/>
      <c r="B16" s="3115" t="s">
        <v>69</v>
      </c>
      <c r="C16" s="3116"/>
    </row>
    <row r="17" spans="1:3" ht="13.5">
      <c r="A17" s="3121"/>
      <c r="B17" s="3118" t="s">
        <v>1631</v>
      </c>
      <c r="C17" s="1718" t="s">
        <v>1630</v>
      </c>
    </row>
    <row r="18" spans="1:3" ht="13.5">
      <c r="A18" s="3121"/>
      <c r="B18" s="3118"/>
      <c r="C18" s="1718" t="s">
        <v>1632</v>
      </c>
    </row>
    <row r="19" spans="1:3" ht="13.5">
      <c r="A19" s="3121"/>
      <c r="B19" s="3118"/>
      <c r="C19" s="1718" t="s">
        <v>1633</v>
      </c>
    </row>
    <row r="20" spans="1:3" ht="13.5">
      <c r="A20" s="3122"/>
      <c r="B20" s="3117" t="s">
        <v>1634</v>
      </c>
      <c r="C20" s="3116"/>
    </row>
    <row r="21" spans="1:3" ht="13.5">
      <c r="A21" s="1719" t="s">
        <v>1635</v>
      </c>
      <c r="B21" s="1720"/>
      <c r="C21" s="1721"/>
    </row>
    <row r="22" spans="1:3" ht="13.5">
      <c r="A22" s="3119" t="s">
        <v>1636</v>
      </c>
      <c r="B22" s="3117" t="s">
        <v>1637</v>
      </c>
      <c r="C22" s="3116"/>
    </row>
    <row r="23" spans="1:3" ht="13.5">
      <c r="A23" s="3119"/>
      <c r="B23" s="3117" t="s">
        <v>1638</v>
      </c>
      <c r="C23" s="3116"/>
    </row>
    <row r="24" spans="1:3" ht="13.5">
      <c r="A24" s="3119"/>
      <c r="B24" s="3117" t="s">
        <v>1639</v>
      </c>
      <c r="C24" s="3116"/>
    </row>
    <row r="25" spans="1:3" ht="13.5">
      <c r="A25" s="3119"/>
      <c r="B25" s="3118" t="s">
        <v>1640</v>
      </c>
      <c r="C25" s="1718" t="s">
        <v>1641</v>
      </c>
    </row>
    <row r="26" spans="1:3" ht="13.5">
      <c r="A26" s="3119"/>
      <c r="B26" s="3118"/>
      <c r="C26" s="1718" t="s">
        <v>1642</v>
      </c>
    </row>
    <row r="27" spans="1:3" ht="13.5">
      <c r="A27" s="3119"/>
      <c r="B27" s="3118"/>
      <c r="C27" s="1718" t="s">
        <v>1643</v>
      </c>
    </row>
    <row r="28" spans="1:3" ht="13.5">
      <c r="A28" s="3119"/>
      <c r="B28" s="3118"/>
      <c r="C28" s="1718" t="s">
        <v>1644</v>
      </c>
    </row>
    <row r="29" spans="1:3" ht="13.5">
      <c r="A29" s="3119"/>
      <c r="B29" s="3118"/>
      <c r="C29" s="1718" t="s">
        <v>1645</v>
      </c>
    </row>
    <row r="30" spans="1:3" ht="13.5">
      <c r="A30" s="3119"/>
      <c r="B30" s="3118"/>
      <c r="C30" s="1718" t="s">
        <v>1646</v>
      </c>
    </row>
    <row r="31" spans="1:3" ht="13.5">
      <c r="A31" s="3119"/>
      <c r="B31" s="3118"/>
      <c r="C31" s="1718" t="s">
        <v>1647</v>
      </c>
    </row>
    <row r="32" spans="1:3" ht="13.5">
      <c r="A32" s="3119"/>
      <c r="B32" s="3118"/>
      <c r="C32" s="1718" t="s">
        <v>1648</v>
      </c>
    </row>
    <row r="33" spans="1:3" ht="13.5">
      <c r="A33" s="3119"/>
      <c r="B33" s="3118"/>
      <c r="C33" s="1718" t="s">
        <v>1649</v>
      </c>
    </row>
    <row r="34" spans="1:3">
      <c r="A34" s="1722" t="s">
        <v>76</v>
      </c>
    </row>
    <row r="37" spans="1:3">
      <c r="A37" s="1722" t="s">
        <v>1650</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44225</v>
      </c>
      <c r="C2" s="2564" t="s">
        <v>2878</v>
      </c>
      <c r="D2" s="2564"/>
      <c r="E2" s="2564"/>
      <c r="F2" s="2560"/>
      <c r="G2" s="2560"/>
      <c r="H2" s="2560"/>
    </row>
    <row r="3" spans="1:8" ht="24" customHeight="1">
      <c r="A3" s="2565" t="s">
        <v>2879</v>
      </c>
      <c r="B3" s="2566" t="s">
        <v>2880</v>
      </c>
      <c r="C3" s="2566" t="s">
        <v>2881</v>
      </c>
      <c r="D3" s="2567" t="s">
        <v>2882</v>
      </c>
      <c r="E3" s="2568" t="s">
        <v>2883</v>
      </c>
      <c r="F3" s="1473" t="s">
        <v>2884</v>
      </c>
      <c r="G3" s="2566" t="s">
        <v>2881</v>
      </c>
      <c r="H3" s="2567" t="s">
        <v>2885</v>
      </c>
    </row>
    <row r="4" spans="1:8" ht="24" customHeight="1">
      <c r="A4" s="1473" t="s">
        <v>2886</v>
      </c>
      <c r="B4" s="1473">
        <f ca="1">IF(C4&lt;B2,"已过期",1119970066)</f>
        <v>1119970066</v>
      </c>
      <c r="C4" s="2569">
        <v>44876</v>
      </c>
      <c r="D4" s="2570" t="str">
        <f ca="1">A4&amp;"（注册号："&amp;B4&amp;"）"</f>
        <v>梁津（注册号：1119970066）</v>
      </c>
      <c r="E4" s="2571" t="s">
        <v>2886</v>
      </c>
      <c r="F4" s="1473">
        <f ca="1">IF(G4&lt;B2,"已过期",96010014)</f>
        <v>96010014</v>
      </c>
      <c r="G4" s="2572">
        <v>47118</v>
      </c>
      <c r="H4" s="2573" t="str">
        <f ca="1">E4&amp;"（注册号："&amp;F4&amp;"）"</f>
        <v>梁津（注册号：96010014）</v>
      </c>
    </row>
    <row r="5" spans="1:8" ht="24" customHeight="1">
      <c r="A5" s="1473" t="s">
        <v>2887</v>
      </c>
      <c r="B5" s="1473">
        <f ca="1">IF(C5&lt;B2,"已过期",1119970111)</f>
        <v>1119970111</v>
      </c>
      <c r="C5" s="2569">
        <v>44876</v>
      </c>
      <c r="D5" s="2570" t="str">
        <f t="shared" ref="D5:D15" ca="1" si="0">A5&amp;"（注册号："&amp;B5&amp;"）"</f>
        <v>叶凌（注册号：1119970111）</v>
      </c>
      <c r="E5" s="2571" t="s">
        <v>2887</v>
      </c>
      <c r="F5" s="1473">
        <f ca="1">IF(G5&lt;B2,"已过期",94010078)</f>
        <v>94010078</v>
      </c>
      <c r="G5" s="2572">
        <v>46387</v>
      </c>
      <c r="H5" s="2573" t="str">
        <f t="shared" ref="H5:H16" ca="1" si="1">E5&amp;"（注册号："&amp;F5&amp;"）"</f>
        <v>叶凌（注册号：94010078）</v>
      </c>
    </row>
    <row r="6" spans="1:8" ht="24" customHeight="1">
      <c r="A6" s="1473" t="s">
        <v>2888</v>
      </c>
      <c r="B6" s="1473">
        <f ca="1">IF(C6&lt;B2,"已过期",1120050019)</f>
        <v>1120050019</v>
      </c>
      <c r="C6" s="2569">
        <v>44395</v>
      </c>
      <c r="D6" s="2570" t="str">
        <f t="shared" ca="1" si="0"/>
        <v>王鹏（注册号：1120050019）</v>
      </c>
      <c r="E6" s="2571" t="s">
        <v>2888</v>
      </c>
      <c r="F6" s="1473">
        <f ca="1">IF(G6&lt;B2,"已过期",2002110030)</f>
        <v>2002110030</v>
      </c>
      <c r="G6" s="2572">
        <v>46387</v>
      </c>
      <c r="H6" s="2573" t="str">
        <f t="shared" ca="1" si="1"/>
        <v>王鹏（注册号：2002110030）</v>
      </c>
    </row>
    <row r="7" spans="1:8" ht="24" customHeight="1">
      <c r="A7" s="1473" t="s">
        <v>2889</v>
      </c>
      <c r="B7" s="1473">
        <f ca="1">IF(C7&lt;B2,"已过期",1120000080)</f>
        <v>1120000080</v>
      </c>
      <c r="C7" s="2569">
        <v>44876</v>
      </c>
      <c r="D7" s="2570" t="str">
        <f t="shared" ca="1" si="0"/>
        <v>欧红伟（注册号：1120000080）</v>
      </c>
      <c r="E7" s="2571" t="s">
        <v>2889</v>
      </c>
      <c r="F7" s="1473">
        <f ca="1">IF(G7&lt;B2,"已过期",2000110082)</f>
        <v>2000110082</v>
      </c>
      <c r="G7" s="2572">
        <v>46387</v>
      </c>
      <c r="H7" s="2573" t="str">
        <f t="shared" ca="1" si="1"/>
        <v>欧红伟（注册号：2000110082）</v>
      </c>
    </row>
    <row r="8" spans="1:8" ht="24" customHeight="1">
      <c r="A8" s="1473" t="s">
        <v>2890</v>
      </c>
      <c r="B8" s="1473">
        <f ca="1">IF(C8&lt;B2,"已过期",1419970001)</f>
        <v>1419970001</v>
      </c>
      <c r="C8" s="2569">
        <v>44899</v>
      </c>
      <c r="D8" s="2570" t="str">
        <f t="shared" ca="1" si="0"/>
        <v>吴薇（注册号：1419970001）</v>
      </c>
      <c r="E8" s="2571" t="s">
        <v>2890</v>
      </c>
      <c r="F8" s="1473">
        <f ca="1">IF(G8&lt;B2,"已过期",2002110125)</f>
        <v>2002110125</v>
      </c>
      <c r="G8" s="2572">
        <v>47118</v>
      </c>
      <c r="H8" s="2573" t="str">
        <f t="shared" ca="1" si="1"/>
        <v>吴薇（注册号：2002110125）</v>
      </c>
    </row>
    <row r="9" spans="1:8" ht="24" customHeight="1">
      <c r="A9" s="1473" t="s">
        <v>2891</v>
      </c>
      <c r="B9" s="1473">
        <f ca="1">IF(C9&lt;B2,"已过期",1120060040)</f>
        <v>1120060040</v>
      </c>
      <c r="C9" s="2574">
        <v>44554</v>
      </c>
      <c r="D9" s="2570" t="str">
        <f t="shared" ca="1" si="0"/>
        <v>陈颖（注册号：1120060040）</v>
      </c>
      <c r="E9" s="2571" t="s">
        <v>2891</v>
      </c>
      <c r="F9" s="1473">
        <f ca="1">IF(G9&lt;B2,"已过期",2004110096)</f>
        <v>2004110096</v>
      </c>
      <c r="G9" s="2572">
        <v>47118</v>
      </c>
      <c r="H9" s="2573" t="str">
        <f t="shared" ca="1" si="1"/>
        <v>陈颖（注册号：2004110096）</v>
      </c>
    </row>
    <row r="10" spans="1:8" ht="24" customHeight="1">
      <c r="A10" s="1473" t="s">
        <v>2892</v>
      </c>
      <c r="B10" s="1473">
        <f ca="1">IF(C10&lt;B2,"已过期",1120100036)</f>
        <v>1120100036</v>
      </c>
      <c r="C10" s="2574">
        <v>44675</v>
      </c>
      <c r="D10" s="2570" t="str">
        <f t="shared" ca="1" si="0"/>
        <v>崔锴（注册号：1120100036）</v>
      </c>
      <c r="E10" s="2571" t="s">
        <v>2892</v>
      </c>
      <c r="F10" s="1473">
        <f ca="1">IF(G10&lt;B2,"已过期",2010110070)</f>
        <v>2010110070</v>
      </c>
      <c r="G10" s="2572">
        <v>47907</v>
      </c>
      <c r="H10" s="2573" t="str">
        <f t="shared" ca="1" si="1"/>
        <v>崔锴（注册号：2010110070）</v>
      </c>
    </row>
    <row r="11" spans="1:8" ht="24" customHeight="1">
      <c r="A11" s="1473" t="s">
        <v>2893</v>
      </c>
      <c r="B11" s="1473">
        <f ca="1">IF(C11&lt;B2,"已过期",1120070131)</f>
        <v>1120070131</v>
      </c>
      <c r="C11" s="2569">
        <v>44849</v>
      </c>
      <c r="D11" s="2570" t="str">
        <f t="shared" ca="1" si="0"/>
        <v>郑燚（注册号：1120070131）</v>
      </c>
      <c r="E11" s="2571" t="s">
        <v>2893</v>
      </c>
      <c r="F11" s="1473">
        <f ca="1">IF(G11&lt;B2,"已过期",2014110011)</f>
        <v>2014110011</v>
      </c>
      <c r="G11" s="2572">
        <v>49302</v>
      </c>
      <c r="H11" s="2573" t="str">
        <f t="shared" ca="1" si="1"/>
        <v>郑燚（注册号：2014110011）</v>
      </c>
    </row>
    <row r="12" spans="1:8" ht="24" customHeight="1">
      <c r="A12" s="1473" t="s">
        <v>2894</v>
      </c>
      <c r="B12" s="1473">
        <f ca="1">IF(C12&lt;B2,"已过期",1120040230)</f>
        <v>1120040230</v>
      </c>
      <c r="C12" s="2574">
        <v>44864</v>
      </c>
      <c r="D12" s="2570" t="str">
        <f t="shared" ca="1" si="0"/>
        <v>苏海（注册号：1120040230）</v>
      </c>
      <c r="E12" s="2571" t="s">
        <v>2894</v>
      </c>
      <c r="F12" s="1473">
        <f ca="1">IF(G12&lt;B2,"已过期",98030020)</f>
        <v>98030020</v>
      </c>
      <c r="G12" s="2572">
        <v>47118</v>
      </c>
      <c r="H12" s="2573" t="str">
        <f t="shared" ca="1" si="1"/>
        <v>苏海（注册号：98030020）</v>
      </c>
    </row>
    <row r="13" spans="1:8" ht="24" customHeight="1">
      <c r="A13" s="1473" t="s">
        <v>2895</v>
      </c>
      <c r="B13" s="1473">
        <f ca="1">IF(C13&lt;B2,"已过期",1120020033)</f>
        <v>1120020033</v>
      </c>
      <c r="C13" s="2569">
        <v>44339</v>
      </c>
      <c r="D13" s="2570" t="str">
        <f t="shared" ca="1" si="0"/>
        <v>刘敬东（注册号：1120020033）</v>
      </c>
      <c r="E13" s="2571" t="s">
        <v>2895</v>
      </c>
      <c r="F13" s="1473">
        <f ca="1">IF(G13&lt;B2,"已过期",2000110137)</f>
        <v>2000110137</v>
      </c>
      <c r="G13" s="2572">
        <v>46387</v>
      </c>
      <c r="H13" s="2573" t="str">
        <f t="shared" ca="1" si="1"/>
        <v>刘敬东（注册号：2000110137）</v>
      </c>
    </row>
    <row r="14" spans="1:8" ht="24" customHeight="1">
      <c r="A14" s="1473" t="s">
        <v>2896</v>
      </c>
      <c r="B14" s="1473">
        <f ca="1">IF(C14&lt;B2,"已过期",1119980106)</f>
        <v>1119980106</v>
      </c>
      <c r="C14" s="2574">
        <v>44969</v>
      </c>
      <c r="D14" s="2570" t="str">
        <f t="shared" ca="1" si="0"/>
        <v>刘俊财（注册号：1119980106）</v>
      </c>
      <c r="E14" s="2571" t="s">
        <v>2896</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2897</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3" t="s">
        <v>2898</v>
      </c>
      <c r="B17" s="3123"/>
      <c r="C17" s="3123"/>
      <c r="D17" s="3123"/>
      <c r="E17" s="3123"/>
      <c r="F17" s="3123"/>
      <c r="G17" s="3123"/>
      <c r="H17" s="3123"/>
    </row>
    <row r="18" spans="1:8" ht="24" customHeight="1">
      <c r="A18" s="3124" t="s">
        <v>2899</v>
      </c>
      <c r="B18" s="3124"/>
      <c r="C18" s="3124"/>
      <c r="D18" s="2567"/>
      <c r="E18" s="3125" t="s">
        <v>2900</v>
      </c>
      <c r="F18" s="3124"/>
      <c r="G18" s="3124"/>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2021-01-29T05:12:11Z</dcterms:modified>
</cp:coreProperties>
</file>