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E000154西二旗大街39号-武哥询价\"/>
    </mc:Choice>
  </mc:AlternateContent>
  <xr:revisionPtr revIDLastSave="0" documentId="13_ncr:1_{BF40090A-304A-44BE-A7E8-1E4C83E4A0A9}" xr6:coauthVersionLast="47" xr6:coauthVersionMax="47" xr10:uidLastSave="{00000000-0000-0000-0000-000000000000}"/>
  <bookViews>
    <workbookView xWindow="-108" yWindow="-108" windowWidth="20376" windowHeight="12216" tabRatio="899" firstSheet="13"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面积信息及租约" sheetId="80" r:id="rId35"/>
    <sheet name="售价案例" sheetId="82" r:id="rId36"/>
    <sheet name="租金案例" sheetId="81"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办公" sheetId="34"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4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6" i="1" l="1"/>
  <c r="B14" i="74"/>
  <c r="AD6" i="1" l="1"/>
  <c r="U6" i="1"/>
  <c r="E4" i="31"/>
  <c r="F4" i="31" s="1"/>
  <c r="D4" i="31"/>
  <c r="A26" i="31"/>
  <c r="A25" i="31"/>
  <c r="B25" i="31"/>
  <c r="B26" i="31"/>
  <c r="B24" i="31"/>
  <c r="J49" i="15"/>
  <c r="P19" i="1"/>
  <c r="D33" i="43"/>
  <c r="E10" i="80" l="1"/>
  <c r="E5" i="80"/>
  <c r="E9" i="80" s="1"/>
  <c r="B58" i="1"/>
  <c r="B21" i="1"/>
  <c r="N18" i="1"/>
  <c r="N19" i="1" s="1"/>
  <c r="N6" i="1" s="1"/>
  <c r="Y6" i="1" s="1"/>
  <c r="C19" i="6"/>
  <c r="I14" i="3"/>
  <c r="I15" i="3"/>
  <c r="C14" i="3"/>
  <c r="C15" i="3"/>
  <c r="I13" i="3"/>
  <c r="C13" i="3"/>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R40" i="79"/>
  <c r="AR41" i="79" s="1"/>
  <c r="AR42" i="79" s="1"/>
  <c r="AR43" i="79" s="1"/>
  <c r="AR44" i="79" s="1"/>
  <c r="AR45" i="79" s="1"/>
  <c r="AR46" i="79" s="1"/>
  <c r="AR47" i="79" s="1"/>
  <c r="AR48" i="79" s="1"/>
  <c r="AR49" i="79" s="1"/>
  <c r="AR50" i="79" s="1"/>
  <c r="AR51" i="79" s="1"/>
  <c r="AR52" i="79" s="1"/>
  <c r="AD37" i="79"/>
  <c r="AD38" i="79"/>
  <c r="AD36"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40" i="79"/>
  <c r="AK40" i="79" s="1"/>
  <c r="AH40" i="79"/>
  <c r="W34" i="79"/>
  <c r="AK34" i="79" s="1"/>
  <c r="AH34"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S63" i="31" s="1"/>
  <c r="R64" i="31"/>
  <c r="S64" i="31" s="1"/>
  <c r="R65" i="31"/>
  <c r="R66" i="31"/>
  <c r="S66" i="31" s="1"/>
  <c r="R67" i="31"/>
  <c r="R68" i="31"/>
  <c r="S68" i="31" s="1"/>
  <c r="R69" i="31"/>
  <c r="S69" i="31" s="1"/>
  <c r="R70" i="31"/>
  <c r="S70" i="31" s="1"/>
  <c r="R71" i="3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S105" i="31" s="1"/>
  <c r="R106" i="31"/>
  <c r="S106" i="31" s="1"/>
  <c r="R107" i="31"/>
  <c r="S107" i="31" s="1"/>
  <c r="R108" i="3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R164" i="31"/>
  <c r="S164" i="31" s="1"/>
  <c r="R165" i="31"/>
  <c r="S165" i="31" s="1"/>
  <c r="R166" i="31"/>
  <c r="S166" i="31" s="1"/>
  <c r="R167" i="31"/>
  <c r="R168" i="31"/>
  <c r="S168" i="31" s="1"/>
  <c r="R169" i="3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S219" i="31" s="1"/>
  <c r="R220" i="31"/>
  <c r="R221" i="31"/>
  <c r="R222" i="31"/>
  <c r="S222" i="31" s="1"/>
  <c r="R223" i="31"/>
  <c r="S223" i="31" s="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S290" i="31" s="1"/>
  <c r="R291" i="31"/>
  <c r="S291" i="31" s="1"/>
  <c r="R292" i="31"/>
  <c r="R293" i="31"/>
  <c r="S293" i="31" s="1"/>
  <c r="R294" i="3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R307" i="31"/>
  <c r="S307" i="31" s="1"/>
  <c r="R308" i="31"/>
  <c r="R309" i="31"/>
  <c r="S309" i="31" s="1"/>
  <c r="R310" i="31"/>
  <c r="S310" i="31" s="1"/>
  <c r="R311" i="31"/>
  <c r="S311" i="31" s="1"/>
  <c r="R312" i="31"/>
  <c r="S312" i="31" s="1"/>
  <c r="R313" i="31"/>
  <c r="S313" i="31" s="1"/>
  <c r="R314" i="31"/>
  <c r="R315" i="31"/>
  <c r="S315" i="31" s="1"/>
  <c r="R316" i="31"/>
  <c r="R317" i="31"/>
  <c r="S317" i="31" s="1"/>
  <c r="R318" i="31"/>
  <c r="S318" i="31" s="1"/>
  <c r="R319" i="31"/>
  <c r="S319" i="31" s="1"/>
  <c r="R320" i="31"/>
  <c r="S320" i="31" s="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S338" i="31" s="1"/>
  <c r="R339" i="31"/>
  <c r="S339" i="31" s="1"/>
  <c r="R340" i="31"/>
  <c r="R341" i="31"/>
  <c r="S341" i="31" s="1"/>
  <c r="R342" i="31"/>
  <c r="R343" i="31"/>
  <c r="S343" i="31" s="1"/>
  <c r="R344" i="31"/>
  <c r="S344" i="31" s="1"/>
  <c r="R345" i="31"/>
  <c r="S345" i="31" s="1"/>
  <c r="R346" i="31"/>
  <c r="R347" i="31"/>
  <c r="S347" i="31" s="1"/>
  <c r="R348" i="3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R495" i="31"/>
  <c r="S495" i="31" s="1"/>
  <c r="R496" i="31"/>
  <c r="R497" i="31"/>
  <c r="S497" i="31" s="1"/>
  <c r="R498" i="31"/>
  <c r="R499" i="31"/>
  <c r="R500" i="31"/>
  <c r="R501" i="31"/>
  <c r="S501" i="31" s="1"/>
  <c r="R502" i="31"/>
  <c r="S502" i="31" s="1"/>
  <c r="R503" i="31"/>
  <c r="R504" i="31"/>
  <c r="R505" i="31"/>
  <c r="S505" i="31" s="1"/>
  <c r="R506" i="31"/>
  <c r="R507" i="31"/>
  <c r="S507" i="31" s="1"/>
  <c r="R508" i="31"/>
  <c r="R509" i="31"/>
  <c r="S509" i="31" s="1"/>
  <c r="R510" i="31"/>
  <c r="S510" i="31" s="1"/>
  <c r="R511" i="31"/>
  <c r="R512" i="31"/>
  <c r="R513" i="31"/>
  <c r="S513" i="31" s="1"/>
  <c r="R514" i="31"/>
  <c r="S514" i="31" s="1"/>
  <c r="R515" i="31"/>
  <c r="S515" i="31" s="1"/>
  <c r="R516" i="31"/>
  <c r="R517" i="31"/>
  <c r="S517" i="31" s="1"/>
  <c r="R518" i="3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K6" i="1" s="1"/>
  <c r="AP6" i="1"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56" i="31"/>
  <c r="S354" i="31"/>
  <c r="S348" i="31"/>
  <c r="S346" i="31"/>
  <c r="S342" i="31"/>
  <c r="S340" i="31"/>
  <c r="S334" i="31"/>
  <c r="S332" i="31"/>
  <c r="S324" i="31"/>
  <c r="S322" i="31"/>
  <c r="S424" i="31"/>
  <c r="S316" i="31"/>
  <c r="S314" i="31"/>
  <c r="S308" i="31"/>
  <c r="S306" i="31"/>
  <c r="S302" i="31"/>
  <c r="S300" i="31"/>
  <c r="S294" i="31"/>
  <c r="S292" i="31"/>
  <c r="S288" i="31"/>
  <c r="S286" i="31"/>
  <c r="S278" i="31"/>
  <c r="S270" i="31"/>
  <c r="S262" i="31"/>
  <c r="S247" i="31"/>
  <c r="S243" i="31"/>
  <c r="S237" i="31"/>
  <c r="S231" i="31"/>
  <c r="S227" i="31"/>
  <c r="S428" i="31"/>
  <c r="S221" i="31"/>
  <c r="S220" i="31"/>
  <c r="S215" i="31"/>
  <c r="S211" i="31"/>
  <c r="S199" i="31"/>
  <c r="S195" i="31"/>
  <c r="S193" i="31"/>
  <c r="S183" i="31"/>
  <c r="S179" i="31"/>
  <c r="S169" i="31"/>
  <c r="S167" i="31"/>
  <c r="S163" i="31"/>
  <c r="S156" i="31"/>
  <c r="S151" i="31"/>
  <c r="S147" i="31"/>
  <c r="S135" i="31"/>
  <c r="S131" i="31"/>
  <c r="S496" i="31"/>
  <c r="S494" i="31"/>
  <c r="S492" i="31"/>
  <c r="S488" i="31"/>
  <c r="S484" i="31"/>
  <c r="S480" i="31"/>
  <c r="S478" i="31"/>
  <c r="S476" i="31"/>
  <c r="S472" i="31"/>
  <c r="S468" i="31"/>
  <c r="S444" i="31"/>
  <c r="S440" i="31"/>
  <c r="S436" i="31"/>
  <c r="S435" i="31"/>
  <c r="S432" i="31"/>
  <c r="S506" i="31"/>
  <c r="S504" i="31"/>
  <c r="S500" i="31"/>
  <c r="S498" i="31"/>
  <c r="S464" i="31"/>
  <c r="S460" i="31"/>
  <c r="S456" i="31"/>
  <c r="S452" i="31"/>
  <c r="S51" i="31"/>
  <c r="S47" i="31"/>
  <c r="S35" i="31"/>
  <c r="S71" i="31"/>
  <c r="S67" i="31"/>
  <c r="S65" i="31"/>
  <c r="S55" i="31"/>
  <c r="S95" i="31"/>
  <c r="S91" i="31"/>
  <c r="S79" i="31"/>
  <c r="S30" i="31"/>
  <c r="S99" i="31"/>
  <c r="S101" i="31"/>
  <c r="S103" i="31"/>
  <c r="S108" i="31"/>
  <c r="S448" i="31"/>
  <c r="S508" i="31"/>
  <c r="S511"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AZ500" i="3" s="1"/>
  <c r="BD500" i="3"/>
  <c r="BE500" i="3"/>
  <c r="BF500" i="3"/>
  <c r="BG500" i="3"/>
  <c r="BH500" i="3"/>
  <c r="BI500" i="3"/>
  <c r="BJ500" i="3"/>
  <c r="BK500" i="3"/>
  <c r="BM500" i="3"/>
  <c r="BN500" i="3"/>
  <c r="BO500" i="3"/>
  <c r="BP500" i="3"/>
  <c r="BL500" i="3" s="1"/>
  <c r="BQ500" i="3"/>
  <c r="BR500" i="3"/>
  <c r="BS500" i="3"/>
  <c r="BT500" i="3"/>
  <c r="H501" i="3"/>
  <c r="AC501" i="3"/>
  <c r="BB501" i="3"/>
  <c r="BC501" i="3"/>
  <c r="BA501" i="3" s="1"/>
  <c r="AZ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AZ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G111" i="33" s="1"/>
  <c r="S516" i="31"/>
  <c r="S518" i="31"/>
  <c r="S520"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G73" i="37" s="1"/>
  <c r="D71" i="37"/>
  <c r="H15" i="37"/>
  <c r="AB15" i="37" s="1"/>
  <c r="B68" i="37"/>
  <c r="B66" i="37"/>
  <c r="J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W25" i="36" s="1"/>
  <c r="B73" i="36"/>
  <c r="J24" i="36"/>
  <c r="B71" i="36"/>
  <c r="F23" i="36" s="1"/>
  <c r="AA23" i="36" s="1"/>
  <c r="D70" i="36"/>
  <c r="H22" i="36"/>
  <c r="AB22" i="36" s="1"/>
  <c r="D68" i="36"/>
  <c r="E68" i="36" s="1"/>
  <c r="F68" i="36" s="1"/>
  <c r="G68" i="36" s="1"/>
  <c r="D64" i="36"/>
  <c r="E64" i="36" s="1"/>
  <c r="F64" i="36"/>
  <c r="G64" i="36" s="1"/>
  <c r="J16" i="36"/>
  <c r="W16" i="36" s="1"/>
  <c r="D62" i="36"/>
  <c r="E62" i="36"/>
  <c r="F62" i="36" s="1"/>
  <c r="G62" i="36" s="1"/>
  <c r="B59" i="36"/>
  <c r="H13" i="36" s="1"/>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AC35" i="35" s="1"/>
  <c r="B97" i="35"/>
  <c r="B77" i="35"/>
  <c r="B75" i="35"/>
  <c r="B73" i="35"/>
  <c r="B57" i="35"/>
  <c r="B61" i="35"/>
  <c r="J13" i="35" s="1"/>
  <c r="B59" i="35"/>
  <c r="F12" i="35" s="1"/>
  <c r="B131" i="34"/>
  <c r="B129" i="34"/>
  <c r="B127" i="34"/>
  <c r="B99" i="34"/>
  <c r="B97" i="34"/>
  <c r="B95" i="34"/>
  <c r="B93" i="34"/>
  <c r="H29" i="34" s="1"/>
  <c r="AB29" i="34" s="1"/>
  <c r="B75" i="34"/>
  <c r="H14" i="34" s="1"/>
  <c r="AB14" i="34" s="1"/>
  <c r="B73" i="34"/>
  <c r="B71" i="34"/>
  <c r="B130" i="33"/>
  <c r="J46" i="33" s="1"/>
  <c r="B128" i="33"/>
  <c r="H45" i="33" s="1"/>
  <c r="AB45" i="33" s="1"/>
  <c r="B126" i="33"/>
  <c r="B98" i="33"/>
  <c r="B96" i="33"/>
  <c r="H30" i="33" s="1"/>
  <c r="B94" i="33"/>
  <c r="J29" i="33" s="1"/>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AC40" i="33" s="1"/>
  <c r="H40" i="33"/>
  <c r="AB40" i="33" s="1"/>
  <c r="AA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c r="D77" i="21"/>
  <c r="E77" i="21" s="1"/>
  <c r="B130" i="21"/>
  <c r="F46" i="21" s="1"/>
  <c r="AA46" i="21" s="1"/>
  <c r="B128" i="21"/>
  <c r="J45" i="21"/>
  <c r="W45" i="21" s="1"/>
  <c r="B126" i="21"/>
  <c r="F44" i="21" s="1"/>
  <c r="AA44" i="21" s="1"/>
  <c r="B98" i="21"/>
  <c r="H31" i="21" s="1"/>
  <c r="AB31" i="21" s="1"/>
  <c r="B96" i="21"/>
  <c r="B94" i="21"/>
  <c r="H29" i="21" s="1"/>
  <c r="B92" i="21"/>
  <c r="B90" i="21"/>
  <c r="J27" i="21" s="1"/>
  <c r="W27" i="21" s="1"/>
  <c r="B74" i="21"/>
  <c r="J14" i="21" s="1"/>
  <c r="W14" i="21" s="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W28" i="36"/>
  <c r="H22" i="35"/>
  <c r="AC27" i="35"/>
  <c r="W28" i="35"/>
  <c r="U31" i="35"/>
  <c r="W22" i="35"/>
  <c r="S31" i="35"/>
  <c r="F36" i="34"/>
  <c r="J35" i="34"/>
  <c r="H39" i="33"/>
  <c r="F26" i="33"/>
  <c r="AA26" i="33" s="1"/>
  <c r="U33" i="33"/>
  <c r="U35" i="33"/>
  <c r="S40" i="33"/>
  <c r="W39" i="33"/>
  <c r="H39" i="37"/>
  <c r="U39" i="37" s="1"/>
  <c r="F11" i="40"/>
  <c r="AA11" i="40" s="1"/>
  <c r="H11" i="40"/>
  <c r="AB11" i="40" s="1"/>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S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AB8" i="39"/>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S14" i="35" s="1"/>
  <c r="J32" i="35"/>
  <c r="AC32" i="35" s="1"/>
  <c r="J16" i="35"/>
  <c r="W16" i="35" s="1"/>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AC23" i="34" s="1"/>
  <c r="F19" i="34"/>
  <c r="H17" i="34"/>
  <c r="U17" i="34"/>
  <c r="F15" i="34"/>
  <c r="AA15" i="34" s="1"/>
  <c r="J15" i="34"/>
  <c r="H15" i="34"/>
  <c r="AB15" i="34" s="1"/>
  <c r="W8" i="34"/>
  <c r="J28" i="34"/>
  <c r="F41" i="33"/>
  <c r="AA41" i="33"/>
  <c r="S38" i="33"/>
  <c r="E113" i="33"/>
  <c r="F32" i="33"/>
  <c r="AA32" i="33"/>
  <c r="J19" i="33"/>
  <c r="AC19" i="33" s="1"/>
  <c r="J15" i="33"/>
  <c r="AC15" i="33"/>
  <c r="F11" i="33"/>
  <c r="AA11" i="33" s="1"/>
  <c r="S26" i="33"/>
  <c r="W40" i="33"/>
  <c r="F37" i="40"/>
  <c r="AA37" i="40" s="1"/>
  <c r="F36" i="40"/>
  <c r="AA36" i="40"/>
  <c r="H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J42" i="21"/>
  <c r="AC42" i="21" s="1"/>
  <c r="H42" i="21"/>
  <c r="U42" i="21" s="1"/>
  <c r="J44" i="34"/>
  <c r="W44" i="34" s="1"/>
  <c r="F44" i="34"/>
  <c r="AA44" i="34"/>
  <c r="J10" i="35"/>
  <c r="AC10" i="35" s="1"/>
  <c r="F14" i="21"/>
  <c r="H14" i="21"/>
  <c r="U14" i="21" s="1"/>
  <c r="F28" i="21"/>
  <c r="AA28" i="21" s="1"/>
  <c r="F30" i="21"/>
  <c r="S30" i="21" s="1"/>
  <c r="J44" i="21"/>
  <c r="AC44" i="21" s="1"/>
  <c r="H44" i="21"/>
  <c r="U44" i="21" s="1"/>
  <c r="H46" i="21"/>
  <c r="J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c r="H14" i="36"/>
  <c r="F28" i="36"/>
  <c r="AA28" i="36" s="1"/>
  <c r="H27" i="21"/>
  <c r="AB27" i="21" s="1"/>
  <c r="F27" i="21"/>
  <c r="AA27" i="21" s="1"/>
  <c r="U29" i="21"/>
  <c r="J31" i="21"/>
  <c r="AC31" i="21" s="1"/>
  <c r="F31" i="21"/>
  <c r="S31" i="21" s="1"/>
  <c r="F45" i="21"/>
  <c r="F27" i="33"/>
  <c r="AA27" i="33" s="1"/>
  <c r="J13" i="33"/>
  <c r="H13" i="33"/>
  <c r="U13" i="33" s="1"/>
  <c r="F13" i="33"/>
  <c r="H29" i="33"/>
  <c r="U29" i="33"/>
  <c r="F29" i="33"/>
  <c r="S29" i="33" s="1"/>
  <c r="J31" i="33"/>
  <c r="W31" i="33"/>
  <c r="H31" i="33"/>
  <c r="F31" i="33"/>
  <c r="J45" i="33"/>
  <c r="W45" i="33" s="1"/>
  <c r="F45" i="33"/>
  <c r="AA45" i="33" s="1"/>
  <c r="J14" i="34"/>
  <c r="W14" i="34" s="1"/>
  <c r="F14" i="34"/>
  <c r="S14" i="34" s="1"/>
  <c r="H30" i="34"/>
  <c r="F30" i="34"/>
  <c r="S30" i="34" s="1"/>
  <c r="J30" i="34"/>
  <c r="H32" i="34"/>
  <c r="F32" i="34"/>
  <c r="J32" i="34"/>
  <c r="W32" i="34" s="1"/>
  <c r="H46" i="34"/>
  <c r="U46" i="34"/>
  <c r="F46" i="34"/>
  <c r="J46" i="34"/>
  <c r="H11" i="35"/>
  <c r="AB11" i="35" s="1"/>
  <c r="J11" i="35"/>
  <c r="F11" i="35"/>
  <c r="S11" i="35" s="1"/>
  <c r="J26" i="36"/>
  <c r="W26" i="36"/>
  <c r="H28" i="36"/>
  <c r="U28" i="36" s="1"/>
  <c r="H32" i="36"/>
  <c r="AB32" i="36" s="1"/>
  <c r="J11" i="36"/>
  <c r="AC11" i="36" s="1"/>
  <c r="H11" i="36"/>
  <c r="U11" i="36" s="1"/>
  <c r="F11" i="36"/>
  <c r="AA11" i="36" s="1"/>
  <c r="J13" i="36"/>
  <c r="F13" i="36"/>
  <c r="S13" i="36" s="1"/>
  <c r="E89" i="37"/>
  <c r="F89" i="37"/>
  <c r="G89" i="37" s="1"/>
  <c r="H89" i="37" s="1"/>
  <c r="I89" i="37" s="1"/>
  <c r="J89" i="37" s="1"/>
  <c r="K89" i="37" s="1"/>
  <c r="L89" i="37" s="1"/>
  <c r="M89" i="37" s="1"/>
  <c r="J29" i="37"/>
  <c r="W29" i="37" s="1"/>
  <c r="F29" i="37"/>
  <c r="F105" i="37"/>
  <c r="G105" i="37" s="1"/>
  <c r="H36" i="37"/>
  <c r="AB36" i="37"/>
  <c r="F107" i="37"/>
  <c r="J37" i="37"/>
  <c r="AC37" i="37" s="1"/>
  <c r="H37" i="37"/>
  <c r="U37" i="37"/>
  <c r="AC12" i="40"/>
  <c r="W12" i="40"/>
  <c r="H14" i="33"/>
  <c r="U14" i="33" s="1"/>
  <c r="F14" i="33"/>
  <c r="S14" i="33"/>
  <c r="J14" i="33"/>
  <c r="AB30" i="33"/>
  <c r="F30" i="33"/>
  <c r="J30" i="33"/>
  <c r="AC30" i="33" s="1"/>
  <c r="H44" i="33"/>
  <c r="J44" i="33"/>
  <c r="AC44" i="33" s="1"/>
  <c r="F44" i="33"/>
  <c r="AC46" i="33"/>
  <c r="F46" i="33"/>
  <c r="AA46" i="33" s="1"/>
  <c r="H46" i="33"/>
  <c r="H13" i="34"/>
  <c r="U13" i="34" s="1"/>
  <c r="J13" i="34"/>
  <c r="W13" i="34"/>
  <c r="F13" i="34"/>
  <c r="AA13" i="34" s="1"/>
  <c r="J29" i="34"/>
  <c r="W29" i="34" s="1"/>
  <c r="F29" i="34"/>
  <c r="AA29" i="34" s="1"/>
  <c r="S29" i="34"/>
  <c r="J31" i="34"/>
  <c r="W31" i="34" s="1"/>
  <c r="AC31" i="34"/>
  <c r="H31" i="34"/>
  <c r="F31" i="34"/>
  <c r="S31" i="34"/>
  <c r="H45" i="34"/>
  <c r="J45" i="34"/>
  <c r="W45" i="34" s="1"/>
  <c r="F45" i="34"/>
  <c r="H47" i="34"/>
  <c r="U47" i="34"/>
  <c r="F47" i="34"/>
  <c r="S47" i="34" s="1"/>
  <c r="J47" i="34"/>
  <c r="AC47" i="34" s="1"/>
  <c r="F13" i="35"/>
  <c r="AC13" i="35"/>
  <c r="H13" i="35"/>
  <c r="J25" i="35"/>
  <c r="W25" i="35" s="1"/>
  <c r="F25" i="35"/>
  <c r="S25" i="35" s="1"/>
  <c r="H25" i="35"/>
  <c r="AB25" i="35"/>
  <c r="F35" i="35"/>
  <c r="AA35" i="35"/>
  <c r="H35" i="35"/>
  <c r="F25" i="36"/>
  <c r="S25" i="36" s="1"/>
  <c r="H25" i="36"/>
  <c r="AB25" i="36" s="1"/>
  <c r="H13" i="37"/>
  <c r="AB13" i="37" s="1"/>
  <c r="F13" i="37"/>
  <c r="S13" i="37" s="1"/>
  <c r="F28" i="37"/>
  <c r="J28" i="37"/>
  <c r="W28" i="37" s="1"/>
  <c r="AC28" i="37"/>
  <c r="H28" i="37"/>
  <c r="H38" i="37"/>
  <c r="J38" i="37"/>
  <c r="AC38" i="37" s="1"/>
  <c r="F38" i="37"/>
  <c r="S38" i="37"/>
  <c r="F43" i="39"/>
  <c r="AA43" i="39" s="1"/>
  <c r="H43" i="39"/>
  <c r="F14" i="39"/>
  <c r="H14" i="39"/>
  <c r="AB14" i="39" s="1"/>
  <c r="F12" i="40"/>
  <c r="S12" i="40"/>
  <c r="H12" i="40"/>
  <c r="H30" i="40"/>
  <c r="AB30" i="40"/>
  <c r="F33" i="40"/>
  <c r="H33" i="40"/>
  <c r="U33" i="40"/>
  <c r="J35" i="40"/>
  <c r="J37" i="40"/>
  <c r="AC37" i="40"/>
  <c r="H13" i="40"/>
  <c r="J13" i="40"/>
  <c r="W13" i="40"/>
  <c r="F13" i="40"/>
  <c r="F13" i="39"/>
  <c r="J13" i="39"/>
  <c r="H13" i="39"/>
  <c r="H14" i="40"/>
  <c r="J14" i="40"/>
  <c r="W14" i="40" s="1"/>
  <c r="F14" i="40"/>
  <c r="AA14" i="40" s="1"/>
  <c r="AA14" i="33"/>
  <c r="J36" i="37"/>
  <c r="J10" i="36"/>
  <c r="AC10" i="36" s="1"/>
  <c r="AB26" i="33"/>
  <c r="S11" i="36"/>
  <c r="AB46" i="34"/>
  <c r="AA14" i="34"/>
  <c r="S44" i="34"/>
  <c r="BA585" i="3"/>
  <c r="F17" i="21"/>
  <c r="AA17" i="21" s="1"/>
  <c r="H17" i="21"/>
  <c r="AB17" i="21" s="1"/>
  <c r="F15" i="21"/>
  <c r="S15" i="21" s="1"/>
  <c r="J41" i="39"/>
  <c r="W41" i="39" s="1"/>
  <c r="W44" i="39"/>
  <c r="U36" i="39"/>
  <c r="G544" i="3"/>
  <c r="G536" i="3"/>
  <c r="G535" i="3"/>
  <c r="G531" i="3"/>
  <c r="G528" i="3"/>
  <c r="G527" i="3"/>
  <c r="G514" i="3"/>
  <c r="G508" i="3"/>
  <c r="G500" i="3"/>
  <c r="G584" i="3"/>
  <c r="G580" i="3"/>
  <c r="G576" i="3"/>
  <c r="G572" i="3"/>
  <c r="G568" i="3"/>
  <c r="G564" i="3"/>
  <c r="G560" i="3"/>
  <c r="G550" i="3"/>
  <c r="BL584" i="3"/>
  <c r="BL580" i="3"/>
  <c r="BL576" i="3"/>
  <c r="BL572" i="3"/>
  <c r="BL568" i="3"/>
  <c r="BL564" i="3"/>
  <c r="BL560" i="3"/>
  <c r="BL506" i="3"/>
  <c r="BL582" i="3"/>
  <c r="BL578" i="3"/>
  <c r="BL574" i="3"/>
  <c r="BL570" i="3"/>
  <c r="BL566" i="3"/>
  <c r="BL562" i="3"/>
  <c r="BL556" i="3"/>
  <c r="BL536" i="3"/>
  <c r="G529" i="3"/>
  <c r="G493" i="3"/>
  <c r="BA584" i="3"/>
  <c r="AZ584" i="3" s="1"/>
  <c r="BA582" i="3"/>
  <c r="BA580" i="3"/>
  <c r="AZ580" i="3" s="1"/>
  <c r="BA578" i="3"/>
  <c r="BA576" i="3"/>
  <c r="AZ576" i="3" s="1"/>
  <c r="BA574" i="3"/>
  <c r="BA572" i="3"/>
  <c r="BA570" i="3"/>
  <c r="BA568" i="3"/>
  <c r="AZ568" i="3" s="1"/>
  <c r="BA566" i="3"/>
  <c r="BA564" i="3"/>
  <c r="AZ564" i="3" s="1"/>
  <c r="BA562" i="3"/>
  <c r="BA560" i="3"/>
  <c r="AZ560" i="3" s="1"/>
  <c r="BA558" i="3"/>
  <c r="BA556" i="3"/>
  <c r="AZ556" i="3"/>
  <c r="BA526" i="3"/>
  <c r="BA587" i="3"/>
  <c r="BA583" i="3"/>
  <c r="BA581" i="3"/>
  <c r="BA579" i="3"/>
  <c r="AZ579" i="3" s="1"/>
  <c r="BA577" i="3"/>
  <c r="BA575" i="3"/>
  <c r="BA573" i="3"/>
  <c r="BA571" i="3"/>
  <c r="BA569" i="3"/>
  <c r="BA567" i="3"/>
  <c r="BA565" i="3"/>
  <c r="BA563" i="3"/>
  <c r="AZ563" i="3" s="1"/>
  <c r="BA561" i="3"/>
  <c r="BA559" i="3"/>
  <c r="BA529" i="3"/>
  <c r="AZ529" i="3" s="1"/>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AZ569" i="3" s="1"/>
  <c r="BQ567" i="3"/>
  <c r="BL567" i="3" s="1"/>
  <c r="BQ565" i="3"/>
  <c r="BL565" i="3" s="1"/>
  <c r="AZ565" i="3"/>
  <c r="BQ563" i="3"/>
  <c r="BL563" i="3" s="1"/>
  <c r="BQ561" i="3"/>
  <c r="BL561" i="3" s="1"/>
  <c r="AZ561" i="3" s="1"/>
  <c r="BQ559" i="3"/>
  <c r="BL559" i="3" s="1"/>
  <c r="AZ559" i="3" s="1"/>
  <c r="G559" i="3"/>
  <c r="G553" i="3"/>
  <c r="G545" i="3"/>
  <c r="G543" i="3"/>
  <c r="G537" i="3"/>
  <c r="BQ555" i="3"/>
  <c r="BQ553" i="3"/>
  <c r="BQ551" i="3"/>
  <c r="BQ549" i="3"/>
  <c r="BQ547" i="3"/>
  <c r="BQ545" i="3"/>
  <c r="BQ543" i="3"/>
  <c r="BQ541" i="3"/>
  <c r="BQ539" i="3"/>
  <c r="BQ537" i="3"/>
  <c r="BQ535" i="3"/>
  <c r="BQ533" i="3"/>
  <c r="BQ531" i="3"/>
  <c r="BQ529" i="3"/>
  <c r="BQ527" i="3"/>
  <c r="BQ525" i="3"/>
  <c r="BQ523" i="3"/>
  <c r="BL523" i="3" s="1"/>
  <c r="AC521" i="3"/>
  <c r="G521" i="3"/>
  <c r="BQ521" i="3"/>
  <c r="G517" i="3"/>
  <c r="G515" i="3"/>
  <c r="G513" i="3"/>
  <c r="BQ519" i="3"/>
  <c r="BQ517" i="3"/>
  <c r="BQ515" i="3"/>
  <c r="BQ513" i="3"/>
  <c r="BQ511" i="3"/>
  <c r="AC509" i="3"/>
  <c r="BQ509" i="3"/>
  <c r="G507" i="3"/>
  <c r="G501" i="3"/>
  <c r="G499" i="3"/>
  <c r="BQ507" i="3"/>
  <c r="BQ505" i="3"/>
  <c r="BQ503" i="3"/>
  <c r="BQ501" i="3"/>
  <c r="BQ499" i="3"/>
  <c r="BQ497" i="3"/>
  <c r="BQ495" i="3"/>
  <c r="BQ493" i="3"/>
  <c r="S503"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U32" i="33"/>
  <c r="AA36" i="39"/>
  <c r="F39" i="33"/>
  <c r="AA39" i="33"/>
  <c r="E123" i="33"/>
  <c r="F42" i="33"/>
  <c r="H28" i="34"/>
  <c r="AB28" i="34" s="1"/>
  <c r="F14" i="36"/>
  <c r="F22" i="36"/>
  <c r="S22" i="36" s="1"/>
  <c r="F26" i="36"/>
  <c r="H27" i="34"/>
  <c r="AB27" i="34" s="1"/>
  <c r="H35" i="34"/>
  <c r="F41" i="34"/>
  <c r="H41" i="34"/>
  <c r="J41" i="34"/>
  <c r="AC41" i="34" s="1"/>
  <c r="F10" i="35"/>
  <c r="S10" i="35" s="1"/>
  <c r="H24" i="35"/>
  <c r="H23" i="37"/>
  <c r="AB23" i="37"/>
  <c r="J32" i="37"/>
  <c r="F36" i="37"/>
  <c r="AA36" i="37"/>
  <c r="F37" i="37"/>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26" i="37"/>
  <c r="W47" i="34"/>
  <c r="AC36" i="34"/>
  <c r="AC31" i="33"/>
  <c r="AC45" i="33"/>
  <c r="W44" i="33"/>
  <c r="U19" i="21"/>
  <c r="W44" i="21"/>
  <c r="AB38" i="21"/>
  <c r="F43" i="33"/>
  <c r="AA43" i="33"/>
  <c r="W15" i="34"/>
  <c r="AC15" i="34"/>
  <c r="G107" i="37"/>
  <c r="H107" i="37"/>
  <c r="I107" i="37" s="1"/>
  <c r="J107" i="37" s="1"/>
  <c r="K107" i="37" s="1"/>
  <c r="L107" i="37" s="1"/>
  <c r="M107" i="37" s="1"/>
  <c r="H37" i="21"/>
  <c r="U37" i="21" s="1"/>
  <c r="S42" i="21"/>
  <c r="H19" i="34"/>
  <c r="AB19" i="34" s="1"/>
  <c r="F36" i="35"/>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C12" i="37"/>
  <c r="H31" i="37"/>
  <c r="U31" i="37"/>
  <c r="J15" i="37"/>
  <c r="AT6" i="3"/>
  <c r="AA25" i="21"/>
  <c r="H19" i="40"/>
  <c r="U19" i="40" s="1"/>
  <c r="F88" i="40"/>
  <c r="G88" i="40" s="1"/>
  <c r="F19" i="40"/>
  <c r="S19" i="40" s="1"/>
  <c r="S14" i="40"/>
  <c r="AC13" i="40"/>
  <c r="AB33" i="40"/>
  <c r="W23" i="39"/>
  <c r="AC43" i="39"/>
  <c r="W43" i="39"/>
  <c r="U45" i="39"/>
  <c r="AB45" i="39"/>
  <c r="AB44" i="39"/>
  <c r="U44" i="39"/>
  <c r="G100" i="39"/>
  <c r="H37" i="39"/>
  <c r="U37" i="39" s="1"/>
  <c r="AB37" i="39"/>
  <c r="AC37" i="39"/>
  <c r="W37" i="39"/>
  <c r="H25" i="39"/>
  <c r="AB25" i="39"/>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F11" i="39"/>
  <c r="G4" i="4"/>
  <c r="I4" i="4"/>
  <c r="A2" i="9"/>
  <c r="F61" i="43"/>
  <c r="H64" i="43" s="1"/>
  <c r="BL549"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G197" i="3"/>
  <c r="BA199" i="3"/>
  <c r="BL200" i="3"/>
  <c r="G201" i="3"/>
  <c r="BA203" i="3"/>
  <c r="AZ203" i="3" s="1"/>
  <c r="BL204" i="3"/>
  <c r="AZ204" i="3" s="1"/>
  <c r="AZ67" i="3"/>
  <c r="AZ168" i="3"/>
  <c r="AZ97" i="3"/>
  <c r="AZ120" i="3"/>
  <c r="G534" i="3"/>
  <c r="G512" i="3"/>
  <c r="G506" i="3"/>
  <c r="G498"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AZ146" i="3"/>
  <c r="BA16" i="3"/>
  <c r="BL303" i="3"/>
  <c r="G304" i="3"/>
  <c r="BA306" i="3"/>
  <c r="BL307" i="3"/>
  <c r="G308" i="3"/>
  <c r="BA310" i="3"/>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G375" i="3"/>
  <c r="BA377" i="3"/>
  <c r="AZ377" i="3" s="1"/>
  <c r="AZ237" i="3"/>
  <c r="BA379" i="3"/>
  <c r="AZ379" i="3" s="1"/>
  <c r="BL380" i="3"/>
  <c r="G381" i="3"/>
  <c r="BA383" i="3"/>
  <c r="AZ383" i="3" s="1"/>
  <c r="BL384" i="3"/>
  <c r="G385" i="3"/>
  <c r="BA387" i="3"/>
  <c r="BL388" i="3"/>
  <c r="G389" i="3"/>
  <c r="BA391" i="3"/>
  <c r="BL392" i="3"/>
  <c r="AZ392" i="3" s="1"/>
  <c r="G393" i="3"/>
  <c r="AZ325" i="3"/>
  <c r="G520" i="3"/>
  <c r="G17" i="3"/>
  <c r="BA17" i="3"/>
  <c r="BA15" i="3"/>
  <c r="AZ380" i="3"/>
  <c r="G509" i="3"/>
  <c r="U36" i="40"/>
  <c r="F83" i="43"/>
  <c r="H85" i="43" s="1"/>
  <c r="F50" i="43"/>
  <c r="H54" i="43" s="1"/>
  <c r="F72" i="43"/>
  <c r="H75" i="43" s="1"/>
  <c r="U17" i="39"/>
  <c r="U43" i="21"/>
  <c r="U35" i="21"/>
  <c r="AC35" i="21"/>
  <c r="W37" i="37"/>
  <c r="AC44" i="34"/>
  <c r="S15" i="37"/>
  <c r="U13" i="37"/>
  <c r="AA12" i="40"/>
  <c r="J37" i="33"/>
  <c r="W37" i="33"/>
  <c r="AC17" i="34"/>
  <c r="F106" i="33"/>
  <c r="G106" i="33" s="1"/>
  <c r="H106" i="33" s="1"/>
  <c r="I106" i="33" s="1"/>
  <c r="J106" i="33" s="1"/>
  <c r="K106" i="33" s="1"/>
  <c r="L106" i="33" s="1"/>
  <c r="M106" i="33" s="1"/>
  <c r="J34" i="33"/>
  <c r="F33" i="34"/>
  <c r="S33" i="34" s="1"/>
  <c r="AC12" i="36"/>
  <c r="H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27" i="40"/>
  <c r="J27" i="40"/>
  <c r="AC27" i="40"/>
  <c r="F27" i="40"/>
  <c r="S27" i="40" s="1"/>
  <c r="J30" i="40"/>
  <c r="AC30" i="40" s="1"/>
  <c r="F30" i="40"/>
  <c r="AA30" i="40" s="1"/>
  <c r="AC21" i="40"/>
  <c r="S31" i="39"/>
  <c r="S11" i="40"/>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71" i="3"/>
  <c r="AZ280" i="3"/>
  <c r="AZ50" i="3"/>
  <c r="AZ82" i="3"/>
  <c r="AZ110" i="3"/>
  <c r="F23" i="39"/>
  <c r="AA23" i="39"/>
  <c r="H27" i="36"/>
  <c r="U27" i="36" s="1"/>
  <c r="F27" i="36"/>
  <c r="AA27" i="36" s="1"/>
  <c r="H33" i="34"/>
  <c r="U33" i="34"/>
  <c r="F32" i="37"/>
  <c r="AA32" i="37" s="1"/>
  <c r="H96" i="37"/>
  <c r="I96" i="37" s="1"/>
  <c r="J96" i="37" s="1"/>
  <c r="K96" i="37" s="1"/>
  <c r="L96" i="37" s="1"/>
  <c r="M96" i="37" s="1"/>
  <c r="F20" i="36"/>
  <c r="AA20" i="36" s="1"/>
  <c r="J33" i="34"/>
  <c r="H23" i="39"/>
  <c r="U23" i="39" s="1"/>
  <c r="D48" i="9"/>
  <c r="M52" i="9" s="1"/>
  <c r="K9" i="1"/>
  <c r="M9" i="1" s="1"/>
  <c r="D93" i="9"/>
  <c r="AC26" i="33"/>
  <c r="W26" i="33"/>
  <c r="W27" i="34"/>
  <c r="AC27" i="34"/>
  <c r="U34" i="36"/>
  <c r="AC12" i="39"/>
  <c r="W12" i="39"/>
  <c r="AZ465" i="3"/>
  <c r="AA32" i="36"/>
  <c r="S32" i="36"/>
  <c r="BL14" i="3"/>
  <c r="U30" i="33"/>
  <c r="AC13" i="34"/>
  <c r="AA47" i="34"/>
  <c r="S19" i="39"/>
  <c r="F12" i="33"/>
  <c r="H12" i="39"/>
  <c r="AB12" i="39" s="1"/>
  <c r="BA14" i="3"/>
  <c r="AZ14" i="3" s="1"/>
  <c r="B12" i="1"/>
  <c r="E12" i="1" s="1"/>
  <c r="B10" i="1"/>
  <c r="E10" i="1" s="1"/>
  <c r="K12" i="1"/>
  <c r="M12" i="1" s="1"/>
  <c r="S13" i="1"/>
  <c r="AR13" i="1" s="1"/>
  <c r="R13" i="1"/>
  <c r="J51" i="67"/>
  <c r="AA34" i="33"/>
  <c r="B41" i="1"/>
  <c r="F48" i="9" s="1"/>
  <c r="O52" i="9" s="1"/>
  <c r="AB37" i="40"/>
  <c r="S35" i="40"/>
  <c r="AC36" i="40"/>
  <c r="AA32" i="40"/>
  <c r="S17" i="40"/>
  <c r="S23" i="40"/>
  <c r="AC17" i="40"/>
  <c r="AC15" i="40"/>
  <c r="S30" i="40"/>
  <c r="AA19" i="40"/>
  <c r="AA27"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S23" i="36"/>
  <c r="U26" i="36"/>
  <c r="S33" i="36"/>
  <c r="AA34" i="36"/>
  <c r="AC26" i="36"/>
  <c r="AA22" i="36"/>
  <c r="W14" i="36"/>
  <c r="U22" i="36"/>
  <c r="S16" i="36"/>
  <c r="AA25" i="36"/>
  <c r="S24" i="36"/>
  <c r="U24" i="36"/>
  <c r="U16" i="36"/>
  <c r="AA25" i="35"/>
  <c r="U29" i="35"/>
  <c r="U28" i="35"/>
  <c r="U32" i="35"/>
  <c r="AA33" i="35"/>
  <c r="AC30" i="35"/>
  <c r="S32" i="35"/>
  <c r="S28" i="35"/>
  <c r="AB16" i="35"/>
  <c r="S20" i="35"/>
  <c r="AC20" i="35"/>
  <c r="S22" i="35"/>
  <c r="U14" i="35"/>
  <c r="AA11" i="35"/>
  <c r="AC9" i="35"/>
  <c r="W9" i="35"/>
  <c r="AC12" i="35"/>
  <c r="W13" i="35"/>
  <c r="F9" i="35"/>
  <c r="S9" i="35" s="1"/>
  <c r="H9" i="35"/>
  <c r="U9" i="35" s="1"/>
  <c r="S25" i="37"/>
  <c r="AC29" i="37"/>
  <c r="U29" i="37"/>
  <c r="S32" i="37"/>
  <c r="AB31" i="37"/>
  <c r="S36" i="37"/>
  <c r="AA38" i="37"/>
  <c r="W38" i="37"/>
  <c r="W39" i="37"/>
  <c r="S30" i="37"/>
  <c r="J17" i="37"/>
  <c r="W17" i="37" s="1"/>
  <c r="F17" i="37"/>
  <c r="AA17" i="37" s="1"/>
  <c r="AB17" i="37"/>
  <c r="F75" i="37"/>
  <c r="F19" i="37"/>
  <c r="S19" i="37" s="1"/>
  <c r="F79" i="37"/>
  <c r="F23" i="37"/>
  <c r="S23" i="37" s="1"/>
  <c r="U23" i="37"/>
  <c r="U15" i="37"/>
  <c r="AA13" i="37"/>
  <c r="H10" i="37"/>
  <c r="AB10" i="37" s="1"/>
  <c r="F63" i="37"/>
  <c r="F11" i="37"/>
  <c r="S11" i="37" s="1"/>
  <c r="W25" i="34"/>
  <c r="AB8" i="34"/>
  <c r="U43" i="34"/>
  <c r="AC39" i="34"/>
  <c r="W41" i="34"/>
  <c r="AC42" i="34"/>
  <c r="U39" i="34"/>
  <c r="S43" i="34"/>
  <c r="AA25" i="34"/>
  <c r="U28" i="34"/>
  <c r="S17" i="34"/>
  <c r="U27" i="34"/>
  <c r="S23" i="34"/>
  <c r="U15" i="34"/>
  <c r="S13" i="34"/>
  <c r="H10" i="34"/>
  <c r="AB10" i="34" s="1"/>
  <c r="F11" i="34"/>
  <c r="S11" i="34" s="1"/>
  <c r="F70" i="34"/>
  <c r="G70" i="34" s="1"/>
  <c r="W42" i="33"/>
  <c r="AA35" i="33"/>
  <c r="S27" i="33"/>
  <c r="S32"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G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S39" i="21"/>
  <c r="AA38" i="21"/>
  <c r="AA36" i="21"/>
  <c r="AC40" i="21"/>
  <c r="J15" i="21"/>
  <c r="W15" i="21" s="1"/>
  <c r="F77" i="21"/>
  <c r="G77" i="21" s="1"/>
  <c r="F23" i="21"/>
  <c r="S23" i="21"/>
  <c r="E85" i="21"/>
  <c r="D120" i="9"/>
  <c r="C18" i="9"/>
  <c r="D18" i="9" s="1"/>
  <c r="F34" i="67"/>
  <c r="F62" i="67" s="1"/>
  <c r="M20" i="67"/>
  <c r="F34" i="15"/>
  <c r="F62" i="15"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W27" i="40"/>
  <c r="S36" i="40"/>
  <c r="W37" i="40"/>
  <c r="AC14" i="40"/>
  <c r="AA15" i="40"/>
  <c r="U1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35" i="35"/>
  <c r="W35" i="35"/>
  <c r="AA16" i="35"/>
  <c r="AA35" i="37"/>
  <c r="U36" i="37"/>
  <c r="AB37" i="37"/>
  <c r="AC34" i="37"/>
  <c r="AB35" i="37"/>
  <c r="AA31" i="37"/>
  <c r="U1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AC43" i="34"/>
  <c r="W43" i="34"/>
  <c r="W23" i="34"/>
  <c r="AC35" i="34"/>
  <c r="W35" i="34"/>
  <c r="U12" i="34"/>
  <c r="AB12" i="34"/>
  <c r="AB28" i="33"/>
  <c r="AC37" i="33"/>
  <c r="W46" i="33"/>
  <c r="S33" i="33"/>
  <c r="U44" i="33"/>
  <c r="AB44" i="33"/>
  <c r="S30" i="33"/>
  <c r="AA30" i="33"/>
  <c r="AC14" i="33"/>
  <c r="W14"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U40" i="21"/>
  <c r="U31" i="21"/>
  <c r="S35" i="21"/>
  <c r="J37" i="21"/>
  <c r="W37" i="21" s="1"/>
  <c r="H15" i="21"/>
  <c r="U15" i="21" s="1"/>
  <c r="J17" i="21"/>
  <c r="AC17" i="21" s="1"/>
  <c r="AC19" i="21"/>
  <c r="W39" i="21"/>
  <c r="AC14" i="21"/>
  <c r="H45" i="21"/>
  <c r="U45" i="21" s="1"/>
  <c r="F29" i="21"/>
  <c r="AA29" i="21" s="1"/>
  <c r="F13" i="21"/>
  <c r="AA13" i="21" s="1"/>
  <c r="AC38" i="21"/>
  <c r="H32" i="21"/>
  <c r="H9" i="21"/>
  <c r="U9" i="21" s="1"/>
  <c r="J9" i="21"/>
  <c r="J32" i="21"/>
  <c r="W32" i="21" s="1"/>
  <c r="F32" i="21"/>
  <c r="AA31" i="21"/>
  <c r="U17"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8" i="43"/>
  <c r="B62" i="43"/>
  <c r="B69" i="43"/>
  <c r="D23" i="15"/>
  <c r="D22" i="15"/>
  <c r="E4" i="4"/>
  <c r="B5" i="62" s="1"/>
  <c r="B73" i="72" s="1"/>
  <c r="C4" i="4"/>
  <c r="F30" i="11"/>
  <c r="C48" i="11" s="1"/>
  <c r="S12" i="33"/>
  <c r="AA12" i="33"/>
  <c r="J32" i="39"/>
  <c r="W32" i="39" s="1"/>
  <c r="H32" i="39"/>
  <c r="AB32" i="39" s="1"/>
  <c r="AA32" i="39"/>
  <c r="S32" i="39"/>
  <c r="AB21" i="39"/>
  <c r="U21" i="39"/>
  <c r="AA21" i="39"/>
  <c r="AC17" i="37"/>
  <c r="S17" i="37"/>
  <c r="J19" i="37"/>
  <c r="W19" i="37" s="1"/>
  <c r="G75" i="37"/>
  <c r="AA19"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J27" i="33"/>
  <c r="AC27" i="33" s="1"/>
  <c r="U25" i="33"/>
  <c r="AB25" i="33"/>
  <c r="S25" i="33"/>
  <c r="AA25"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AA23" i="21"/>
  <c r="J23" i="21"/>
  <c r="F85" i="21"/>
  <c r="G85" i="21" s="1"/>
  <c r="H23" i="21"/>
  <c r="S13" i="21"/>
  <c r="AP7" i="1"/>
  <c r="AB45" i="21"/>
  <c r="AB9"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11" i="76"/>
  <c r="M24" i="15"/>
  <c r="F36" i="15"/>
  <c r="C76" i="67"/>
  <c r="M22" i="15"/>
  <c r="F6" i="73"/>
  <c r="F4" i="73"/>
  <c r="F9" i="67"/>
  <c r="B13" i="76"/>
  <c r="D6" i="73"/>
  <c r="B7" i="76"/>
  <c r="J15" i="67"/>
  <c r="F16" i="67"/>
  <c r="B10" i="76"/>
  <c r="F7" i="73"/>
  <c r="E9" i="76"/>
  <c r="F7" i="15"/>
  <c r="M29" i="67"/>
  <c r="E13" i="76"/>
  <c r="F8" i="67"/>
  <c r="E2" i="68"/>
  <c r="E2" i="69"/>
  <c r="F37" i="15"/>
  <c r="F37" i="67"/>
  <c r="F40" i="15"/>
  <c r="B9" i="76"/>
  <c r="E11" i="76"/>
  <c r="E12" i="76"/>
  <c r="E7" i="76"/>
  <c r="J15" i="15"/>
  <c r="B8" i="76"/>
  <c r="M28" i="15"/>
  <c r="L48" i="67"/>
  <c r="F16" i="15"/>
  <c r="AO13" i="1"/>
  <c r="F3" i="73"/>
  <c r="M23" i="67"/>
  <c r="M9" i="67"/>
  <c r="B12" i="76"/>
  <c r="M8" i="15"/>
  <c r="F5" i="73"/>
  <c r="E8" i="76"/>
  <c r="M28" i="67"/>
  <c r="E10" i="76"/>
  <c r="BA13" i="3" l="1"/>
  <c r="M18" i="15"/>
  <c r="D68" i="9"/>
  <c r="F30" i="69"/>
  <c r="F48" i="69" s="1"/>
  <c r="F31" i="12"/>
  <c r="M18" i="67"/>
  <c r="C21" i="68"/>
  <c r="C40" i="68"/>
  <c r="BK5" i="3"/>
  <c r="M47" i="9"/>
  <c r="C7" i="35"/>
  <c r="C48" i="35" s="1"/>
  <c r="D48" i="35" s="1"/>
  <c r="C42" i="1"/>
  <c r="C24" i="12" s="1"/>
  <c r="C7" i="37"/>
  <c r="C52" i="37" s="1"/>
  <c r="D52" i="37" s="1"/>
  <c r="E52" i="37" s="1"/>
  <c r="F52" i="37" s="1"/>
  <c r="G52" i="37" s="1"/>
  <c r="H52" i="37" s="1"/>
  <c r="I52" i="37" s="1"/>
  <c r="J52" i="37" s="1"/>
  <c r="K52" i="37" s="1"/>
  <c r="L52" i="37" s="1"/>
  <c r="M52" i="37" s="1"/>
  <c r="N52" i="37" s="1"/>
  <c r="O52" i="37" s="1"/>
  <c r="C7" i="40"/>
  <c r="C63" i="40" s="1"/>
  <c r="C7" i="39"/>
  <c r="C67" i="39" s="1"/>
  <c r="C7" i="21"/>
  <c r="AB19" i="33"/>
  <c r="AB15" i="21"/>
  <c r="U36" i="33"/>
  <c r="AB36" i="33"/>
  <c r="AB24" i="35"/>
  <c r="U24" i="35"/>
  <c r="AZ523" i="3"/>
  <c r="AB14" i="40"/>
  <c r="U14" i="40"/>
  <c r="U13" i="40"/>
  <c r="AB13" i="40"/>
  <c r="U45" i="34"/>
  <c r="AB45" i="34"/>
  <c r="S44" i="33"/>
  <c r="AA44" i="33"/>
  <c r="AB39" i="33"/>
  <c r="U39" i="33"/>
  <c r="B97" i="43"/>
  <c r="B75" i="43"/>
  <c r="B65" i="43"/>
  <c r="AC33" i="33"/>
  <c r="W33" i="33"/>
  <c r="J24" i="35"/>
  <c r="F24" i="35"/>
  <c r="AC30" i="37"/>
  <c r="W30" i="37"/>
  <c r="BA551" i="3"/>
  <c r="AZ551" i="3" s="1"/>
  <c r="BA547" i="3"/>
  <c r="BA544" i="3"/>
  <c r="AZ544" i="3" s="1"/>
  <c r="AZ542" i="3"/>
  <c r="BL538" i="3"/>
  <c r="BL537" i="3"/>
  <c r="BA536" i="3"/>
  <c r="AZ536" i="3" s="1"/>
  <c r="BA533" i="3"/>
  <c r="AZ533" i="3" s="1"/>
  <c r="BA527" i="3"/>
  <c r="BA523" i="3"/>
  <c r="BL522" i="3"/>
  <c r="BL517" i="3"/>
  <c r="BL508" i="3"/>
  <c r="BA507" i="3"/>
  <c r="BL505" i="3"/>
  <c r="AZ505" i="3" s="1"/>
  <c r="BL498" i="3"/>
  <c r="BO5" i="3"/>
  <c r="BF5" i="3"/>
  <c r="BA498" i="3"/>
  <c r="BB5" i="3"/>
  <c r="BL497" i="3"/>
  <c r="BA497" i="3"/>
  <c r="BC5" i="3"/>
  <c r="W27" i="33"/>
  <c r="S37" i="21"/>
  <c r="B54" i="43"/>
  <c r="AC27" i="21"/>
  <c r="D121" i="9"/>
  <c r="D7" i="52" s="1"/>
  <c r="D6" i="52"/>
  <c r="AC33" i="34"/>
  <c r="W33" i="34"/>
  <c r="U27" i="40"/>
  <c r="AB27" i="40"/>
  <c r="AA37" i="37"/>
  <c r="S37" i="37"/>
  <c r="BL527" i="3"/>
  <c r="AA33" i="40"/>
  <c r="S33" i="40"/>
  <c r="U14" i="36"/>
  <c r="AB14" i="36"/>
  <c r="AB46" i="21"/>
  <c r="U46" i="21"/>
  <c r="U22" i="35"/>
  <c r="AB22" i="35"/>
  <c r="AB38" i="33"/>
  <c r="U38" i="33"/>
  <c r="W35" i="37"/>
  <c r="AC35" i="37"/>
  <c r="AZ554" i="3"/>
  <c r="BA549" i="3"/>
  <c r="AZ549" i="3" s="1"/>
  <c r="BA543" i="3"/>
  <c r="BL541" i="3"/>
  <c r="AZ541" i="3" s="1"/>
  <c r="BL532" i="3"/>
  <c r="BA532" i="3"/>
  <c r="AZ530" i="3"/>
  <c r="BA522" i="3"/>
  <c r="AZ522" i="3" s="1"/>
  <c r="BA521" i="3"/>
  <c r="AZ521" i="3" s="1"/>
  <c r="BA519" i="3"/>
  <c r="BA515" i="3"/>
  <c r="BL504" i="3"/>
  <c r="BA504" i="3"/>
  <c r="AZ504" i="3" s="1"/>
  <c r="BT5" i="3"/>
  <c r="G28" i="6" s="1"/>
  <c r="BA499" i="3"/>
  <c r="AZ499" i="3" s="1"/>
  <c r="BS5" i="3"/>
  <c r="BL495" i="3"/>
  <c r="BG5" i="3"/>
  <c r="S46" i="21"/>
  <c r="U14" i="39"/>
  <c r="S39" i="39"/>
  <c r="AA39" i="39"/>
  <c r="S40" i="34"/>
  <c r="AA40" i="34"/>
  <c r="AC5" i="3"/>
  <c r="AB21" i="40"/>
  <c r="U21" i="40"/>
  <c r="S36" i="35"/>
  <c r="AA36" i="35"/>
  <c r="U41" i="34"/>
  <c r="AB41" i="34"/>
  <c r="S26" i="36"/>
  <c r="AA26" i="36"/>
  <c r="AA42" i="33"/>
  <c r="S42" i="33"/>
  <c r="BL543" i="3"/>
  <c r="W36" i="37"/>
  <c r="AC36" i="37"/>
  <c r="W35" i="40"/>
  <c r="AC35" i="40"/>
  <c r="AB38" i="37"/>
  <c r="U38" i="37"/>
  <c r="AA28" i="37"/>
  <c r="S28" i="37"/>
  <c r="AA29" i="37"/>
  <c r="S29" i="37"/>
  <c r="S14" i="21"/>
  <c r="AA14" i="21"/>
  <c r="U28" i="40"/>
  <c r="AB28" i="40"/>
  <c r="W28" i="34"/>
  <c r="AC28" i="34"/>
  <c r="AA28" i="34"/>
  <c r="S28" i="34"/>
  <c r="S43" i="21"/>
  <c r="AA43" i="21"/>
  <c r="U27" i="35"/>
  <c r="AB27" i="35"/>
  <c r="H27" i="37"/>
  <c r="F27" i="37"/>
  <c r="J39" i="40"/>
  <c r="H39" i="40"/>
  <c r="F39" i="40"/>
  <c r="BL555" i="3"/>
  <c r="BL548" i="3"/>
  <c r="BA548" i="3"/>
  <c r="AZ548" i="3" s="1"/>
  <c r="AZ538" i="3"/>
  <c r="BL524" i="3"/>
  <c r="BA524" i="3"/>
  <c r="BL518" i="3"/>
  <c r="BA518" i="3"/>
  <c r="AZ518" i="3" s="1"/>
  <c r="AZ506" i="3"/>
  <c r="BN5" i="3"/>
  <c r="BL496" i="3"/>
  <c r="BR5" i="3"/>
  <c r="BA495" i="3"/>
  <c r="BM5" i="3"/>
  <c r="F29" i="6" s="1"/>
  <c r="BL494" i="3"/>
  <c r="BD5" i="3"/>
  <c r="BA494" i="3"/>
  <c r="AZ494" i="3" s="1"/>
  <c r="AA19" i="21"/>
  <c r="S19" i="21"/>
  <c r="AB36" i="35"/>
  <c r="U36" i="35"/>
  <c r="U13" i="36"/>
  <c r="AB13" i="36"/>
  <c r="W13" i="37"/>
  <c r="AC13" i="37"/>
  <c r="F40" i="37"/>
  <c r="H40" i="37"/>
  <c r="J40" i="37"/>
  <c r="AC38" i="40"/>
  <c r="W38" i="40"/>
  <c r="BL540" i="3"/>
  <c r="AZ540" i="3" s="1"/>
  <c r="BA537" i="3"/>
  <c r="AZ537" i="3" s="1"/>
  <c r="BA535" i="3"/>
  <c r="BA528" i="3"/>
  <c r="AZ528" i="3" s="1"/>
  <c r="BL526" i="3"/>
  <c r="AZ526" i="3" s="1"/>
  <c r="BA525" i="3"/>
  <c r="AZ525" i="3" s="1"/>
  <c r="BL520" i="3"/>
  <c r="AZ520" i="3" s="1"/>
  <c r="BL516" i="3"/>
  <c r="AZ516" i="3" s="1"/>
  <c r="BA514" i="3"/>
  <c r="AZ514" i="3" s="1"/>
  <c r="BA513" i="3"/>
  <c r="AZ513" i="3" s="1"/>
  <c r="BL512" i="3"/>
  <c r="AZ512" i="3" s="1"/>
  <c r="BA511" i="3"/>
  <c r="BA510" i="3"/>
  <c r="AZ510" i="3" s="1"/>
  <c r="BA509" i="3"/>
  <c r="AZ509" i="3" s="1"/>
  <c r="BA508" i="3"/>
  <c r="AZ508" i="3" s="1"/>
  <c r="BA503" i="3"/>
  <c r="BL502" i="3"/>
  <c r="AZ502" i="3" s="1"/>
  <c r="BA502" i="3"/>
  <c r="BJ5" i="3"/>
  <c r="BI5" i="3"/>
  <c r="BA496" i="3"/>
  <c r="AZ496" i="3" s="1"/>
  <c r="BE5" i="3"/>
  <c r="H5" i="3"/>
  <c r="G494" i="3"/>
  <c r="BL493" i="3"/>
  <c r="BP5" i="3"/>
  <c r="W25" i="33"/>
  <c r="AB34" i="33"/>
  <c r="U14" i="34"/>
  <c r="U20" i="36"/>
  <c r="AB20" i="36"/>
  <c r="S11" i="39"/>
  <c r="AA11" i="39"/>
  <c r="AC32" i="37"/>
  <c r="W32" i="37"/>
  <c r="BL519" i="3"/>
  <c r="AZ519" i="3" s="1"/>
  <c r="BA493" i="3"/>
  <c r="AZ493" i="3" s="1"/>
  <c r="AZ571" i="3"/>
  <c r="J27" i="37"/>
  <c r="AA13" i="40"/>
  <c r="S13" i="40"/>
  <c r="U12" i="40"/>
  <c r="AB12" i="40"/>
  <c r="W11" i="35"/>
  <c r="AC11" i="35"/>
  <c r="AB32" i="34"/>
  <c r="U32" i="34"/>
  <c r="U45" i="33"/>
  <c r="AA13" i="33"/>
  <c r="S13" i="33"/>
  <c r="AA45" i="21"/>
  <c r="S45" i="21"/>
  <c r="AC11" i="40"/>
  <c r="W11" i="40"/>
  <c r="U35" i="34"/>
  <c r="AB35" i="34"/>
  <c r="AA14" i="36"/>
  <c r="S14" i="36"/>
  <c r="BL503" i="3"/>
  <c r="BL547" i="3"/>
  <c r="AZ547" i="3" s="1"/>
  <c r="BL553" i="3"/>
  <c r="AZ553" i="3" s="1"/>
  <c r="AZ572" i="3"/>
  <c r="W13" i="39"/>
  <c r="AC13" i="39"/>
  <c r="U13" i="35"/>
  <c r="AB13" i="35"/>
  <c r="S45" i="34"/>
  <c r="AA45" i="34"/>
  <c r="S35" i="39"/>
  <c r="AA35" i="39"/>
  <c r="AC9" i="34"/>
  <c r="W9" i="34"/>
  <c r="AB34" i="34"/>
  <c r="U34" i="34"/>
  <c r="AC24" i="36"/>
  <c r="W24" i="36"/>
  <c r="J31" i="40"/>
  <c r="F31" i="40"/>
  <c r="AA23" i="37"/>
  <c r="F28" i="15"/>
  <c r="F32" i="67"/>
  <c r="F60" i="67" s="1"/>
  <c r="F28" i="67"/>
  <c r="C28" i="67" s="1"/>
  <c r="U32" i="37"/>
  <c r="U12" i="39"/>
  <c r="U35" i="40"/>
  <c r="W34" i="33"/>
  <c r="AC34" i="33"/>
  <c r="AZ387" i="3"/>
  <c r="AZ338" i="3"/>
  <c r="AZ310" i="3"/>
  <c r="AZ376" i="3"/>
  <c r="W15" i="37"/>
  <c r="AC15" i="37"/>
  <c r="BL511" i="3"/>
  <c r="AZ511" i="3" s="1"/>
  <c r="BL531" i="3"/>
  <c r="AZ531" i="3" s="1"/>
  <c r="H30" i="21"/>
  <c r="J30" i="21"/>
  <c r="J33" i="36"/>
  <c r="AC33" i="36" s="1"/>
  <c r="H33" i="36"/>
  <c r="AB31" i="36"/>
  <c r="U31" i="36"/>
  <c r="AB9" i="39"/>
  <c r="U9" i="39"/>
  <c r="F54" i="9"/>
  <c r="F32" i="15"/>
  <c r="F60" i="15" s="1"/>
  <c r="F52" i="9"/>
  <c r="F30" i="68"/>
  <c r="F48" i="68" s="1"/>
  <c r="AC15" i="21"/>
  <c r="AA33" i="34"/>
  <c r="AZ322" i="3"/>
  <c r="AZ389" i="3"/>
  <c r="AZ342" i="3"/>
  <c r="AZ337" i="3"/>
  <c r="W11" i="39"/>
  <c r="AC11" i="39"/>
  <c r="AA15" i="39"/>
  <c r="S15" i="39"/>
  <c r="BL515" i="3"/>
  <c r="AZ515" i="3" s="1"/>
  <c r="BL539" i="3"/>
  <c r="AZ539" i="3" s="1"/>
  <c r="AZ570" i="3"/>
  <c r="AB46" i="33"/>
  <c r="U46" i="33"/>
  <c r="AB11" i="33"/>
  <c r="U11" i="33"/>
  <c r="BA586" i="3"/>
  <c r="H28" i="21"/>
  <c r="J28" i="21"/>
  <c r="J12" i="33"/>
  <c r="H12" i="33"/>
  <c r="U12" i="33" s="1"/>
  <c r="F14" i="37"/>
  <c r="J14" i="37"/>
  <c r="H14" i="37"/>
  <c r="AB14" i="37" s="1"/>
  <c r="AA34" i="39"/>
  <c r="S34" i="39"/>
  <c r="AC16" i="35"/>
  <c r="AA14" i="35"/>
  <c r="AA21" i="40"/>
  <c r="AB39" i="37"/>
  <c r="H13" i="21"/>
  <c r="J29" i="21"/>
  <c r="F9" i="34"/>
  <c r="AA9" i="34" s="1"/>
  <c r="H9" i="34"/>
  <c r="H12" i="35"/>
  <c r="J23" i="35"/>
  <c r="H23" i="35"/>
  <c r="AZ419" i="3"/>
  <c r="C64" i="71"/>
  <c r="D63" i="71"/>
  <c r="Y26" i="71"/>
  <c r="Z26" i="71" s="1"/>
  <c r="Y25" i="71"/>
  <c r="Z25" i="71" s="1"/>
  <c r="BL585" i="3"/>
  <c r="AZ585" i="3" s="1"/>
  <c r="H23" i="36"/>
  <c r="J23" i="36"/>
  <c r="F38" i="40"/>
  <c r="H38" i="40"/>
  <c r="AZ448" i="3"/>
  <c r="AZ458" i="3"/>
  <c r="BL399" i="3"/>
  <c r="G410" i="3"/>
  <c r="BL419" i="3"/>
  <c r="G445" i="3"/>
  <c r="BA451" i="3"/>
  <c r="AZ451" i="3" s="1"/>
  <c r="BL469" i="3"/>
  <c r="AZ469" i="3" s="1"/>
  <c r="BL479" i="3"/>
  <c r="BA319" i="3"/>
  <c r="AZ319" i="3" s="1"/>
  <c r="AA29" i="33"/>
  <c r="S28" i="40"/>
  <c r="AZ391" i="3"/>
  <c r="AZ318" i="3"/>
  <c r="AZ364" i="3"/>
  <c r="AZ346" i="3"/>
  <c r="AZ329" i="3"/>
  <c r="AZ304" i="3"/>
  <c r="AZ306" i="3"/>
  <c r="BL535" i="3"/>
  <c r="AZ535" i="3" s="1"/>
  <c r="AZ577" i="3"/>
  <c r="AZ557" i="3"/>
  <c r="AZ575" i="3"/>
  <c r="AZ566" i="3"/>
  <c r="AZ574" i="3"/>
  <c r="AZ582" i="3"/>
  <c r="S45" i="33"/>
  <c r="J32" i="36"/>
  <c r="W32" i="36" s="1"/>
  <c r="AC38" i="34"/>
  <c r="U40" i="33"/>
  <c r="F23" i="35"/>
  <c r="S27" i="35"/>
  <c r="U34" i="35"/>
  <c r="W31" i="37"/>
  <c r="G585" i="3"/>
  <c r="BL587" i="3"/>
  <c r="AZ587" i="3" s="1"/>
  <c r="BL586" i="3"/>
  <c r="J12" i="34"/>
  <c r="F12" i="34"/>
  <c r="S12" i="34" s="1"/>
  <c r="J9" i="36"/>
  <c r="G556" i="3"/>
  <c r="BL423" i="3"/>
  <c r="BL433" i="3"/>
  <c r="G438" i="3"/>
  <c r="G449" i="3"/>
  <c r="AZ480" i="3"/>
  <c r="BL316"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33" i="3"/>
  <c r="BL346" i="3"/>
  <c r="G358" i="3"/>
  <c r="BA368" i="3"/>
  <c r="BL368" i="3"/>
  <c r="BA374" i="3"/>
  <c r="AZ374" i="3" s="1"/>
  <c r="BA384" i="3"/>
  <c r="AZ384" i="3" s="1"/>
  <c r="G213" i="3"/>
  <c r="BL216" i="3"/>
  <c r="G551" i="3"/>
  <c r="BL550" i="3"/>
  <c r="AZ550" i="3" s="1"/>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BA435" i="3"/>
  <c r="AZ435" i="3" s="1"/>
  <c r="BL437" i="3"/>
  <c r="AZ437" i="3" s="1"/>
  <c r="BL441" i="3"/>
  <c r="BL442" i="3"/>
  <c r="BL444" i="3"/>
  <c r="AZ444" i="3" s="1"/>
  <c r="G446" i="3"/>
  <c r="G447" i="3"/>
  <c r="BL448" i="3"/>
  <c r="G450" i="3"/>
  <c r="G451" i="3"/>
  <c r="BA454" i="3"/>
  <c r="AZ454" i="3" s="1"/>
  <c r="BA457" i="3"/>
  <c r="AZ457" i="3" s="1"/>
  <c r="BA459" i="3"/>
  <c r="AZ459" i="3" s="1"/>
  <c r="BA460" i="3"/>
  <c r="AZ460" i="3" s="1"/>
  <c r="BA461" i="3"/>
  <c r="BL464" i="3"/>
  <c r="BL466" i="3"/>
  <c r="AZ466" i="3" s="1"/>
  <c r="BL476" i="3"/>
  <c r="AZ476" i="3" s="1"/>
  <c r="BL477" i="3"/>
  <c r="BL478" i="3"/>
  <c r="BL480" i="3"/>
  <c r="BA483" i="3"/>
  <c r="BL483" i="3"/>
  <c r="BA486" i="3"/>
  <c r="BL489" i="3"/>
  <c r="BL491" i="3"/>
  <c r="AZ491" i="3" s="1"/>
  <c r="BL492" i="3"/>
  <c r="BA315" i="3"/>
  <c r="AZ315" i="3" s="1"/>
  <c r="BL381" i="3"/>
  <c r="AZ381" i="3" s="1"/>
  <c r="BL386" i="3"/>
  <c r="BL16" i="3"/>
  <c r="AZ16" i="3" s="1"/>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31" i="3"/>
  <c r="AZ331" i="3" s="1"/>
  <c r="BL350" i="3"/>
  <c r="BA353" i="3"/>
  <c r="BL353" i="3"/>
  <c r="G215" i="3"/>
  <c r="BA303" i="3"/>
  <c r="AZ303" i="3" s="1"/>
  <c r="BA307" i="3"/>
  <c r="AZ307" i="3" s="1"/>
  <c r="G311" i="3"/>
  <c r="BL314" i="3"/>
  <c r="AZ314" i="3" s="1"/>
  <c r="G315" i="3"/>
  <c r="BA332" i="3"/>
  <c r="BL332" i="3"/>
  <c r="G339" i="3"/>
  <c r="G364" i="3"/>
  <c r="BA367" i="3"/>
  <c r="AZ367" i="3" s="1"/>
  <c r="BA370" i="3"/>
  <c r="AZ370" i="3" s="1"/>
  <c r="BA386" i="3"/>
  <c r="AZ386" i="3" s="1"/>
  <c r="G397" i="3"/>
  <c r="G210" i="3"/>
  <c r="BA216" i="3"/>
  <c r="BA220" i="3"/>
  <c r="BA221" i="3"/>
  <c r="BA223" i="3"/>
  <c r="AZ223" i="3" s="1"/>
  <c r="BA226" i="3"/>
  <c r="BA229" i="3"/>
  <c r="AZ229" i="3" s="1"/>
  <c r="BL229" i="3"/>
  <c r="BA233" i="3"/>
  <c r="AZ233" i="3" s="1"/>
  <c r="BL234" i="3"/>
  <c r="BA240" i="3"/>
  <c r="AZ240" i="3" s="1"/>
  <c r="BA242" i="3"/>
  <c r="AZ242" i="3" s="1"/>
  <c r="BL252" i="3"/>
  <c r="G254" i="3"/>
  <c r="BA260" i="3"/>
  <c r="BA262" i="3"/>
  <c r="AZ262" i="3" s="1"/>
  <c r="BA270" i="3"/>
  <c r="G273" i="3"/>
  <c r="BA274" i="3"/>
  <c r="AZ274" i="3" s="1"/>
  <c r="BL274" i="3"/>
  <c r="BA279" i="3"/>
  <c r="G292" i="3"/>
  <c r="BA294" i="3"/>
  <c r="AZ294" i="3" s="1"/>
  <c r="BL301" i="3"/>
  <c r="AZ301" i="3" s="1"/>
  <c r="BL302" i="3"/>
  <c r="BA114" i="3"/>
  <c r="BL122" i="3"/>
  <c r="BL123" i="3"/>
  <c r="AZ123" i="3" s="1"/>
  <c r="BL139" i="3"/>
  <c r="AZ139" i="3" s="1"/>
  <c r="G140" i="3"/>
  <c r="BL141" i="3"/>
  <c r="BL143" i="3"/>
  <c r="AZ143" i="3" s="1"/>
  <c r="G146" i="3"/>
  <c r="G167" i="3"/>
  <c r="BL186" i="3"/>
  <c r="G195" i="3"/>
  <c r="BA196" i="3"/>
  <c r="AZ196" i="3" s="1"/>
  <c r="G203" i="3"/>
  <c r="BA205" i="3"/>
  <c r="AZ205" i="3" s="1"/>
  <c r="BA18" i="3"/>
  <c r="G21" i="3"/>
  <c r="BL21" i="3"/>
  <c r="AZ21" i="3" s="1"/>
  <c r="G31" i="3"/>
  <c r="G41" i="3"/>
  <c r="T32" i="71"/>
  <c r="D32" i="71"/>
  <c r="X33" i="71"/>
  <c r="X34" i="71"/>
  <c r="X26" i="71"/>
  <c r="X36" i="71"/>
  <c r="X35" i="71"/>
  <c r="AB37" i="71"/>
  <c r="AB35" i="71"/>
  <c r="F38" i="71"/>
  <c r="F39" i="71" s="1"/>
  <c r="F40" i="71" s="1"/>
  <c r="V40" i="71" s="1"/>
  <c r="AB32" i="71"/>
  <c r="AB27" i="71"/>
  <c r="C47" i="71"/>
  <c r="D47" i="71" s="1"/>
  <c r="D46" i="71"/>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G217" i="3"/>
  <c r="BL217" i="3"/>
  <c r="AZ217" i="3" s="1"/>
  <c r="BA219" i="3"/>
  <c r="AZ219" i="3" s="1"/>
  <c r="BA222" i="3"/>
  <c r="AZ222" i="3" s="1"/>
  <c r="BA224" i="3"/>
  <c r="AZ224" i="3" s="1"/>
  <c r="BA227" i="3"/>
  <c r="AZ227" i="3" s="1"/>
  <c r="BA231" i="3"/>
  <c r="BL232" i="3"/>
  <c r="BA238" i="3"/>
  <c r="AZ238" i="3" s="1"/>
  <c r="BA245" i="3"/>
  <c r="AZ245" i="3" s="1"/>
  <c r="BL248" i="3"/>
  <c r="AZ248" i="3" s="1"/>
  <c r="G250" i="3"/>
  <c r="BL250" i="3"/>
  <c r="AZ250" i="3" s="1"/>
  <c r="G252" i="3"/>
  <c r="BA257" i="3"/>
  <c r="AZ257" i="3" s="1"/>
  <c r="BA259" i="3"/>
  <c r="AZ259" i="3" s="1"/>
  <c r="BA265" i="3"/>
  <c r="AZ265" i="3" s="1"/>
  <c r="BA267" i="3"/>
  <c r="AZ267" i="3" s="1"/>
  <c r="BA269" i="3"/>
  <c r="AZ269" i="3" s="1"/>
  <c r="BL272" i="3"/>
  <c r="BL289" i="3"/>
  <c r="G290" i="3"/>
  <c r="BA126" i="3"/>
  <c r="BA134" i="3"/>
  <c r="BL154" i="3"/>
  <c r="G156" i="3"/>
  <c r="BL157" i="3"/>
  <c r="AZ157" i="3" s="1"/>
  <c r="BL159" i="3"/>
  <c r="AZ159" i="3" s="1"/>
  <c r="G160" i="3"/>
  <c r="BL166" i="3"/>
  <c r="BL177" i="3"/>
  <c r="G179" i="3"/>
  <c r="BL183" i="3"/>
  <c r="AZ183" i="3" s="1"/>
  <c r="BA186" i="3"/>
  <c r="AZ186" i="3" s="1"/>
  <c r="BA190" i="3"/>
  <c r="BA207" i="3"/>
  <c r="G29" i="3"/>
  <c r="BL29" i="3"/>
  <c r="AZ29" i="3" s="1"/>
  <c r="BL35" i="3"/>
  <c r="BA37" i="3"/>
  <c r="G39" i="3"/>
  <c r="BL39" i="3"/>
  <c r="AZ39" i="3" s="1"/>
  <c r="BA47" i="3"/>
  <c r="AZ47" i="3" s="1"/>
  <c r="C51" i="71"/>
  <c r="BA388" i="3"/>
  <c r="AZ388" i="3" s="1"/>
  <c r="BA396" i="3"/>
  <c r="BA209" i="3"/>
  <c r="G228" i="3"/>
  <c r="BL228" i="3"/>
  <c r="AZ228" i="3" s="1"/>
  <c r="BA230" i="3"/>
  <c r="AZ230" i="3" s="1"/>
  <c r="BA236" i="3"/>
  <c r="BA243" i="3"/>
  <c r="BA255" i="3"/>
  <c r="BA263" i="3"/>
  <c r="BA276" i="3"/>
  <c r="BA283" i="3"/>
  <c r="AZ283" i="3" s="1"/>
  <c r="G286" i="3"/>
  <c r="BL286" i="3"/>
  <c r="AZ286" i="3" s="1"/>
  <c r="G289" i="3"/>
  <c r="G295" i="3"/>
  <c r="BA296" i="3"/>
  <c r="BA116" i="3"/>
  <c r="AZ116" i="3" s="1"/>
  <c r="BA121" i="3"/>
  <c r="BL121" i="3"/>
  <c r="BA125" i="3"/>
  <c r="AZ125" i="3" s="1"/>
  <c r="G128" i="3"/>
  <c r="BA129" i="3"/>
  <c r="BL133" i="3"/>
  <c r="AZ133" i="3" s="1"/>
  <c r="G150" i="3"/>
  <c r="G154" i="3"/>
  <c r="BL163" i="3"/>
  <c r="AZ163" i="3" s="1"/>
  <c r="G170" i="3"/>
  <c r="AZ177" i="3"/>
  <c r="BA189" i="3"/>
  <c r="BL24" i="3"/>
  <c r="BL34" i="3"/>
  <c r="AZ38" i="3"/>
  <c r="BL44" i="3"/>
  <c r="BA45" i="3"/>
  <c r="BA46" i="3"/>
  <c r="AZ70" i="3"/>
  <c r="W25" i="40"/>
  <c r="AC25" i="40"/>
  <c r="C55" i="71"/>
  <c r="D54" i="71"/>
  <c r="G50" i="3"/>
  <c r="G52" i="3"/>
  <c r="BA52" i="3"/>
  <c r="AZ52" i="3" s="1"/>
  <c r="BA53" i="3"/>
  <c r="AZ53" i="3" s="1"/>
  <c r="BA54" i="3"/>
  <c r="BL57" i="3"/>
  <c r="AZ57" i="3" s="1"/>
  <c r="G67" i="3"/>
  <c r="BL68" i="3"/>
  <c r="BA69" i="3"/>
  <c r="BA73" i="3"/>
  <c r="G81" i="3"/>
  <c r="BL85" i="3"/>
  <c r="BA86" i="3"/>
  <c r="BA104" i="3"/>
  <c r="AB25" i="71"/>
  <c r="AB28" i="71"/>
  <c r="AB26" i="71"/>
  <c r="Y30" i="71"/>
  <c r="Z30" i="71" s="1"/>
  <c r="C34" i="71"/>
  <c r="Y28" i="71"/>
  <c r="Z28" i="71" s="1"/>
  <c r="C23" i="71"/>
  <c r="B22" i="71"/>
  <c r="B21" i="71" s="1"/>
  <c r="B20" i="71" s="1"/>
  <c r="AA3" i="71"/>
  <c r="BL235" i="3"/>
  <c r="AZ235" i="3" s="1"/>
  <c r="BL236" i="3"/>
  <c r="BL238" i="3"/>
  <c r="BL243" i="3"/>
  <c r="BA247" i="3"/>
  <c r="AZ247" i="3" s="1"/>
  <c r="BL247" i="3"/>
  <c r="BA249" i="3"/>
  <c r="BL249" i="3"/>
  <c r="BA251" i="3"/>
  <c r="AZ251" i="3" s="1"/>
  <c r="BL251" i="3"/>
  <c r="BA253" i="3"/>
  <c r="BL260" i="3"/>
  <c r="BL263" i="3"/>
  <c r="BL270" i="3"/>
  <c r="BA272" i="3"/>
  <c r="AZ272" i="3" s="1"/>
  <c r="BL275" i="3"/>
  <c r="AZ275" i="3" s="1"/>
  <c r="BL285" i="3"/>
  <c r="BL287" i="3"/>
  <c r="BA290" i="3"/>
  <c r="BL299" i="3"/>
  <c r="BL113" i="3"/>
  <c r="BL115" i="3"/>
  <c r="AZ115" i="3" s="1"/>
  <c r="BA118" i="3"/>
  <c r="BL118" i="3"/>
  <c r="BA122" i="3"/>
  <c r="AZ122" i="3" s="1"/>
  <c r="BL125" i="3"/>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BA68" i="3"/>
  <c r="BL74" i="3"/>
  <c r="AZ74" i="3" s="1"/>
  <c r="BL75" i="3"/>
  <c r="BA80" i="3"/>
  <c r="BL84" i="3"/>
  <c r="G103" i="3"/>
  <c r="BA103" i="3"/>
  <c r="AZ103" i="3" s="1"/>
  <c r="B13" i="1"/>
  <c r="E13" i="1" s="1"/>
  <c r="K13" i="1"/>
  <c r="M13" i="1" s="1"/>
  <c r="O13" i="1" s="1"/>
  <c r="P13" i="1" s="1"/>
  <c r="F40" i="69"/>
  <c r="C40" i="69"/>
  <c r="U21" i="33"/>
  <c r="AB21" i="33"/>
  <c r="T44" i="71"/>
  <c r="P65" i="71"/>
  <c r="P66" i="71"/>
  <c r="F28" i="71"/>
  <c r="F27" i="71" s="1"/>
  <c r="F26" i="71" s="1"/>
  <c r="T40" i="71"/>
  <c r="D40" i="71"/>
  <c r="E59" i="71"/>
  <c r="E60" i="71" s="1"/>
  <c r="U60" i="71" s="1"/>
  <c r="T76" i="71"/>
  <c r="D76" i="71"/>
  <c r="C75" i="71"/>
  <c r="BL225" i="3"/>
  <c r="BL226" i="3"/>
  <c r="G227"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69" i="3"/>
  <c r="G70" i="3"/>
  <c r="BL70" i="3"/>
  <c r="BL71" i="3"/>
  <c r="BL72" i="3"/>
  <c r="AZ72" i="3" s="1"/>
  <c r="G74" i="3"/>
  <c r="BA75" i="3"/>
  <c r="AZ75" i="3" s="1"/>
  <c r="BL86" i="3"/>
  <c r="G87" i="3"/>
  <c r="BA91" i="3"/>
  <c r="AZ91" i="3" s="1"/>
  <c r="BL93" i="3"/>
  <c r="G95" i="3"/>
  <c r="G96" i="3"/>
  <c r="G106" i="3"/>
  <c r="BL106" i="3"/>
  <c r="BA108" i="3"/>
  <c r="AZ108" i="3" s="1"/>
  <c r="BL111" i="3"/>
  <c r="W21" i="37"/>
  <c r="AC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0"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M7" i="15"/>
  <c r="F50" i="15"/>
  <c r="Q71" i="67"/>
  <c r="F64" i="15"/>
  <c r="F65" i="15"/>
  <c r="B13" i="70"/>
  <c r="F68" i="15"/>
  <c r="D9" i="69"/>
  <c r="C36" i="69"/>
  <c r="C36" i="68"/>
  <c r="F42" i="15"/>
  <c r="M8" i="67"/>
  <c r="F43" i="15"/>
  <c r="F8" i="15"/>
  <c r="F40" i="67"/>
  <c r="L47" i="67"/>
  <c r="D3" i="73"/>
  <c r="M23" i="15"/>
  <c r="F6" i="15"/>
  <c r="F9" i="15"/>
  <c r="D9" i="68"/>
  <c r="F38" i="15"/>
  <c r="M24" i="67"/>
  <c r="F43" i="67"/>
  <c r="C76" i="15"/>
  <c r="F7" i="67"/>
  <c r="M6" i="67"/>
  <c r="M26" i="67"/>
  <c r="D4" i="73"/>
  <c r="F13" i="15"/>
  <c r="D7" i="73"/>
  <c r="C16" i="15"/>
  <c r="L48" i="15"/>
  <c r="F26" i="67"/>
  <c r="M9" i="15"/>
  <c r="F42" i="67"/>
  <c r="D5" i="73"/>
  <c r="F26" i="15"/>
  <c r="M22" i="67"/>
  <c r="M29" i="15"/>
  <c r="M26" i="15"/>
  <c r="F36" i="67"/>
  <c r="L47" i="15"/>
  <c r="M6" i="15"/>
  <c r="F13" i="67"/>
  <c r="F38" i="67"/>
  <c r="F6" i="67"/>
  <c r="J26" i="43" l="1"/>
  <c r="E14" i="6"/>
  <c r="F26" i="43"/>
  <c r="N94" i="46"/>
  <c r="H26" i="43"/>
  <c r="N370" i="46"/>
  <c r="E26" i="43"/>
  <c r="E63" i="39"/>
  <c r="E59" i="40"/>
  <c r="E28" i="6"/>
  <c r="K14" i="1" s="1"/>
  <c r="E11" i="6"/>
  <c r="E60" i="39" s="1"/>
  <c r="E15" i="6"/>
  <c r="E64" i="39" s="1"/>
  <c r="E13" i="6"/>
  <c r="E12" i="6"/>
  <c r="E57" i="40" s="1"/>
  <c r="H16" i="1"/>
  <c r="C6" i="15"/>
  <c r="C32" i="15" s="1"/>
  <c r="F31" i="15"/>
  <c r="F66" i="67"/>
  <c r="F50" i="67"/>
  <c r="F59" i="67" s="1"/>
  <c r="M7" i="67"/>
  <c r="J6" i="67" s="1"/>
  <c r="J18" i="67" s="1"/>
  <c r="Q71" i="15"/>
  <c r="C27" i="15"/>
  <c r="J57" i="15"/>
  <c r="J55" i="15" s="1"/>
  <c r="J58" i="15" s="1"/>
  <c r="Q50" i="15" s="1"/>
  <c r="I54" i="15"/>
  <c r="J53" i="15"/>
  <c r="L56" i="15" s="1"/>
  <c r="C6" i="67"/>
  <c r="C32" i="67" s="1"/>
  <c r="F31" i="67"/>
  <c r="C27" i="67"/>
  <c r="F68" i="67"/>
  <c r="L59" i="15"/>
  <c r="Q61" i="15" s="1"/>
  <c r="L58" i="15"/>
  <c r="Q60" i="15" s="1"/>
  <c r="N59" i="15"/>
  <c r="M59" i="15"/>
  <c r="F71" i="15"/>
  <c r="F66" i="15"/>
  <c r="F51" i="15"/>
  <c r="C49" i="15" s="1"/>
  <c r="F71" i="67"/>
  <c r="L58" i="67"/>
  <c r="Q60" i="67" s="1"/>
  <c r="M59" i="67"/>
  <c r="N59" i="67"/>
  <c r="L59" i="67"/>
  <c r="Q74" i="67" s="1"/>
  <c r="F64" i="67"/>
  <c r="G16" i="1"/>
  <c r="F10" i="39" s="1"/>
  <c r="S10" i="39" s="1"/>
  <c r="AZ59" i="3"/>
  <c r="AZ166" i="3"/>
  <c r="D34" i="71"/>
  <c r="C35" i="71"/>
  <c r="C56" i="71"/>
  <c r="D55" i="71"/>
  <c r="AZ243" i="3"/>
  <c r="C52" i="71"/>
  <c r="D51" i="71"/>
  <c r="AZ397" i="3"/>
  <c r="AZ216" i="3"/>
  <c r="AZ368" i="3"/>
  <c r="AA23" i="35"/>
  <c r="S23" i="35"/>
  <c r="AB38" i="40"/>
  <c r="U38" i="40"/>
  <c r="U23" i="35"/>
  <c r="AB23" i="35"/>
  <c r="AZ586" i="3"/>
  <c r="U30" i="21"/>
  <c r="AB30" i="21"/>
  <c r="S27" i="37"/>
  <c r="AA27" i="37"/>
  <c r="AZ497" i="3"/>
  <c r="AZ61" i="3"/>
  <c r="AZ277" i="3"/>
  <c r="AZ256" i="3"/>
  <c r="AZ27" i="3"/>
  <c r="AZ118" i="3"/>
  <c r="AZ249" i="3"/>
  <c r="B19" i="71"/>
  <c r="B18" i="71" s="1"/>
  <c r="B17" i="71" s="1"/>
  <c r="B16" i="71" s="1"/>
  <c r="S20" i="71"/>
  <c r="AZ45" i="3"/>
  <c r="AZ121" i="3"/>
  <c r="AZ270" i="3"/>
  <c r="AZ332" i="3"/>
  <c r="AZ353" i="3"/>
  <c r="AZ433" i="3"/>
  <c r="AZ415" i="3"/>
  <c r="AZ398" i="3"/>
  <c r="W12" i="34"/>
  <c r="AC12" i="34"/>
  <c r="AA38" i="40"/>
  <c r="S38" i="40"/>
  <c r="AC23" i="35"/>
  <c r="W23" i="35"/>
  <c r="AC29" i="21"/>
  <c r="W29" i="21"/>
  <c r="AC12" i="33"/>
  <c r="W12" i="33"/>
  <c r="AB33" i="36"/>
  <c r="U33" i="36"/>
  <c r="AC40" i="37"/>
  <c r="W40" i="37"/>
  <c r="S39" i="40"/>
  <c r="AA39" i="40"/>
  <c r="U27" i="37"/>
  <c r="AB27" i="37"/>
  <c r="AA24" i="35"/>
  <c r="S24" i="35"/>
  <c r="J6" i="15"/>
  <c r="J18" i="15" s="1"/>
  <c r="C26" i="71"/>
  <c r="D26" i="71" s="1"/>
  <c r="D27" i="71"/>
  <c r="AZ84" i="3"/>
  <c r="D67" i="71"/>
  <c r="C66" i="71"/>
  <c r="O67" i="71"/>
  <c r="AZ130" i="3"/>
  <c r="AZ244" i="3"/>
  <c r="AZ239" i="3"/>
  <c r="D75" i="71"/>
  <c r="C74" i="71"/>
  <c r="D74" i="71" s="1"/>
  <c r="D23" i="71"/>
  <c r="C22" i="71"/>
  <c r="AZ86" i="3"/>
  <c r="AZ69" i="3"/>
  <c r="AZ189" i="3"/>
  <c r="AZ263" i="3"/>
  <c r="AZ190" i="3"/>
  <c r="AZ126" i="3"/>
  <c r="AZ210" i="3"/>
  <c r="AZ483" i="3"/>
  <c r="AZ461" i="3"/>
  <c r="AC23" i="36"/>
  <c r="W23" i="36"/>
  <c r="U12" i="35"/>
  <c r="AB12" i="35"/>
  <c r="AB13" i="21"/>
  <c r="U13" i="21"/>
  <c r="W28" i="21"/>
  <c r="AC28" i="21"/>
  <c r="S31" i="40"/>
  <c r="AA31" i="40"/>
  <c r="AC27" i="37"/>
  <c r="W27" i="37"/>
  <c r="AZ503" i="3"/>
  <c r="U40" i="37"/>
  <c r="AB40" i="37"/>
  <c r="U39" i="40"/>
  <c r="AB39" i="40"/>
  <c r="AZ543" i="3"/>
  <c r="AZ527" i="3"/>
  <c r="AC24" i="35"/>
  <c r="W24" i="35"/>
  <c r="G5" i="3"/>
  <c r="B3" i="3" s="1"/>
  <c r="E212" i="3" s="1"/>
  <c r="AZ111" i="3"/>
  <c r="AZ5" i="3" s="1"/>
  <c r="AZ31" i="3"/>
  <c r="AC9" i="36"/>
  <c r="W9" i="36"/>
  <c r="AB23" i="36"/>
  <c r="U23" i="36"/>
  <c r="U9" i="34"/>
  <c r="AB9" i="34"/>
  <c r="AA14" i="37"/>
  <c r="S14" i="37"/>
  <c r="AB28" i="21"/>
  <c r="U28" i="21"/>
  <c r="AC30" i="21"/>
  <c r="W30" i="21"/>
  <c r="AC31" i="40"/>
  <c r="W31" i="40"/>
  <c r="AA40" i="37"/>
  <c r="S40" i="37"/>
  <c r="G29" i="6"/>
  <c r="AZ524" i="3"/>
  <c r="AC39" i="40"/>
  <c r="W39" i="40"/>
  <c r="AZ532" i="3"/>
  <c r="AZ498" i="3"/>
  <c r="J7" i="37"/>
  <c r="W7" i="37" s="1"/>
  <c r="K1" i="73"/>
  <c r="E205" i="3"/>
  <c r="E525" i="3"/>
  <c r="E393" i="3"/>
  <c r="E486" i="3"/>
  <c r="E79" i="3"/>
  <c r="E194" i="3"/>
  <c r="E218" i="3"/>
  <c r="E265" i="3"/>
  <c r="E222" i="3"/>
  <c r="E421" i="3"/>
  <c r="E464" i="3"/>
  <c r="E436" i="3"/>
  <c r="E373" i="3"/>
  <c r="E542" i="3"/>
  <c r="Y6" i="3"/>
  <c r="E179" i="3"/>
  <c r="E167" i="3"/>
  <c r="E413" i="3"/>
  <c r="E98" i="3"/>
  <c r="E122" i="3"/>
  <c r="E461" i="3"/>
  <c r="E306" i="3"/>
  <c r="E532" i="3"/>
  <c r="E529" i="3"/>
  <c r="E288" i="3"/>
  <c r="E475" i="3"/>
  <c r="E54" i="3"/>
  <c r="E257" i="3"/>
  <c r="E397" i="3"/>
  <c r="E196" i="3"/>
  <c r="E379" i="3"/>
  <c r="E432" i="3"/>
  <c r="E367" i="3"/>
  <c r="E546" i="3"/>
  <c r="E272" i="3"/>
  <c r="E291" i="3"/>
  <c r="E29" i="3"/>
  <c r="E153" i="3"/>
  <c r="E42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H10" i="39"/>
  <c r="U10" i="39" s="1"/>
  <c r="C7" i="43"/>
  <c r="C5" i="43" s="1"/>
  <c r="D10" i="52"/>
  <c r="D125" i="9"/>
  <c r="D11" i="52" s="1"/>
  <c r="B7" i="74"/>
  <c r="C7" i="74" s="1"/>
  <c r="F67" i="39"/>
  <c r="H7" i="37"/>
  <c r="AB7" i="37" s="1"/>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67"/>
  <c r="Q52" i="67"/>
  <c r="AE11" i="1"/>
  <c r="AE9" i="1"/>
  <c r="AE7" i="1"/>
  <c r="AE8" i="1"/>
  <c r="AE12" i="1"/>
  <c r="AE10" i="1"/>
  <c r="C16" i="67"/>
  <c r="F27" i="68"/>
  <c r="F41" i="67"/>
  <c r="G1" i="73"/>
  <c r="J10" i="15" l="1"/>
  <c r="D26" i="43"/>
  <c r="C25" i="43" s="1"/>
  <c r="J5" i="67"/>
  <c r="J24" i="67" s="1"/>
  <c r="E53" i="3"/>
  <c r="E71" i="3"/>
  <c r="U6" i="3"/>
  <c r="E357" i="3"/>
  <c r="W6" i="3"/>
  <c r="E157" i="3"/>
  <c r="E307" i="3"/>
  <c r="E195" i="3"/>
  <c r="E462" i="3"/>
  <c r="E266" i="3"/>
  <c r="E354" i="3"/>
  <c r="E348" i="3"/>
  <c r="E147" i="3"/>
  <c r="E346" i="3"/>
  <c r="E324" i="3"/>
  <c r="E59" i="3"/>
  <c r="E488" i="3"/>
  <c r="E259" i="3"/>
  <c r="E47" i="3"/>
  <c r="E209" i="3"/>
  <c r="E566" i="3"/>
  <c r="E36" i="3"/>
  <c r="E202" i="3"/>
  <c r="E225" i="3"/>
  <c r="E233" i="3"/>
  <c r="O6" i="3"/>
  <c r="H6" i="3" s="1"/>
  <c r="E501" i="3"/>
  <c r="AM6" i="3"/>
  <c r="E126" i="3"/>
  <c r="E403" i="3"/>
  <c r="E548" i="3"/>
  <c r="E145" i="3"/>
  <c r="E93" i="3"/>
  <c r="E208" i="3"/>
  <c r="E471" i="3"/>
  <c r="E438" i="3"/>
  <c r="E313" i="3"/>
  <c r="E352" i="3"/>
  <c r="E82" i="3"/>
  <c r="E504" i="3"/>
  <c r="E154" i="3"/>
  <c r="E459" i="3"/>
  <c r="E66" i="3"/>
  <c r="E39" i="3"/>
  <c r="E341" i="3"/>
  <c r="E375" i="3"/>
  <c r="E149" i="3"/>
  <c r="E110" i="3"/>
  <c r="E386" i="3"/>
  <c r="E398" i="3"/>
  <c r="E20" i="3"/>
  <c r="E325" i="3"/>
  <c r="E455" i="3"/>
  <c r="E463" i="3"/>
  <c r="E326" i="3"/>
  <c r="E104" i="3"/>
  <c r="AF6" i="3"/>
  <c r="E491" i="3"/>
  <c r="E328" i="3"/>
  <c r="E319" i="3"/>
  <c r="E317" i="3"/>
  <c r="E92" i="3"/>
  <c r="E547" i="3"/>
  <c r="E411" i="3"/>
  <c r="E207" i="3"/>
  <c r="E14" i="3"/>
  <c r="E168" i="3"/>
  <c r="E537" i="3"/>
  <c r="E474" i="3"/>
  <c r="E224" i="3"/>
  <c r="E136" i="3"/>
  <c r="E127" i="3"/>
  <c r="E187" i="3"/>
  <c r="E87" i="3"/>
  <c r="AD6" i="3"/>
  <c r="E163" i="3"/>
  <c r="E374" i="3"/>
  <c r="E584" i="3"/>
  <c r="E297" i="3"/>
  <c r="E323" i="3"/>
  <c r="E416" i="3"/>
  <c r="E65" i="3"/>
  <c r="E165" i="3"/>
  <c r="E289" i="3"/>
  <c r="E339" i="3"/>
  <c r="E540" i="3"/>
  <c r="E440" i="3"/>
  <c r="E370" i="3"/>
  <c r="E497" i="3"/>
  <c r="E494" i="3"/>
  <c r="F1" i="15"/>
  <c r="J5" i="15"/>
  <c r="J24" i="15" s="1"/>
  <c r="E16" i="6"/>
  <c r="E582" i="3"/>
  <c r="E19" i="3"/>
  <c r="E57" i="3"/>
  <c r="E51" i="3"/>
  <c r="E155" i="3"/>
  <c r="E101" i="3"/>
  <c r="E50" i="3"/>
  <c r="E52" i="3"/>
  <c r="E137" i="3"/>
  <c r="E43" i="3"/>
  <c r="E498" i="3"/>
  <c r="E223" i="3"/>
  <c r="E78" i="3"/>
  <c r="E408" i="3"/>
  <c r="E86" i="3"/>
  <c r="E84" i="3"/>
  <c r="E286" i="3"/>
  <c r="AL6" i="3"/>
  <c r="E64" i="3"/>
  <c r="E48" i="3"/>
  <c r="E446" i="3"/>
  <c r="E500" i="3"/>
  <c r="E244" i="3"/>
  <c r="E24" i="3"/>
  <c r="E58" i="3"/>
  <c r="E460" i="3"/>
  <c r="E141" i="3"/>
  <c r="E365" i="3"/>
  <c r="E62" i="3"/>
  <c r="E340" i="3"/>
  <c r="E112" i="3"/>
  <c r="E392" i="3"/>
  <c r="E234" i="3"/>
  <c r="E38" i="3"/>
  <c r="E473" i="3"/>
  <c r="E333" i="3"/>
  <c r="E40" i="3"/>
  <c r="E490" i="3"/>
  <c r="E493" i="3"/>
  <c r="E83" i="3"/>
  <c r="E342" i="3"/>
  <c r="E243" i="3"/>
  <c r="E13" i="3"/>
  <c r="T6" i="3"/>
  <c r="E102" i="3"/>
  <c r="E482" i="3"/>
  <c r="E68" i="3"/>
  <c r="E160" i="3"/>
  <c r="E258" i="3"/>
  <c r="E430" i="3"/>
  <c r="E95" i="3"/>
  <c r="E442" i="3"/>
  <c r="E284" i="3"/>
  <c r="E138" i="3"/>
  <c r="E520" i="3"/>
  <c r="E312" i="3"/>
  <c r="E250" i="3"/>
  <c r="E521" i="3"/>
  <c r="E90" i="3"/>
  <c r="E552" i="3"/>
  <c r="E524" i="3"/>
  <c r="E176" i="3"/>
  <c r="E364" i="3"/>
  <c r="E123" i="3"/>
  <c r="AQ6" i="3"/>
  <c r="E299" i="3"/>
  <c r="E170" i="3"/>
  <c r="E15" i="3"/>
  <c r="E60" i="3"/>
  <c r="E178" i="3"/>
  <c r="J6" i="3"/>
  <c r="E427" i="3"/>
  <c r="E188" i="3"/>
  <c r="E232" i="3"/>
  <c r="E412" i="3"/>
  <c r="E26" i="3"/>
  <c r="E512" i="3"/>
  <c r="E22" i="3"/>
  <c r="E235" i="3"/>
  <c r="E309" i="3"/>
  <c r="E310" i="3"/>
  <c r="E389" i="3"/>
  <c r="E554" i="3"/>
  <c r="E536" i="3"/>
  <c r="AC6" i="3"/>
  <c r="L6" i="3"/>
  <c r="E276" i="3"/>
  <c r="E108" i="3"/>
  <c r="E401" i="3"/>
  <c r="AH6" i="3"/>
  <c r="E422" i="3"/>
  <c r="E543" i="3"/>
  <c r="E105" i="3"/>
  <c r="E16" i="3"/>
  <c r="E158" i="3"/>
  <c r="E49" i="3"/>
  <c r="E220" i="3"/>
  <c r="E428" i="3"/>
  <c r="E115" i="3"/>
  <c r="E420" i="3"/>
  <c r="E556" i="3"/>
  <c r="E456" i="3"/>
  <c r="E173" i="3"/>
  <c r="E308" i="3"/>
  <c r="E206" i="3"/>
  <c r="E174" i="3"/>
  <c r="E391" i="3"/>
  <c r="E283" i="3"/>
  <c r="E184" i="3"/>
  <c r="E371" i="3"/>
  <c r="E467" i="3"/>
  <c r="E349" i="3"/>
  <c r="E37" i="3"/>
  <c r="AP6" i="3"/>
  <c r="E502" i="3"/>
  <c r="E539" i="3"/>
  <c r="E372" i="3"/>
  <c r="E226" i="3"/>
  <c r="E25" i="3"/>
  <c r="E419" i="3"/>
  <c r="E376" i="3"/>
  <c r="E507" i="3"/>
  <c r="E564" i="3"/>
  <c r="E116" i="3"/>
  <c r="E329" i="3"/>
  <c r="E80" i="3"/>
  <c r="E35" i="3"/>
  <c r="E190" i="3"/>
  <c r="E356" i="3"/>
  <c r="E41" i="3"/>
  <c r="E470" i="3"/>
  <c r="E451" i="3"/>
  <c r="E405" i="3"/>
  <c r="E197" i="3"/>
  <c r="E113" i="3"/>
  <c r="E34" i="3"/>
  <c r="E18" i="3"/>
  <c r="E198" i="3"/>
  <c r="E63" i="3"/>
  <c r="E67" i="3"/>
  <c r="E267" i="3"/>
  <c r="E409" i="3"/>
  <c r="E241" i="3"/>
  <c r="E417" i="3"/>
  <c r="E449" i="3"/>
  <c r="E575" i="3"/>
  <c r="Q61" i="67"/>
  <c r="Q52" i="15"/>
  <c r="H10" i="40"/>
  <c r="AB10" i="40" s="1"/>
  <c r="J10" i="40"/>
  <c r="AC10" i="40" s="1"/>
  <c r="J10" i="39"/>
  <c r="W10" i="39" s="1"/>
  <c r="F10" i="40"/>
  <c r="S10" i="40" s="1"/>
  <c r="Q73" i="15"/>
  <c r="C49" i="67"/>
  <c r="Q73" i="67"/>
  <c r="Q74" i="15"/>
  <c r="AY6" i="3"/>
  <c r="AY66" i="3" s="1"/>
  <c r="E3" i="6"/>
  <c r="D22" i="71"/>
  <c r="C21" i="71"/>
  <c r="O65" i="71"/>
  <c r="D66" i="71"/>
  <c r="O66" i="71"/>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G30" i="6"/>
  <c r="G31" i="6" s="1"/>
  <c r="E29" i="6"/>
  <c r="D56" i="71"/>
  <c r="T56" i="71"/>
  <c r="T42" i="37"/>
  <c r="G42" i="37" s="1"/>
  <c r="G47" i="37" s="1"/>
  <c r="H47" i="37" s="1"/>
  <c r="E383" i="3"/>
  <c r="E96" i="3"/>
  <c r="E42" i="3"/>
  <c r="E281" i="3"/>
  <c r="E513" i="3"/>
  <c r="E81" i="3"/>
  <c r="E355" i="3"/>
  <c r="E33" i="3"/>
  <c r="E492" i="3"/>
  <c r="E249" i="3"/>
  <c r="E46" i="3"/>
  <c r="E484" i="3"/>
  <c r="E544" i="3"/>
  <c r="E292" i="3"/>
  <c r="E152" i="3"/>
  <c r="E479" i="3"/>
  <c r="E517" i="3"/>
  <c r="E255" i="3"/>
  <c r="E466" i="3"/>
  <c r="E499" i="3"/>
  <c r="T52" i="71"/>
  <c r="D5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15"/>
  <c r="AE6" i="1"/>
  <c r="M27" i="67"/>
  <c r="AG6" i="1" l="1"/>
  <c r="I53" i="34"/>
  <c r="J53" i="34" s="1"/>
  <c r="U10" i="40"/>
  <c r="AY225" i="3"/>
  <c r="AY297" i="3"/>
  <c r="AY276" i="3"/>
  <c r="AY188" i="3"/>
  <c r="AY115" i="3"/>
  <c r="AY176" i="3"/>
  <c r="D116" i="43"/>
  <c r="C48" i="67"/>
  <c r="C60" i="67" s="1"/>
  <c r="F25" i="12"/>
  <c r="C26" i="12" s="1"/>
  <c r="D25" i="12" s="1"/>
  <c r="F22" i="68"/>
  <c r="C44" i="68" s="1"/>
  <c r="D41" i="68" s="1"/>
  <c r="D36" i="71"/>
  <c r="T36" i="71"/>
  <c r="D21" i="71"/>
  <c r="C20" i="71"/>
  <c r="K15" i="1"/>
  <c r="K16" i="1" s="1"/>
  <c r="E30" i="6"/>
  <c r="E31" i="6"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M27" i="15"/>
  <c r="C17" i="67"/>
  <c r="C17" i="15"/>
  <c r="C14" i="67"/>
  <c r="D10" i="68"/>
  <c r="E54" i="34" l="1"/>
  <c r="F54" i="34" s="1"/>
  <c r="C66" i="67"/>
  <c r="C26" i="68"/>
  <c r="D22" i="68" s="1"/>
  <c r="F41" i="68"/>
  <c r="C44" i="11"/>
  <c r="D41" i="11" s="1"/>
  <c r="C26" i="11"/>
  <c r="D22" i="11" s="1"/>
  <c r="C19" i="71"/>
  <c r="T20" i="71"/>
  <c r="D20" i="71"/>
  <c r="U20" i="7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B6" i="76"/>
  <c r="E6" i="76"/>
  <c r="B3" i="43" l="1"/>
  <c r="C6" i="68"/>
  <c r="C7" i="68" s="1"/>
  <c r="C5" i="68"/>
  <c r="C23" i="68"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3" i="71"/>
  <c r="D14"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8" i="1"/>
  <c r="AO7"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C6" i="71"/>
  <c r="D7" i="71"/>
  <c r="D34" i="9"/>
  <c r="D6" i="71" l="1"/>
  <c r="C5" i="71"/>
  <c r="D5" i="71" s="1"/>
  <c r="M24" i="43" s="1"/>
  <c r="I118" i="9" l="1"/>
  <c r="H118" i="9" s="1"/>
  <c r="H119" i="9" s="1"/>
  <c r="H5" i="52" s="1"/>
  <c r="G118" i="9"/>
  <c r="C104" i="9" l="1"/>
  <c r="H101" i="9"/>
  <c r="D5" i="53" s="1"/>
  <c r="H4" i="52"/>
  <c r="G4" i="52"/>
  <c r="B52" i="72" s="1"/>
  <c r="F118" i="9"/>
  <c r="H102" i="9"/>
  <c r="R24" i="31" s="1"/>
  <c r="E118" i="9"/>
  <c r="I4" i="52"/>
  <c r="C105" i="9"/>
  <c r="H107" i="9"/>
  <c r="M48" i="9"/>
  <c r="S24" i="31" l="1"/>
  <c r="R25" i="31"/>
  <c r="S25" i="31" s="1"/>
  <c r="R26" i="31"/>
  <c r="S26" i="31" s="1"/>
  <c r="D45" i="9"/>
  <c r="C64" i="9" s="1"/>
  <c r="C63" i="9" s="1"/>
  <c r="C67" i="9" s="1"/>
  <c r="E4" i="52"/>
  <c r="B48" i="72" s="1"/>
  <c r="D118" i="9"/>
  <c r="F119" i="9"/>
  <c r="F5" i="52" s="1"/>
  <c r="B53" i="72" s="1"/>
  <c r="F4" i="52"/>
  <c r="B51" i="72" s="1"/>
  <c r="H108" i="9"/>
  <c r="D13" i="53"/>
  <c r="D122" i="9"/>
  <c r="M49" i="9"/>
  <c r="B20" i="72"/>
  <c r="D6" i="53"/>
  <c r="B22" i="72" s="1"/>
  <c r="D7" i="53"/>
  <c r="B21" i="72" s="1"/>
  <c r="C72" i="9" l="1"/>
  <c r="C93" i="9"/>
  <c r="C86" i="9" s="1"/>
  <c r="D53" i="9"/>
  <c r="D52" i="9"/>
  <c r="C85" i="9"/>
  <c r="C78" i="9"/>
  <c r="C73" i="9" s="1"/>
  <c r="D55" i="9"/>
  <c r="M53" i="9" s="1"/>
  <c r="S22" i="31"/>
  <c r="D119" i="9"/>
  <c r="D5" i="52" s="1"/>
  <c r="B49" i="72" s="1"/>
  <c r="D4" i="52"/>
  <c r="B47" i="72" s="1"/>
  <c r="L63" i="9"/>
  <c r="M63" i="9" s="1"/>
  <c r="L65" i="9"/>
  <c r="M65" i="9" s="1"/>
  <c r="L68" i="9"/>
  <c r="M68" i="9" s="1"/>
  <c r="L66" i="9"/>
  <c r="M66" i="9" s="1"/>
  <c r="L64" i="9"/>
  <c r="M64" i="9" s="1"/>
  <c r="L67" i="9"/>
  <c r="M67" i="9" s="1"/>
  <c r="D123" i="9"/>
  <c r="D9" i="52" s="1"/>
  <c r="D8" i="52"/>
  <c r="D14" i="53"/>
  <c r="B32" i="72" s="1"/>
  <c r="B30" i="72"/>
  <c r="D59" i="9"/>
  <c r="M55" i="9" s="1"/>
  <c r="C68" i="9"/>
  <c r="D54" i="9" s="1"/>
  <c r="D15" i="53"/>
  <c r="B31" i="72" s="1"/>
  <c r="D14" i="74" l="1"/>
  <c r="G14" i="74" s="1"/>
  <c r="B6" i="74" s="1"/>
  <c r="D6" i="74" s="1"/>
  <c r="F14" i="74"/>
  <c r="E14" i="74"/>
  <c r="B5" i="74"/>
  <c r="C79" i="9"/>
  <c r="C80" i="9" s="1"/>
  <c r="E80" i="9" s="1"/>
  <c r="E81" i="9" s="1"/>
  <c r="C95" i="9"/>
  <c r="C96" i="9" s="1"/>
  <c r="E96" i="9" s="1"/>
  <c r="E97" i="9" s="1"/>
  <c r="R22" i="31"/>
  <c r="B20" i="31"/>
  <c r="B21" i="31" s="1"/>
  <c r="M69" i="9"/>
  <c r="N69" i="9" s="1"/>
  <c r="C6" i="74" l="1"/>
  <c r="D5" i="74"/>
  <c r="C5" i="74"/>
  <c r="C81" i="9"/>
  <c r="C97" i="9"/>
  <c r="D58" i="9" s="1"/>
  <c r="D56" i="9" s="1"/>
  <c r="M54" i="9" s="1"/>
  <c r="N57" i="9" s="1"/>
  <c r="P57" i="9" s="1"/>
  <c r="N59" i="9" l="1"/>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<sst xmlns="http://schemas.openxmlformats.org/spreadsheetml/2006/main" count="7900" uniqueCount="3472">
  <si>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</si>
  <si>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</si>
  <si>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</si>
  <si>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</si>
  <si>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</si>
  <si>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</si>
  <si>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</si>
  <si>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</si>
  <si>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</si>
  <si>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</si>
  <si>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</si>
  <si>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</si>
  <si>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</si>
  <si>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</si>
  <si>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</si>
  <si>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</si>
  <si>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</si>
  <si>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</si>
  <si>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</si>
  <si>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</si>
  <si>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</si>
  <si>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</si>
  <si>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</si>
  <si>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</si>
  <si>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</si>
  <si>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</si>
  <si>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</si>
  <si>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</si>
  <si>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</si>
  <si>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</si>
  <si>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</si>
  <si>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</si>
  <si>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</si>
  <si>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</si>
  <si>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</si>
  <si>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</si>
  <si>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</si>
  <si>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</si>
  <si>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</si>
  <si>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</si>
  <si>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</si>
  <si>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</si>
  <si>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</si>
  <si>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</si>
  <si>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</si>
  <si>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</si>
  <si>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</si>
  <si>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</si>
  <si>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</si>
  <si>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</si>
  <si>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</si>
  <si>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</si>
  <si>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</si>
  <si>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</si>
  <si>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</si>
  <si>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</si>
  <si>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</si>
  <si>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</si>
  <si>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</si>
  <si>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</si>
  <si>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</si>
  <si>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</si>
  <si>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</si>
  <si>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</si>
  <si>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</si>
  <si>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</si>
  <si>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</si>
  <si>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</si>
  <si>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</si>
  <si>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</si>
  <si>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</si>
  <si>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</si>
  <si>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</si>
  <si>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</si>
  <si>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</si>
  <si>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</si>
  <si>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</si>
  <si>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</si>
  <si>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</si>
  <si>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</si>
  <si>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</si>
  <si>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</si>
  <si>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</si>
  <si>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</si>
  <si>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</si>
  <si>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</si>
  <si>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</si>
  <si>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</si>
  <si>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</si>
  <si>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</si>
  <si>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</si>
  <si>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</si>
  <si>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</si>
  <si>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</si>
  <si>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</si>
  <si>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</si>
  <si>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</si>
  <si>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</si>
  <si>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</si>
  <si>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</si>
  <si>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</si>
  <si>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</si>
  <si>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</si>
  <si>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</si>
  <si>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</si>
  <si>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</si>
  <si>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</si>
  <si>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</si>
  <si>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</si>
  <si>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</si>
  <si>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</si>
  <si>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</si>
  <si>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</si>
  <si>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</si>
  <si>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</si>
  <si>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</si>
  <si>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</si>
  <si>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</si>
  <si>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</si>
  <si>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</si>
  <si>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</si>
  <si>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</si>
  <si>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</si>
  <si>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</si>
  <si>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</si>
  <si>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</si>
  <si>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</si>
  <si>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</si>
  <si>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</si>
  <si>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</si>
  <si>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</si>
  <si>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</si>
  <si>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</si>
  <si>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</si>
  <si>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</si>
  <si>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</si>
  <si>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</si>
  <si>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</si>
  <si>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</si>
  <si>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</si>
  <si>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</si>
  <si>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</si>
  <si>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</si>
  <si>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</si>
  <si>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</si>
  <si>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</si>
  <si>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</si>
  <si>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</si>
  <si>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</si>
  <si>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</si>
  <si>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</si>
  <si>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</si>
  <si>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</si>
  <si>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</si>
  <si>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</si>
  <si>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</si>
  <si>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</si>
  <si>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</si>
  <si>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</si>
  <si>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</si>
  <si>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</si>
  <si>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</si>
  <si>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</si>
  <si>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</si>
  <si>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</si>
  <si>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</si>
  <si>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</si>
  <si>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</si>
  <si>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</si>
  <si>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</si>
  <si>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</si>
  <si>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</si>
  <si>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</si>
  <si>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</si>
  <si>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</si>
  <si>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</si>
  <si>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</si>
  <si>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</si>
  <si>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</si>
  <si>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</si>
  <si>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</si>
  <si>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</si>
  <si>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</si>
  <si>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</si>
  <si>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</si>
  <si>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</si>
  <si>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</si>
  <si>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</si>
  <si>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</si>
  <si>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</si>
  <si>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</si>
  <si>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</si>
  <si>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</si>
  <si>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</si>
  <si>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</si>
  <si>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</si>
  <si>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</si>
  <si>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</si>
  <si>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</si>
  <si>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</si>
  <si>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</si>
  <si>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</si>
  <si>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</si>
  <si>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</si>
  <si>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</si>
  <si>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</si>
  <si>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</si>
  <si>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</si>
  <si>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</si>
  <si>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</si>
  <si>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</si>
  <si>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</si>
  <si>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</si>
  <si>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</si>
  <si>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</si>
  <si>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</si>
  <si>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</si>
  <si>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</si>
  <si>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</si>
  <si>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</si>
  <si>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</si>
  <si>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</si>
  <si>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</si>
  <si>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</si>
  <si>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</si>
  <si>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</si>
  <si>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</si>
  <si>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</si>
  <si>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</si>
  <si>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</si>
  <si>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</si>
  <si>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</si>
  <si>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</si>
  <si>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</si>
  <si>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</si>
  <si>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</si>
  <si>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</si>
  <si>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</si>
  <si>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</si>
  <si>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</si>
  <si>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</si>
  <si>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</si>
  <si>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</si>
  <si>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</si>
  <si>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</si>
  <si>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</si>
  <si>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</si>
  <si>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</si>
  <si>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</si>
  <si>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</si>
  <si>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</si>
  <si>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</si>
  <si>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</si>
  <si>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</si>
  <si>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</si>
  <si>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</si>
  <si>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</si>
  <si>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</si>
  <si>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</si>
  <si>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</si>
  <si>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</si>
  <si>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</si>
  <si>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</si>
  <si>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</si>
  <si>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</si>
  <si>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</si>
  <si>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</si>
  <si>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</si>
  <si>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</si>
  <si>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</si>
  <si>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</si>
  <si>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</si>
  <si>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</si>
  <si>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</si>
  <si>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</si>
  <si>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</si>
  <si>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</si>
  <si>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</si>
  <si>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</si>
  <si>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</si>
  <si>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</si>
  <si>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</si>
  <si>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</si>
  <si>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</si>
  <si>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</si>
  <si>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</si>
  <si>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</si>
  <si>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</si>
  <si>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</si>
  <si>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</si>
  <si>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</si>
  <si>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</si>
  <si>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</si>
  <si>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</si>
  <si>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</si>
  <si>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</si>
  <si>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</si>
  <si>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</si>
  <si>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</si>
  <si>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</si>
  <si>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</si>
  <si>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</si>
  <si>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</si>
  <si>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</si>
  <si>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</si>
  <si>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</si>
  <si>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</si>
  <si>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</si>
  <si>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</si>
  <si>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</si>
  <si>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</si>
  <si>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</si>
  <si>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</si>
  <si>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</si>
  <si>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</si>
  <si>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</si>
  <si>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</si>
  <si>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</si>
  <si>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</si>
  <si>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</si>
  <si>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</si>
  <si>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</si>
  <si>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</si>
  <si>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</si>
  <si>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</si>
  <si>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</si>
  <si>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</si>
  <si>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</si>
  <si>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</si>
  <si>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</si>
  <si>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</si>
  <si>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</si>
  <si>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</si>
  <si>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</si>
  <si>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</si>
  <si>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</si>
  <si>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</si>
  <si>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</si>
  <si>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</si>
  <si>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</si>
  <si>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</si>
  <si>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</si>
  <si>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</si>
  <si>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</si>
  <si>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</si>
  <si>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</si>
  <si>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</si>
  <si>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</si>
  <si>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</si>
  <si>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</si>
  <si>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</si>
  <si>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</si>
  <si>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</si>
  <si>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</si>
  <si>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</si>
  <si>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</si>
  <si>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</si>
  <si>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</si>
  <si>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</si>
  <si>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</si>
  <si>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</si>
  <si>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</si>
  <si>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</si>
  <si>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</si>
  <si>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</si>
  <si>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</si>
  <si>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</si>
  <si>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</si>
  <si>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</si>
  <si>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</si>
  <si>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</si>
  <si>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</si>
  <si>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</si>
  <si>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</si>
  <si>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</si>
  <si>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</si>
  <si>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</si>
  <si>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</si>
  <si>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</si>
  <si>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</si>
  <si>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</si>
  <si>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</si>
  <si>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</si>
  <si>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</si>
  <si>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</si>
  <si>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</si>
  <si>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</si>
  <si>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</si>
  <si>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</si>
  <si>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</si>
  <si>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</si>
  <si>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</si>
  <si>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</si>
  <si>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</si>
  <si>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</si>
  <si>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</si>
  <si>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</si>
  <si>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</si>
  <si>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</si>
  <si>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</si>
  <si>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</si>
  <si>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</si>
  <si>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</si>
  <si>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</si>
  <si>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</si>
  <si>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</si>
  <si>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</si>
  <si>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</si>
  <si>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</si>
  <si>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</si>
  <si>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</si>
  <si>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</si>
  <si>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</si>
  <si>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</si>
  <si>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</si>
  <si>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</si>
  <si>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</si>
  <si>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</si>
  <si>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</si>
  <si>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</si>
  <si>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</si>
  <si>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</si>
  <si>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</si>
  <si>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</si>
  <si>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</si>
  <si>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</si>
  <si>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</si>
  <si>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</si>
  <si>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</si>
  <si>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</si>
  <si>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</si>
  <si>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</si>
  <si>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</si>
  <si>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</si>
  <si>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</si>
  <si>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</si>
  <si>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</si>
  <si>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</si>
  <si>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</si>
  <si>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</si>
  <si>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</si>
  <si>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</si>
  <si>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</si>
  <si>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</si>
  <si>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</si>
  <si>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</si>
  <si>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</si>
  <si>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</si>
  <si>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</si>
  <si>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</si>
  <si>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</si>
  <si>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</si>
  <si>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</si>
  <si>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</si>
  <si>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</si>
  <si>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</si>
  <si>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</si>
  <si>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</si>
  <si>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</si>
  <si>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</si>
  <si>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</si>
  <si>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</si>
  <si>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</si>
  <si>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</si>
  <si>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</si>
  <si>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</si>
  <si>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</si>
  <si>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</si>
  <si>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</si>
  <si>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</si>
  <si>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</si>
  <si>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</si>
  <si>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</si>
  <si>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</si>
  <si>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</si>
  <si>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</si>
  <si>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</si>
  <si>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</si>
  <si>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</si>
  <si>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</si>
  <si>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</si>
  <si>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</si>
  <si>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</si>
  <si>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</si>
  <si>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</si>
  <si>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</si>
  <si>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</si>
  <si>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</si>
  <si>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</si>
  <si>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</si>
  <si>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</si>
  <si>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</si>
  <si>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</si>
  <si>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</si>
  <si>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</si>
  <si>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</si>
  <si>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</si>
  <si>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</si>
  <si>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</si>
  <si>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</si>
  <si>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</si>
  <si>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</si>
  <si>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</si>
  <si>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</si>
  <si>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</si>
  <si>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</si>
  <si>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</si>
  <si>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</si>
  <si>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</si>
  <si>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</si>
  <si>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</si>
  <si>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</si>
  <si>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</si>
  <si>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</si>
  <si>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</si>
  <si>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</si>
  <si>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</si>
  <si>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</si>
  <si>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</si>
  <si>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</si>
  <si>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</si>
  <si>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</si>
  <si>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</si>
  <si>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</si>
  <si>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</si>
  <si>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</si>
  <si>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</si>
  <si>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</si>
  <si>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</si>
  <si>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</si>
  <si>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</si>
  <si>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</si>
  <si>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</si>
  <si>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</si>
  <si>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</si>
  <si>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</si>
  <si>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</si>
  <si>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</si>
  <si>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</si>
  <si>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</si>
  <si>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</si>
  <si>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</si>
  <si>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</si>
  <si>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</si>
  <si>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</si>
  <si>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</si>
  <si>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</si>
  <si>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</si>
  <si>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</si>
  <si>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</si>
  <si>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</si>
  <si>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</si>
  <si>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</si>
  <si>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</si>
  <si>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</si>
  <si>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</si>
  <si>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</si>
  <si>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</si>
  <si>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</si>
  <si>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</si>
  <si>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</si>
  <si>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</si>
  <si>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</si>
  <si>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</si>
  <si>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</si>
  <si>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</si>
  <si>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</si>
  <si>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</si>
  <si>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</si>
  <si>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</si>
  <si>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</si>
  <si>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</si>
  <si>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</si>
  <si>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</si>
  <si>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</si>
  <si>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</si>
  <si>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</si>
  <si>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</si>
  <si>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</si>
  <si>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</si>
  <si>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</si>
  <si>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</si>
  <si>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</si>
  <si>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</si>
  <si>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</si>
  <si>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</si>
  <si>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</si>
  <si>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</si>
  <si>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</si>
  <si>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</si>
  <si>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</si>
  <si>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</si>
  <si>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</si>
  <si>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</si>
  <si>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</si>
  <si>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</si>
  <si>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</si>
  <si>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</si>
  <si>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</si>
  <si>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</si>
  <si>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</si>
  <si>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</si>
  <si>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</si>
  <si>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</si>
  <si>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</si>
  <si>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</si>
  <si>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</si>
  <si>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</si>
  <si>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</si>
  <si>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</si>
  <si>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</si>
  <si>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</si>
  <si>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</si>
  <si>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</si>
  <si>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</si>
  <si>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</si>
  <si>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</si>
  <si>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</si>
  <si>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</si>
  <si>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</si>
  <si>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</si>
  <si>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</si>
  <si>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</si>
  <si>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</si>
  <si>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</si>
  <si>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</si>
  <si>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</si>
  <si>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</si>
  <si>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</si>
  <si>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</si>
  <si>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</si>
  <si>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</si>
  <si>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</si>
  <si>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</si>
  <si>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</si>
  <si>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</si>
  <si>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</si>
  <si>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</si>
  <si>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</si>
  <si>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</si>
  <si>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</si>
  <si>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</si>
  <si>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</si>
  <si>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</si>
  <si>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</si>
  <si>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</si>
  <si>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</si>
  <si>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</si>
  <si>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</si>
  <si>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</si>
  <si>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</si>
  <si>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</si>
  <si>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</si>
  <si>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</si>
  <si>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</si>
  <si>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</si>
  <si>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</si>
  <si>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</si>
  <si>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</si>
  <si>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</si>
  <si>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</si>
  <si>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</si>
  <si>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</si>
  <si>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</si>
  <si>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</si>
  <si>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</si>
  <si>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</si>
  <si>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</si>
  <si>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</si>
  <si>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</si>
  <si>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</si>
  <si>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</si>
  <si>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</si>
  <si>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</si>
  <si>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</si>
  <si>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</si>
  <si>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</si>
  <si>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</si>
  <si>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</si>
  <si>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</si>
  <si>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</si>
  <si>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</si>
  <si>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</si>
  <si>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</si>
  <si>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</si>
  <si>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</si>
  <si>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</si>
  <si>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</si>
  <si>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</si>
  <si>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</si>
  <si>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</si>
  <si>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</si>
  <si>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</si>
  <si>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</si>
  <si>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</si>
  <si>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</si>
  <si>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</si>
  <si>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</si>
  <si>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</si>
  <si>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</si>
  <si>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</si>
  <si>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</si>
  <si>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</si>
  <si>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</si>
  <si>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</si>
  <si>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</si>
  <si>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</si>
  <si>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</si>
  <si>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</si>
  <si>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</si>
  <si>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</si>
  <si>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</si>
  <si>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</si>
  <si>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</si>
  <si>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</si>
  <si>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</si>
  <si>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</si>
  <si>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</si>
  <si>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</si>
  <si>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</si>
  <si>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</si>
  <si>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</si>
  <si>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</si>
  <si>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</si>
  <si>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</si>
  <si>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</si>
  <si>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</si>
  <si>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</si>
  <si>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</si>
  <si>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</si>
  <si>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</si>
  <si>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</si>
  <si>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</si>
  <si>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</si>
  <si>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</si>
  <si>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</si>
  <si>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</si>
  <si>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</si>
  <si>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</si>
  <si>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</si>
  <si>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</si>
  <si>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</si>
  <si>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</si>
  <si>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</si>
  <si>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</si>
  <si>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</si>
  <si>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</si>
  <si>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</si>
  <si>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</si>
  <si>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</si>
  <si>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</si>
  <si>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</si>
  <si>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</si>
  <si>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</si>
  <si>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</si>
  <si>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</si>
  <si>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</si>
  <si>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</si>
  <si>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</si>
  <si>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</si>
  <si>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</si>
  <si>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</si>
  <si>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</si>
  <si>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</si>
  <si>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</si>
  <si>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</si>
  <si>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</si>
  <si>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</si>
  <si>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</si>
  <si>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</si>
  <si>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</si>
  <si>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</si>
  <si>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</si>
  <si>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</si>
  <si>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</si>
  <si>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</si>
  <si>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</si>
  <si>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</si>
  <si>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</si>
  <si>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</si>
  <si>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</si>
  <si>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</si>
  <si>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</si>
  <si>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</si>
  <si>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</si>
  <si>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</si>
  <si>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</si>
  <si>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</si>
  <si>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</si>
  <si>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</si>
  <si>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</si>
  <si>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</si>
  <si>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</si>
  <si>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</si>
  <si>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</si>
  <si>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</si>
  <si>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</si>
  <si>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</si>
  <si>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</si>
  <si>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</si>
  <si>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</si>
  <si>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</si>
  <si>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</si>
  <si>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</si>
  <si>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</si>
  <si>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</si>
  <si>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</si>
  <si>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</si>
  <si>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</si>
  <si>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</si>
  <si>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</si>
  <si>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</si>
  <si>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</si>
  <si>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</si>
  <si>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</si>
  <si>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</si>
  <si>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</si>
  <si>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</si>
  <si>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</si>
  <si>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</si>
  <si>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</si>
  <si>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</si>
  <si>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</si>
  <si>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</si>
  <si>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</si>
  <si>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</si>
  <si>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</si>
  <si>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</si>
  <si>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</si>
  <si>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</si>
  <si>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</si>
  <si>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</si>
  <si>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</si>
  <si>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</si>
  <si>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</si>
  <si>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</si>
  <si>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</si>
  <si>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</si>
  <si>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</si>
  <si>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</si>
  <si>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</si>
  <si>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</si>
  <si>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</si>
  <si>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</si>
  <si>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</si>
  <si>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</si>
  <si>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</si>
  <si>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</si>
  <si>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</si>
  <si>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</si>
  <si>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</si>
  <si>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</si>
  <si>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</si>
  <si>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</si>
  <si>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</si>
  <si>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</si>
  <si>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</si>
  <si>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</si>
  <si>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</si>
  <si>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</si>
  <si>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</si>
  <si>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</si>
  <si>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</si>
  <si>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</si>
  <si>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</si>
  <si>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</si>
  <si>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</si>
  <si>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</si>
  <si>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</si>
  <si>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</si>
  <si>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</si>
  <si>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</si>
  <si>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</si>
  <si>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</si>
  <si>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</si>
  <si>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</si>
  <si>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</si>
  <si>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</si>
  <si>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</si>
  <si>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</si>
  <si>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</si>
  <si>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</si>
  <si>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</si>
  <si>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</si>
  <si>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</si>
  <si>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</si>
  <si>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</si>
  <si>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</si>
  <si>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</si>
  <si>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</si>
  <si>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</si>
  <si>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</si>
  <si>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</si>
  <si>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</si>
  <si>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</si>
  <si>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</si>
  <si>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</si>
  <si>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</si>
  <si>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</si>
  <si>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</si>
  <si>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</si>
  <si>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</si>
  <si>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</si>
  <si>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</si>
  <si>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</si>
  <si>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</si>
  <si>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</si>
  <si>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</si>
  <si>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</si>
  <si>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</si>
  <si>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</si>
  <si>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</si>
  <si>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</si>
  <si>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</si>
  <si>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</si>
  <si>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</si>
  <si>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</si>
  <si>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</si>
  <si>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</si>
  <si>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</si>
  <si>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</si>
  <si>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</si>
  <si>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</si>
  <si>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</si>
  <si>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</si>
  <si>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</si>
  <si>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</si>
  <si>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</si>
  <si>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</si>
  <si>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</si>
  <si>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</si>
  <si>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</si>
  <si>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</si>
  <si>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</si>
  <si>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</si>
  <si>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</si>
  <si>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</si>
  <si>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</si>
  <si>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</si>
  <si>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</si>
  <si>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</si>
  <si>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</si>
  <si>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</si>
  <si>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</si>
  <si>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</si>
  <si>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</si>
  <si>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</si>
  <si>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</si>
  <si>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</si>
  <si>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</si>
  <si>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</si>
  <si>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</si>
  <si>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</si>
  <si>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</si>
  <si>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</si>
  <si>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</si>
  <si>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</si>
  <si>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</si>
  <si>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</si>
  <si>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</si>
  <si>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</si>
  <si>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</si>
  <si>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</si>
  <si>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</si>
  <si>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</si>
  <si>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</si>
  <si>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</si>
  <si>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</si>
  <si>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</si>
  <si>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</si>
  <si>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</si>
  <si>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</si>
  <si>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</si>
  <si>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</si>
  <si>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</si>
  <si>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</si>
  <si>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</si>
  <si>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</si>
  <si>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</si>
  <si>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</si>
  <si>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</si>
  <si>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</si>
  <si>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</si>
  <si>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</si>
  <si>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</si>
  <si>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</si>
  <si>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</si>
  <si>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</si>
  <si>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</si>
  <si>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</si>
  <si>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</si>
  <si>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</si>
  <si>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</si>
  <si>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</si>
  <si>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</si>
  <si>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</si>
  <si>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</si>
  <si>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</si>
  <si>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</si>
  <si>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</si>
  <si>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</si>
  <si>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</si>
  <si>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</si>
  <si>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</si>
  <si>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</si>
  <si>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</si>
  <si>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</si>
  <si>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</si>
  <si>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</si>
  <si>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</si>
  <si>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</si>
  <si>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</si>
  <si>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</si>
  <si>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</si>
  <si>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</si>
  <si>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</si>
  <si>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</si>
  <si>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</si>
  <si>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</si>
  <si>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</si>
  <si>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</si>
  <si>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</si>
  <si>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</si>
  <si>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</si>
  <si>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</si>
  <si>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</si>
  <si>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</si>
  <si>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</si>
  <si>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</si>
  <si>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</si>
  <si>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</si>
  <si>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</si>
  <si>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</si>
  <si>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</si>
  <si>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</si>
  <si>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</si>
  <si>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</si>
  <si>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</si>
  <si>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</si>
  <si>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</si>
  <si>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</si>
  <si>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</si>
  <si>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</si>
  <si>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</si>
  <si>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</si>
  <si>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</si>
  <si>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</si>
  <si>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</si>
  <si>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</si>
  <si>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</si>
  <si>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</si>
  <si>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</si>
  <si>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</si>
  <si>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</si>
  <si>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</si>
  <si>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</si>
  <si>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</si>
  <si>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</si>
  <si>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</si>
  <si>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</si>
  <si>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</si>
  <si>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</si>
  <si>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</si>
  <si>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</si>
  <si>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</si>
  <si>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</si>
  <si>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</si>
  <si>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</si>
  <si>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</si>
  <si>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</si>
  <si>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</si>
  <si>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</si>
  <si>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</si>
  <si>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</si>
  <si>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</si>
  <si>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</si>
  <si>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</si>
  <si>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</si>
  <si>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</si>
  <si>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</si>
  <si>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</si>
  <si>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</si>
  <si>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</si>
  <si>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</si>
  <si>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</si>
  <si>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</si>
  <si>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</si>
  <si>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</si>
  <si>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</si>
  <si>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</si>
  <si>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</si>
  <si>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</si>
  <si>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</si>
  <si>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</si>
  <si>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</si>
  <si>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</si>
  <si>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</si>
  <si>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</si>
  <si>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</si>
  <si>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</si>
  <si>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</si>
  <si>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</si>
  <si>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</si>
  <si>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</si>
  <si>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</si>
  <si>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</si>
  <si>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</si>
  <si>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</si>
  <si>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</si>
  <si>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</si>
  <si>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</si>
  <si>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</si>
  <si>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</si>
  <si>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</si>
  <si>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</si>
  <si>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</si>
  <si>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</si>
  <si>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</si>
  <si>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</si>
  <si>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</si>
  <si>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</si>
  <si>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</si>
  <si>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</si>
  <si>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</si>
  <si>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</si>
  <si>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</si>
  <si>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</si>
  <si>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</si>
  <si>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</si>
  <si>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</si>
  <si>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</si>
  <si>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</si>
  <si>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</si>
  <si>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</si>
  <si>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</si>
  <si>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</si>
  <si>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</si>
  <si>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</si>
  <si>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</si>
  <si>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</si>
  <si>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</si>
  <si>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</si>
  <si>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</si>
  <si>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</si>
  <si>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</si>
  <si>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</si>
  <si>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</si>
  <si>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</si>
  <si>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</si>
  <si>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</si>
  <si>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</si>
  <si>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</si>
  <si>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</si>
  <si>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</si>
  <si>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</si>
  <si>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</si>
  <si>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</si>
  <si>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</si>
  <si>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</si>
  <si>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</si>
  <si>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</si>
  <si>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</si>
  <si>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</si>
  <si>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</si>
  <si>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</si>
  <si>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</si>
  <si>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</si>
  <si>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</si>
  <si>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</si>
  <si>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</si>
  <si>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</si>
  <si>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</si>
  <si>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</si>
  <si>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</si>
  <si>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</si>
  <si>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</si>
  <si>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</si>
  <si>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</si>
  <si>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</si>
  <si>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</si>
  <si>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</si>
  <si>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</si>
  <si>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</si>
  <si>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</si>
  <si>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</si>
  <si>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</si>
  <si>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</si>
  <si>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</si>
  <si>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</si>
  <si>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</si>
  <si>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</si>
  <si>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</si>
  <si>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</si>
  <si>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</si>
  <si>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</si>
  <si>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</si>
  <si>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</si>
  <si>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</si>
  <si>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</si>
  <si>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</si>
  <si>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</si>
  <si>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</si>
  <si>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</si>
  <si>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</si>
  <si>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</si>
  <si>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</si>
  <si>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</si>
  <si>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</si>
  <si>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</si>
  <si>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</si>
  <si>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</si>
  <si>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</si>
  <si>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</si>
  <si>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</si>
  <si>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</si>
  <si>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</si>
  <si>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</si>
  <si>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</si>
  <si>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</si>
  <si>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</si>
  <si>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</si>
  <si>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</si>
  <si>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</si>
  <si>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</si>
  <si>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</si>
  <si>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</si>
  <si>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</si>
  <si>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</si>
  <si>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</si>
  <si>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</si>
  <si>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</si>
  <si>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</si>
  <si>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</si>
  <si>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</si>
  <si>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</si>
  <si>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</si>
  <si>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</si>
  <si>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</si>
  <si>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</si>
  <si>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</si>
  <si>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</si>
  <si>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</si>
  <si>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</si>
  <si>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</si>
  <si>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</si>
  <si>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</si>
  <si>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</si>
  <si>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</si>
  <si>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</si>
  <si>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</si>
  <si>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</si>
  <si>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</si>
  <si>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</si>
  <si>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</si>
  <si>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</si>
  <si>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</si>
  <si>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</si>
  <si>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</si>
  <si>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</si>
  <si>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</si>
  <si>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</si>
  <si>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</si>
  <si>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</si>
  <si>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</si>
  <si>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</si>
  <si>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</si>
  <si>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</si>
  <si>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</si>
  <si>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</si>
  <si>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</si>
  <si>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</si>
  <si>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</si>
  <si>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</si>
  <si>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</si>
  <si>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</si>
  <si>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</si>
  <si>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</si>
  <si>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</si>
  <si>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</si>
  <si>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</si>
  <si>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</si>
  <si>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</si>
  <si>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</si>
  <si>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</si>
  <si>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</si>
  <si>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</si>
  <si>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</si>
  <si>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</si>
  <si>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</si>
  <si>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</si>
  <si>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</si>
  <si>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</si>
  <si>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</si>
  <si>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</si>
  <si>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</si>
  <si>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</si>
  <si>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</si>
  <si>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</si>
  <si>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</si>
  <si>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</si>
  <si>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</si>
  <si>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</si>
  <si>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</si>
  <si>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</si>
  <si>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</si>
  <si>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</si>
  <si>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</si>
  <si>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</si>
  <si>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</si>
  <si>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</si>
  <si>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</si>
  <si>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</si>
  <si>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</si>
  <si>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</si>
  <si>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</si>
  <si>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</si>
  <si>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</si>
  <si>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</si>
  <si>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</si>
  <si>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</si>
  <si>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</si>
  <si>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</si>
  <si>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</si>
  <si>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</si>
  <si>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</si>
  <si>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</si>
  <si>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</si>
  <si>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</si>
  <si>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</si>
  <si>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</si>
  <si>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</si>
  <si>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</si>
  <si>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</si>
  <si>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</si>
  <si>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</si>
  <si>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</si>
  <si>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</si>
  <si>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</si>
  <si>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</si>
  <si>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</si>
  <si>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</si>
  <si>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</si>
  <si>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</si>
  <si>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</si>
  <si>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</si>
  <si>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</si>
  <si>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</si>
  <si>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</si>
  <si>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</si>
  <si>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</si>
  <si>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</si>
  <si>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</si>
  <si>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</si>
  <si>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</si>
  <si>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</si>
  <si>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</si>
  <si>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</si>
  <si>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</si>
  <si>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</si>
  <si>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</si>
  <si>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</si>
  <si>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</si>
  <si>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</si>
  <si>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</si>
  <si>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</si>
  <si>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</si>
  <si>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</si>
  <si>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</si>
  <si>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</si>
  <si>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</si>
  <si>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</si>
  <si>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</si>
  <si>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</si>
  <si>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</si>
  <si>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</si>
  <si>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</si>
  <si>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</si>
  <si>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</si>
  <si>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</si>
  <si>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</si>
  <si>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</si>
  <si>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</si>
  <si>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</si>
  <si>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</si>
  <si>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</si>
  <si>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</si>
  <si>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</si>
  <si>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</si>
  <si>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</si>
  <si>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</si>
  <si>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</si>
  <si>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</si>
  <si>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</si>
  <si>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</si>
  <si>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</si>
  <si>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</si>
  <si>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</si>
  <si>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</si>
  <si>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</si>
  <si>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</si>
  <si>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</si>
  <si>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</si>
  <si>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</si>
  <si>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</si>
  <si>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</si>
  <si>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</si>
  <si>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</si>
  <si>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</si>
  <si>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</si>
  <si>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</si>
  <si>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</si>
  <si>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</si>
  <si>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</si>
  <si>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</si>
  <si>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</si>
  <si>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</si>
  <si>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</si>
  <si>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</si>
  <si>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</si>
  <si>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</si>
  <si>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</si>
  <si>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</si>
  <si>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</si>
  <si>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</si>
  <si>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</si>
  <si>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</si>
  <si>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</si>
  <si>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</si>
  <si>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</si>
  <si>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</si>
  <si>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</si>
  <si>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</si>
  <si>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</si>
  <si>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</si>
  <si>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</si>
  <si>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</si>
  <si>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</si>
  <si>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</si>
  <si>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</si>
  <si>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</si>
  <si>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</si>
  <si>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</si>
  <si>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</si>
  <si>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</si>
  <si>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</si>
  <si>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</si>
  <si>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</si>
  <si>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</si>
  <si>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</si>
  <si>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</si>
  <si>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</si>
  <si>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</si>
  <si>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</si>
  <si>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</si>
  <si>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</si>
  <si>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</si>
  <si>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</si>
  <si>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</si>
  <si>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</si>
  <si>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</si>
  <si>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</si>
  <si>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</si>
  <si>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</si>
  <si>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</si>
  <si>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</si>
  <si>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</si>
  <si>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</si>
  <si>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</si>
  <si>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</si>
  <si>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</si>
  <si>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</si>
  <si>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</si>
  <si>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</si>
  <si>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</si>
  <si>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</si>
  <si>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</si>
  <si>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</si>
  <si>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</si>
  <si>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</si>
  <si>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</si>
  <si>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</si>
  <si>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</si>
  <si>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</si>
  <si>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</si>
  <si>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</si>
  <si>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</si>
  <si>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</si>
  <si>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</si>
  <si>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</si>
  <si>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</si>
  <si>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</si>
  <si>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</si>
  <si>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</si>
  <si>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</si>
  <si>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</si>
  <si>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</si>
  <si>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</si>
  <si>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</si>
  <si>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</si>
  <si>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</si>
  <si>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</si>
  <si>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</si>
  <si>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</si>
  <si>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</si>
  <si>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</si>
  <si>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</si>
  <si>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</si>
  <si>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</si>
  <si>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</si>
  <si>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</si>
  <si>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</si>
  <si>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</si>
  <si>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</si>
  <si>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</si>
  <si>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</si>
  <si>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</si>
  <si>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</si>
  <si>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</si>
  <si>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</si>
  <si>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</si>
  <si>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</si>
  <si>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</si>
  <si>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</si>
  <si>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</si>
  <si>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</si>
  <si>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</si>
  <si>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</si>
  <si>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</si>
  <si>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</si>
  <si>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</si>
  <si>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</si>
  <si>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</si>
  <si>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</si>
  <si>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</si>
  <si>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</si>
  <si>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</si>
  <si>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</si>
  <si>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</si>
  <si>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</si>
  <si>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</si>
  <si>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</si>
  <si>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</si>
  <si>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</si>
  <si>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</si>
  <si>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</si>
  <si>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</si>
  <si>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</si>
  <si>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</si>
  <si>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</si>
  <si>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</si>
  <si>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</si>
  <si>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</si>
  <si>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</si>
  <si>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</si>
  <si>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</si>
  <si>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</si>
  <si>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</si>
  <si>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</si>
  <si>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</si>
  <si>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</si>
  <si>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</si>
  <si>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</si>
  <si>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</si>
  <si>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</si>
  <si>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</si>
  <si>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</si>
  <si>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</si>
  <si>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</si>
  <si>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</si>
  <si>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</si>
  <si>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</si>
  <si>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</si>
  <si>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</si>
  <si>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</si>
  <si>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</si>
  <si>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</si>
  <si>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</si>
  <si>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</si>
  <si>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</si>
  <si>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</si>
  <si>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</si>
  <si>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</si>
  <si>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</si>
  <si>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</si>
  <si>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</si>
  <si>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</si>
  <si>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</si>
  <si>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</si>
  <si>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</si>
  <si>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</si>
  <si>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</si>
  <si>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</si>
  <si>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</si>
  <si>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</si>
  <si>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</si>
  <si>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</si>
  <si>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</si>
  <si>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</si>
  <si>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</si>
  <si>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</si>
  <si>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</si>
  <si>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</si>
  <si>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</si>
  <si>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</si>
  <si>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</si>
  <si>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</si>
  <si>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</si>
  <si>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</si>
  <si>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</si>
  <si>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</si>
  <si>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</si>
  <si>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</si>
  <si>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</si>
  <si>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</si>
  <si>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</si>
  <si>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</si>
  <si>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</si>
  <si>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</si>
  <si>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</si>
  <si>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</si>
  <si>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</si>
  <si>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</si>
  <si>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</si>
  <si>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</si>
  <si>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</si>
  <si>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</si>
  <si>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</si>
  <si>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</si>
  <si>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</si>
  <si>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</si>
  <si>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</si>
  <si>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</si>
  <si>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</si>
  <si>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</si>
  <si>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</si>
  <si>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</si>
  <si>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</si>
  <si>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</si>
  <si>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</si>
  <si>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</si>
  <si>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</si>
  <si>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</si>
  <si>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</si>
  <si>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</si>
  <si>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</si>
  <si>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</si>
  <si>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</si>
  <si>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</si>
  <si>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</si>
  <si>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</si>
  <si>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</si>
  <si>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</si>
  <si>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</si>
  <si>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</si>
  <si>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</si>
  <si>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</si>
  <si>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</si>
  <si>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</si>
  <si>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</si>
  <si>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</si>
  <si>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</si>
  <si>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</si>
  <si>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</si>
  <si>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</si>
  <si>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</si>
  <si>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</si>
  <si>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</si>
  <si>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</si>
  <si>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</si>
  <si>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</si>
  <si>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</si>
  <si>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</si>
  <si>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</si>
  <si>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</si>
  <si>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</si>
  <si>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</si>
  <si>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</si>
  <si>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</si>
  <si>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</si>
  <si>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</si>
  <si>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</si>
  <si>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</si>
  <si>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</si>
  <si>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</si>
  <si>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</si>
  <si>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</si>
  <si>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</si>
  <si>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</si>
  <si>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</si>
  <si>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</si>
  <si>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</si>
  <si>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</si>
  <si>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</si>
  <si>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</si>
  <si>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</si>
  <si>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</si>
  <si>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</si>
  <si>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</si>
  <si>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</si>
  <si>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</si>
  <si>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</si>
  <si>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</si>
  <si>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</si>
  <si>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</si>
  <si>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</si>
  <si>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</si>
  <si>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</si>
  <si>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</si>
  <si>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</si>
  <si>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</si>
  <si>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</si>
  <si>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</si>
  <si>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</si>
  <si>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</si>
  <si>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</si>
  <si>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</si>
  <si>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</si>
  <si>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</si>
  <si>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</si>
  <si>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</si>
  <si>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</si>
  <si>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</si>
  <si>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</si>
  <si>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</si>
  <si>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</si>
  <si>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</si>
  <si>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</si>
  <si>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</si>
  <si>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</si>
  <si>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</si>
  <si>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</si>
  <si>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</si>
  <si>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</si>
  <si>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</si>
  <si>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</si>
  <si>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</si>
  <si>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</si>
  <si>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</si>
  <si>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</si>
  <si>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</si>
  <si>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</si>
  <si>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</si>
  <si>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</si>
  <si>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</si>
  <si>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</si>
  <si>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</si>
  <si>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</si>
  <si>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</si>
  <si>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</si>
  <si>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</si>
  <si>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</si>
  <si>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</si>
  <si>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</si>
  <si>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</si>
  <si>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</si>
  <si>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</si>
  <si>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</si>
  <si>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</si>
  <si>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</si>
  <si>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</si>
  <si>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</si>
  <si>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</si>
  <si>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</si>
  <si>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</si>
  <si>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</si>
  <si>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</si>
  <si>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</si>
  <si>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</si>
  <si>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</si>
  <si>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</si>
  <si>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</si>
  <si>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</si>
  <si>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</si>
  <si>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</si>
  <si>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</si>
  <si>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</si>
  <si>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</si>
  <si>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</si>
  <si>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</si>
  <si>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</si>
  <si>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</si>
  <si>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</si>
  <si>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</si>
  <si>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</si>
  <si>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</si>
  <si>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</si>
  <si>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</si>
  <si>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</si>
  <si>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</si>
  <si>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</si>
  <si>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</si>
  <si>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</si>
  <si>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</si>
  <si>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</si>
  <si>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</si>
  <si>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</si>
  <si>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</si>
  <si>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</si>
  <si>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</si>
  <si>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</si>
  <si>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</si>
  <si>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</si>
  <si>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</si>
  <si>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</si>
  <si>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</si>
  <si>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</si>
  <si>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</si>
  <si>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</si>
  <si>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</si>
  <si>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</si>
  <si>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</si>
  <si>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</si>
  <si>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</si>
  <si>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</si>
  <si>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</si>
  <si>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</si>
  <si>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</si>
  <si>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</si>
  <si>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</si>
  <si>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</si>
  <si>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</si>
  <si>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</si>
  <si>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</si>
  <si>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</si>
  <si>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</si>
  <si>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</si>
  <si>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</si>
  <si>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</si>
  <si>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</si>
  <si>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</si>
  <si>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</si>
  <si>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</si>
  <si>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</si>
  <si>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</si>
  <si>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</si>
  <si>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</si>
  <si>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</si>
  <si>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</si>
  <si>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</si>
  <si>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</si>
  <si>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</si>
  <si>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</si>
  <si>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</si>
  <si>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</si>
  <si>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</si>
  <si>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</si>
  <si>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</si>
  <si>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</si>
  <si>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</si>
  <si>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</si>
  <si>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</si>
  <si>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</si>
  <si>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</si>
  <si>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</si>
  <si>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</si>
  <si>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</si>
  <si>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</si>
  <si>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</si>
  <si>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</si>
  <si>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</si>
  <si>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</si>
  <si>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</si>
  <si>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</si>
  <si>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</si>
  <si>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</si>
  <si>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</si>
  <si>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</si>
  <si>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</si>
  <si>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</si>
  <si>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</si>
  <si>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</si>
  <si>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</si>
  <si>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</si>
  <si>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</si>
  <si>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</si>
  <si>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</si>
  <si>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</si>
  <si>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</si>
  <si>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</si>
  <si>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</si>
  <si>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</si>
  <si>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</si>
  <si>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</si>
  <si>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</si>
  <si>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</si>
  <si>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</si>
  <si>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</si>
  <si>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</si>
  <si>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</si>
  <si>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</si>
  <si>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</si>
  <si>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</si>
  <si>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</si>
  <si>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</si>
  <si>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</si>
  <si>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</si>
  <si>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</si>
  <si>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</si>
  <si>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</si>
  <si>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</si>
  <si>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</si>
  <si>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</si>
  <si>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</si>
  <si>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</si>
  <si>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</si>
  <si>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</si>
  <si>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</si>
  <si>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</si>
  <si>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</si>
  <si>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</si>
  <si>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</si>
  <si>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</si>
  <si>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</si>
  <si>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</si>
  <si>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</si>
  <si>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</si>
  <si>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</si>
  <si>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</si>
  <si>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</si>
  <si>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</si>
  <si>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</si>
  <si>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</si>
  <si>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</si>
  <si>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</si>
  <si>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</si>
  <si>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</si>
  <si>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</si>
  <si>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</si>
  <si>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</si>
  <si>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</si>
  <si>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</si>
  <si>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</si>
  <si>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</si>
  <si>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</si>
  <si>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</si>
  <si>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</si>
  <si>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</si>
  <si>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</si>
  <si>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</si>
  <si>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</si>
  <si>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</si>
  <si>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</si>
  <si>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</si>
  <si>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</si>
  <si>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</si>
  <si>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</si>
  <si>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</si>
  <si>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</si>
  <si>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</si>
  <si>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</si>
  <si>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</si>
  <si>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</si>
  <si>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</si>
  <si>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</si>
  <si>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</si>
  <si>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</si>
  <si>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</si>
  <si>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</si>
  <si>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</si>
  <si>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</si>
  <si>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</si>
  <si>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</si>
  <si>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</si>
  <si>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</si>
  <si>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</si>
  <si>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</si>
  <si>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</si>
  <si>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</si>
  <si>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</si>
  <si>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</si>
  <si>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</si>
  <si>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</si>
  <si>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</si>
  <si>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</si>
  <si>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</si>
  <si>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</si>
  <si>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</si>
  <si>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</si>
  <si>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</si>
  <si>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</si>
  <si>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</si>
  <si>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</si>
  <si>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</si>
  <si>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</si>
  <si>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</si>
  <si>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</si>
  <si>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</si>
  <si>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</si>
  <si>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</si>
  <si>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</si>
  <si>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</si>
  <si>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</si>
  <si>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</si>
  <si>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</si>
  <si>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</si>
  <si>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</si>
  <si>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</si>
  <si>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</si>
  <si>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</si>
  <si>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</si>
  <si>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</si>
  <si>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</si>
  <si>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</si>
  <si>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</si>
  <si>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</si>
  <si>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</si>
  <si>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</si>
  <si>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</si>
  <si>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</si>
  <si>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</si>
  <si>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</si>
  <si>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</si>
  <si>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</si>
  <si>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</si>
  <si>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</si>
  <si>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</si>
  <si>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</si>
  <si>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</si>
  <si>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</si>
  <si>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</si>
  <si>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</si>
  <si>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</si>
  <si>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</si>
  <si>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</si>
  <si>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</si>
  <si>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</si>
  <si>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</si>
  <si>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</si>
  <si>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</si>
  <si>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</si>
  <si>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</si>
  <si>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</si>
  <si>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</si>
  <si>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</si>
  <si>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</si>
  <si>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</si>
  <si>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</si>
  <si>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</si>
  <si>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</si>
  <si>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</si>
  <si>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</si>
  <si>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</si>
  <si>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</si>
  <si>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</si>
  <si>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</si>
  <si>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</si>
  <si>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</si>
  <si>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</si>
  <si>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</si>
  <si>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</si>
  <si>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</si>
  <si>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</si>
  <si>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</si>
  <si>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</si>
  <si>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</si>
  <si>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</si>
  <si>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</si>
  <si>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</si>
  <si>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</si>
  <si>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</si>
  <si>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</si>
  <si>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</si>
  <si>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</si>
  <si>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</si>
  <si>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</si>
  <si>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</si>
  <si>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</si>
  <si>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</si>
  <si>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</si>
  <si>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</si>
  <si>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</si>
  <si>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</si>
  <si>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</si>
  <si>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</si>
  <si>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</si>
  <si>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</si>
  <si>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</si>
  <si>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</si>
  <si>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</si>
  <si>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</si>
  <si>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</si>
  <si>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</si>
  <si>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</si>
  <si>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</si>
  <si>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</si>
  <si>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</si>
  <si>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</si>
  <si>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</si>
  <si>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</si>
  <si>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</si>
  <si>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</si>
  <si>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</si>
  <si>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</si>
  <si>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</si>
  <si>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</si>
  <si>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</si>
  <si>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</si>
  <si>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</si>
  <si>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</si>
  <si>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</si>
  <si>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</si>
  <si>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</si>
  <si>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</si>
  <si>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</si>
  <si>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</si>
  <si>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</si>
  <si>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</si>
  <si>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</si>
  <si>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</si>
  <si>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</si>
  <si>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</si>
  <si>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</si>
  <si>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</si>
  <si>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</si>
  <si>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</si>
  <si>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</si>
  <si>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</si>
  <si>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</si>
  <si>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</si>
  <si>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</si>
  <si>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</si>
  <si>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</si>
  <si>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</si>
  <si>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</si>
  <si>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</si>
  <si>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</si>
  <si>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</si>
  <si>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</si>
  <si>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</si>
  <si>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</si>
  <si>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</si>
  <si>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</si>
  <si>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</si>
  <si>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</si>
  <si>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</si>
  <si>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</si>
  <si>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</si>
  <si>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</si>
  <si>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</si>
  <si>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</si>
  <si>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</si>
  <si>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</si>
  <si>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</si>
  <si>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</si>
  <si>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</si>
  <si>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</si>
  <si>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</si>
  <si>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</si>
  <si>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</si>
  <si>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</si>
  <si>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</si>
  <si>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</si>
  <si>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</si>
  <si>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</si>
  <si>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</si>
  <si>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</si>
  <si>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</si>
  <si>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</si>
  <si>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</si>
  <si>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</si>
  <si>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</si>
  <si>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</si>
  <si>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</si>
  <si>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</si>
  <si>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</si>
  <si>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</si>
  <si>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</si>
  <si>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</si>
  <si>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</si>
  <si>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</si>
  <si>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</si>
  <si>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</si>
  <si>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</si>
  <si>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</si>
  <si>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</si>
  <si>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</si>
  <si>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</si>
  <si>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</si>
  <si>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</si>
  <si>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</si>
  <si>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</si>
  <si>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</si>
  <si>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</si>
  <si>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</si>
  <si>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</si>
  <si>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</si>
  <si>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</si>
  <si>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</si>
  <si>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</si>
  <si>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</si>
  <si>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</si>
  <si>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</si>
  <si>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</si>
  <si>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</si>
  <si>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</si>
  <si>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</si>
  <si>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</si>
  <si>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</si>
  <si>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</si>
  <si>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</si>
  <si>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</si>
  <si>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</si>
  <si>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</si>
  <si>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</si>
  <si>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</si>
  <si>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</si>
  <si>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</si>
  <si>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</si>
  <si>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</si>
  <si>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</si>
  <si>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</si>
  <si>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</si>
  <si>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</si>
  <si>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</si>
  <si>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</si>
  <si>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</si>
  <si>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</si>
  <si>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</si>
  <si>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</si>
  <si>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</si>
  <si>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</si>
  <si>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</si>
  <si>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</si>
  <si>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</si>
  <si>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</si>
  <si>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</si>
  <si>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</si>
  <si>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</si>
  <si>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</si>
  <si>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</si>
  <si>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</si>
  <si>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</si>
  <si>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</si>
  <si>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</si>
  <si>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</si>
  <si>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</si>
  <si>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</si>
  <si>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</si>
  <si>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</si>
  <si>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</si>
  <si>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</si>
  <si>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</si>
  <si>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</si>
  <si>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</si>
  <si>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</si>
  <si>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</si>
  <si>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</si>
  <si>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</si>
  <si>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</si>
  <si>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</si>
  <si>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</si>
  <si>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</si>
  <si>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</si>
  <si>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</si>
  <si>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</si>
  <si>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</si>
  <si>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</si>
  <si>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</si>
  <si>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</si>
  <si>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</si>
  <si>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</si>
  <si>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</si>
  <si>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</si>
  <si>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</si>
  <si>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</si>
  <si>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</si>
  <si>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</si>
  <si>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</si>
  <si>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</si>
  <si>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</si>
  <si>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</si>
  <si>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</si>
  <si>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</si>
  <si>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</si>
  <si>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</si>
  <si>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</si>
  <si>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</si>
  <si>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</si>
  <si>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</si>
  <si>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</si>
  <si>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</si>
  <si>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</si>
  <si>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</si>
  <si>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</si>
  <si>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</si>
  <si>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</si>
  <si>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</si>
  <si>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</si>
  <si>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</si>
  <si>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</si>
  <si>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</si>
  <si>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</si>
  <si>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</si>
  <si>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</si>
  <si>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</si>
  <si>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</si>
  <si>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</si>
  <si>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</si>
  <si>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</si>
  <si>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</si>
  <si>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</si>
  <si>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</si>
  <si>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</si>
  <si>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</si>
  <si>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</si>
  <si>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</si>
  <si>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</si>
  <si>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</si>
  <si>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</si>
  <si>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</si>
  <si>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</si>
  <si>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</si>
  <si>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</si>
  <si>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</si>
  <si>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</si>
  <si>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</si>
  <si>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</si>
  <si>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</si>
  <si>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</si>
  <si>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</si>
  <si>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</si>
  <si>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</si>
  <si>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</si>
  <si>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</si>
  <si>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</si>
  <si>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</si>
  <si>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</si>
  <si>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</si>
  <si>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</si>
  <si>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</si>
  <si>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</si>
  <si>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</si>
  <si>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</si>
  <si>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</si>
  <si>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</si>
  <si>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</si>
  <si>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</si>
  <si>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</si>
  <si>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</si>
  <si>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</si>
  <si>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</si>
  <si>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</si>
  <si>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</si>
  <si>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</si>
  <si>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</si>
  <si>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</si>
  <si>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</si>
  <si>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</si>
  <si>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</si>
  <si>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</si>
  <si>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</si>
  <si>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</si>
  <si>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</si>
  <si>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</si>
  <si>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</si>
  <si>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</si>
  <si>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</si>
  <si>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</si>
  <si>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</si>
  <si>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</si>
  <si>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</si>
  <si>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</si>
  <si>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</si>
  <si>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</si>
  <si>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</si>
  <si>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</si>
  <si>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</si>
  <si>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</si>
  <si>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</si>
  <si>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</si>
  <si>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</si>
  <si>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</si>
  <si>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</si>
  <si>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</si>
  <si>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</si>
  <si>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</si>
  <si>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</si>
  <si>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</si>
  <si>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</si>
  <si>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</si>
  <si>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</si>
  <si>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</si>
  <si>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</si>
  <si>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</si>
  <si>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</si>
  <si>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</si>
  <si>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</si>
  <si>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</si>
  <si>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</si>
  <si>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</si>
  <si>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</si>
  <si>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</si>
  <si>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</si>
  <si>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</si>
  <si>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</si>
  <si>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</si>
  <si>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</si>
  <si>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</si>
  <si>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</si>
  <si>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</si>
  <si>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</si>
  <si>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</si>
  <si>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</si>
  <si>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</si>
  <si>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</si>
  <si>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</si>
  <si>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</si>
  <si>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</si>
  <si>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</si>
  <si>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</si>
  <si>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</si>
  <si>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</si>
  <si>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</si>
  <si>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</si>
  <si>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</si>
  <si>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</si>
  <si>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</si>
  <si>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</si>
  <si>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</si>
  <si>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</si>
  <si>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</si>
  <si>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</si>
  <si>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</si>
  <si>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</si>
  <si>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</si>
  <si>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</si>
  <si>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</si>
  <si>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</si>
  <si>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</si>
  <si>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</si>
  <si>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</si>
  <si>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</si>
  <si>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</si>
  <si>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</si>
  <si>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</si>
  <si>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</si>
  <si>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</si>
  <si>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</si>
  <si>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</si>
  <si>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</si>
  <si>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</si>
  <si>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</si>
  <si>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</si>
  <si>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</si>
  <si>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</si>
  <si>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</si>
  <si>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</si>
  <si>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</si>
  <si>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</si>
  <si>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</si>
  <si>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</si>
  <si>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</si>
  <si>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</si>
  <si>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</si>
  <si>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</si>
  <si>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</si>
  <si>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</si>
  <si>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</si>
  <si>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</si>
  <si>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</si>
  <si>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</si>
  <si>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</si>
  <si>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</si>
  <si>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</si>
  <si>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</si>
  <si>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</si>
  <si>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</si>
  <si>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</si>
  <si>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</si>
  <si>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</si>
  <si>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</si>
  <si>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</si>
  <si>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</si>
  <si>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</si>
  <si>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</si>
  <si>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</si>
  <si>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</si>
  <si>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</si>
  <si>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</si>
  <si>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</si>
  <si>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</si>
  <si>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</si>
  <si>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</si>
  <si>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</si>
  <si>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</si>
  <si>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</si>
  <si>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</si>
  <si>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</si>
  <si>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</si>
  <si>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</si>
  <si>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</si>
  <si>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</si>
  <si>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</si>
  <si>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</si>
  <si>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</si>
  <si>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</si>
  <si>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</si>
  <si>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</si>
  <si>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</si>
  <si>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</si>
  <si>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</si>
  <si>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</si>
  <si>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</si>
  <si>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</si>
  <si>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</si>
  <si>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</si>
  <si>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</si>
  <si>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</si>
  <si>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</si>
  <si>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</si>
  <si>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</si>
  <si>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</si>
  <si>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</si>
  <si>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</si>
  <si>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</si>
  <si>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</si>
  <si>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</si>
  <si>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</si>
  <si>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</si>
  <si>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</si>
  <si>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</si>
  <si>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</si>
  <si>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</si>
  <si>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</si>
  <si>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</si>
  <si>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</si>
  <si>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</si>
  <si>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</si>
  <si>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</si>
  <si>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</si>
  <si>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</si>
  <si>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</si>
  <si>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</si>
  <si>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</si>
  <si>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</si>
  <si>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</si>
  <si>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</si>
  <si>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</si>
  <si>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</si>
  <si>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</si>
  <si>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</si>
  <si>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</si>
  <si>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</si>
  <si>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</si>
  <si>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</si>
  <si>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</si>
  <si>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</si>
  <si>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</si>
  <si>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</si>
  <si>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</si>
  <si>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</si>
  <si>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</si>
  <si>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</si>
  <si>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</si>
  <si>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</si>
  <si>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</si>
  <si>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</si>
  <si>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</si>
  <si>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</si>
  <si>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</si>
  <si>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</si>
  <si>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</si>
  <si>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</si>
  <si>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</si>
  <si>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</si>
  <si>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</si>
  <si>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</si>
  <si>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</si>
  <si>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</si>
  <si>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</si>
  <si>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</si>
  <si>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</si>
  <si>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</si>
  <si>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</si>
  <si>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</si>
  <si>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</si>
  <si>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</si>
  <si>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</si>
  <si>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</si>
  <si>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</si>
  <si>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</si>
  <si>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</si>
  <si>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</si>
  <si>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</si>
  <si>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</si>
  <si>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</si>
  <si>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</si>
  <si>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</si>
  <si>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</si>
  <si>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</si>
  <si>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</si>
  <si>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</si>
  <si>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</si>
  <si>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</si>
  <si>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</si>
  <si>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</si>
  <si>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</si>
  <si>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</si>
  <si>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</si>
  <si>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</si>
  <si>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</si>
  <si>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</si>
  <si>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</si>
  <si>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</si>
  <si>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</si>
  <si>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</si>
  <si>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</si>
  <si>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</si>
  <si>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</si>
  <si>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</si>
  <si>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</si>
  <si>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</si>
  <si>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</si>
  <si>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</si>
  <si>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</si>
  <si>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</si>
  <si>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</si>
  <si>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</si>
  <si>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</si>
  <si>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</si>
  <si>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</si>
  <si>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</si>
  <si>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</si>
  <si>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</si>
  <si>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</si>
  <si>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</si>
  <si>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</si>
  <si>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</si>
  <si>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</si>
  <si>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</si>
  <si>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</si>
  <si>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</si>
  <si>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</si>
  <si>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</si>
  <si>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</si>
  <si>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</si>
  <si>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</si>
  <si>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</si>
  <si>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</si>
  <si>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</si>
  <si>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</si>
  <si>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</si>
  <si>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</si>
  <si>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</si>
  <si>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</si>
  <si>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</si>
  <si>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</si>
  <si>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</si>
  <si>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</si>
  <si>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</si>
  <si>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</si>
  <si>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</si>
  <si>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</si>
  <si>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</si>
  <si>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</si>
  <si>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</si>
  <si>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</si>
  <si>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</si>
  <si>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</si>
  <si>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</si>
  <si>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</si>
  <si>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</si>
  <si>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</si>
  <si>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</si>
  <si>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</si>
  <si>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</si>
  <si>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</si>
  <si>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</si>
  <si>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</si>
  <si>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</si>
  <si>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</si>
  <si>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</si>
  <si>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</si>
  <si>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</si>
  <si>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</si>
  <si>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</si>
  <si>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</si>
  <si>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</si>
  <si>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</si>
  <si>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</si>
  <si>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</si>
  <si>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</si>
  <si>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</si>
  <si>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</si>
  <si>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</si>
  <si>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</si>
  <si>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</si>
  <si>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</si>
  <si>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</si>
  <si>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</si>
  <si>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</si>
  <si>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</si>
  <si>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</si>
  <si>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</si>
  <si>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</si>
  <si>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</si>
  <si>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</si>
  <si>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</si>
  <si>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</si>
  <si>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</si>
  <si>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</si>
  <si>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</si>
  <si>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</si>
  <si>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</si>
  <si>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</si>
  <si>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</si>
  <si>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</si>
  <si>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</si>
  <si>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</si>
  <si>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</si>
  <si>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</si>
  <si>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</si>
  <si>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</si>
  <si>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</si>
  <si>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</si>
  <si>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</si>
  <si>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</si>
  <si>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</si>
  <si>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</si>
  <si>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</si>
  <si>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</si>
  <si>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</si>
  <si>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</si>
  <si>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</si>
  <si>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</si>
  <si>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</si>
  <si>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</si>
  <si>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</si>
  <si>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</si>
  <si>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</si>
  <si>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</si>
  <si>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</si>
  <si>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</si>
  <si>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</si>
  <si>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</si>
  <si>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</si>
  <si>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</si>
  <si>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</si>
  <si>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</si>
  <si>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</si>
  <si>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</si>
  <si>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</si>
  <si>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</si>
  <si>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</si>
  <si>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</si>
  <si>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</si>
  <si>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</si>
  <si>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</si>
  <si>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</si>
  <si>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</si>
  <si>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</si>
  <si>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</si>
  <si>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</si>
  <si>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</si>
  <si>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</si>
  <si>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</si>
  <si>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</si>
  <si>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</si>
  <si>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</si>
  <si>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</si>
  <si>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</si>
  <si>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</si>
  <si>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</si>
  <si>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</si>
  <si>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</si>
  <si>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</si>
  <si>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</si>
  <si>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</si>
  <si>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</si>
  <si>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</si>
  <si>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</si>
  <si>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</si>
  <si>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</si>
  <si>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</si>
  <si>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</si>
  <si>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</si>
  <si>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</si>
  <si>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</si>
  <si>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</si>
  <si>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</si>
  <si>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</si>
  <si>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</si>
  <si>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</si>
  <si>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</si>
  <si>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</si>
  <si>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</si>
  <si>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</si>
  <si>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</si>
  <si>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</si>
  <si>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</si>
  <si>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</si>
  <si>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</si>
  <si>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</si>
  <si>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</si>
  <si>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</si>
  <si>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</si>
  <si>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</si>
  <si>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</si>
  <si>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</si>
  <si>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</si>
  <si>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</si>
  <si>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</si>
  <si>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</si>
  <si>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</si>
  <si>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</si>
  <si>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</si>
  <si>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</si>
  <si>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</si>
  <si>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</si>
  <si>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</si>
  <si>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</si>
  <si>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</si>
  <si>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</si>
  <si>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</si>
  <si>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</si>
  <si>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</si>
  <si>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</si>
  <si>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</si>
  <si>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</si>
  <si>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</si>
  <si>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</si>
  <si>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</si>
  <si>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</si>
  <si>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</si>
  <si>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</si>
  <si>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</si>
  <si>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</si>
  <si>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</si>
  <si>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</si>
  <si>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</si>
  <si>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</si>
  <si>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</si>
  <si>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</si>
  <si>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</si>
  <si>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</si>
  <si>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</si>
  <si>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</si>
  <si>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</si>
  <si>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</si>
  <si>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</si>
  <si>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</si>
  <si>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</si>
  <si>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</si>
  <si>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</si>
  <si>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</si>
  <si>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</si>
  <si>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</si>
  <si>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</si>
  <si>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</si>
  <si>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</si>
  <si>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</si>
  <si>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</si>
  <si>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</si>
  <si>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</si>
  <si>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</si>
  <si>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</si>
  <si>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</si>
  <si>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</si>
  <si>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</si>
  <si>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</si>
  <si>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</si>
  <si>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</si>
  <si>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</si>
  <si>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</si>
  <si>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</si>
  <si>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</si>
  <si>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</si>
  <si>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</si>
  <si>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</si>
  <si>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</si>
  <si>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</si>
  <si>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</si>
  <si>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</si>
  <si>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</si>
  <si>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</si>
  <si>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</si>
  <si>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</si>
  <si>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</si>
  <si>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</si>
  <si>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</si>
  <si>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</si>
  <si>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</si>
  <si>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</si>
  <si>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</si>
  <si>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</si>
  <si>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</si>
  <si>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</si>
  <si>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</si>
  <si>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</si>
  <si>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</si>
  <si>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</si>
  <si>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</si>
  <si>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</si>
  <si>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</si>
  <si>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</si>
  <si>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</si>
  <si>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</si>
  <si>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</si>
  <si>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</si>
  <si>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</si>
  <si>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</si>
  <si>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</si>
  <si>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</si>
  <si>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</si>
  <si>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</si>
  <si>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</si>
  <si>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</si>
  <si>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</si>
  <si>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</si>
  <si>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</si>
  <si>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</si>
  <si>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</si>
  <si>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</si>
  <si>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</si>
  <si>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</si>
  <si>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</si>
  <si>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</si>
  <si>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</si>
  <si>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</si>
  <si>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</si>
  <si>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</si>
  <si>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</si>
  <si>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</si>
  <si>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</si>
  <si>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</si>
  <si>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</si>
  <si>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</si>
  <si>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</si>
  <si>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</si>
  <si>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</si>
  <si>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</si>
  <si>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</si>
  <si>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</si>
  <si>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</si>
  <si>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</si>
  <si>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</si>
  <si>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</si>
  <si>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</si>
  <si>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</si>
  <si>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</si>
  <si>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</si>
  <si>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</si>
  <si>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</si>
  <si>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</si>
  <si>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</si>
  <si>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</si>
  <si>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</si>
  <si>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</si>
  <si>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</si>
  <si>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</si>
  <si>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</si>
  <si>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</si>
  <si>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</si>
  <si>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</si>
  <si>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</si>
  <si>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</si>
  <si>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</si>
  <si>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</si>
  <si>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</si>
  <si>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</si>
  <si>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</si>
  <si>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</si>
  <si>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</si>
  <si>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</si>
  <si>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</si>
  <si>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</si>
  <si>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</si>
  <si>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</si>
  <si>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</si>
  <si>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</si>
  <si>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</si>
  <si>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</si>
  <si>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</si>
  <si>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</si>
  <si>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</si>
  <si>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</si>
  <si>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</si>
  <si>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</si>
  <si>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</si>
  <si>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</si>
  <si>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</si>
  <si>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</si>
  <si>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</si>
  <si>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</si>
  <si>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</si>
  <si>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</si>
  <si>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</si>
  <si>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</si>
  <si>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</si>
  <si>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</si>
  <si>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</si>
  <si>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</si>
  <si>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</si>
  <si>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</si>
  <si>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</si>
  <si>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</si>
  <si>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</si>
  <si>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</si>
  <si>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</si>
  <si>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</si>
  <si>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</si>
  <si>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</si>
  <si>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</si>
  <si>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</si>
  <si>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</si>
  <si>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</si>
  <si>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</si>
  <si>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</si>
  <si>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</si>
  <si>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</si>
  <si>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</si>
  <si>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</si>
  <si>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</si>
  <si>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</si>
  <si>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</si>
  <si>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</si>
  <si>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</si>
  <si>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</si>
  <si>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</si>
  <si>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</si>
  <si>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</si>
  <si>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</si>
  <si>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</si>
  <si>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</si>
  <si>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</si>
  <si>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</si>
  <si>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</si>
  <si>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</si>
  <si>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</si>
  <si>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</si>
  <si>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</si>
  <si>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</si>
  <si>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</si>
  <si>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</si>
  <si>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</si>
  <si>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</si>
  <si>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</si>
  <si>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</si>
  <si>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</si>
  <si>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</si>
  <si>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</si>
  <si>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</si>
  <si>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</si>
  <si>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</si>
  <si>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</si>
  <si>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</si>
  <si>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</si>
  <si>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</si>
  <si>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</si>
  <si>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</si>
  <si>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</si>
  <si>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</si>
  <si>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</si>
  <si>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</si>
  <si>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</si>
  <si>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</si>
  <si>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</si>
  <si>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</si>
  <si>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</si>
  <si>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</si>
  <si>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</si>
  <si>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</si>
  <si>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</si>
  <si>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</si>
  <si>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</si>
  <si>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</si>
  <si>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</si>
  <si>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</si>
  <si>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</si>
  <si>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</si>
  <si>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</si>
  <si>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</si>
  <si>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</si>
  <si>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</si>
  <si>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</si>
  <si>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</si>
  <si>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</si>
  <si>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</si>
  <si>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</si>
  <si>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</si>
  <si>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</si>
  <si>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</si>
  <si>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</si>
  <si>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</si>
  <si>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</si>
  <si>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</si>
  <si>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</si>
  <si>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</si>
  <si>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</si>
  <si>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</si>
  <si>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</si>
  <si>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</si>
  <si>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</si>
  <si>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</si>
  <si>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</si>
  <si>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</si>
  <si>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</si>
  <si>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</si>
  <si>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</si>
  <si>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</si>
  <si>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</si>
  <si>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</si>
  <si>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</si>
  <si>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</si>
  <si>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</si>
  <si>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</si>
  <si>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</si>
  <si>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</si>
  <si>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</si>
  <si>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</si>
  <si>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</si>
  <si>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</si>
  <si>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</si>
  <si>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</si>
  <si>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</si>
  <si>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</si>
  <si>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</si>
  <si>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</si>
  <si>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</si>
  <si>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</si>
  <si>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</si>
  <si>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</si>
  <si>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</si>
  <si>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</si>
  <si>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</si>
  <si>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</si>
  <si>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</si>
  <si>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</si>
  <si>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</si>
  <si>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</si>
  <si>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</si>
  <si>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</si>
  <si>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</si>
  <si>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</si>
  <si>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</si>
  <si>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</si>
  <si>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</si>
  <si>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</si>
  <si>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</si>
  <si>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</si>
  <si>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</si>
  <si>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</si>
  <si>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</si>
  <si>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</si>
  <si>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</si>
  <si>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</si>
  <si>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</si>
  <si>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</si>
  <si>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</si>
  <si>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</si>
  <si>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</si>
  <si>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</si>
  <si>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</si>
  <si>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</si>
  <si>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</si>
  <si>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</si>
  <si>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</si>
  <si>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</si>
  <si>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</si>
  <si>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</si>
  <si>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</si>
  <si>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</si>
  <si>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</si>
  <si>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</si>
  <si>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</si>
  <si>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</si>
  <si>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</si>
  <si>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</si>
  <si>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</si>
  <si>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</si>
  <si>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</si>
  <si>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</si>
  <si>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</si>
  <si>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</si>
  <si>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</si>
  <si>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</si>
  <si>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</si>
  <si>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</si>
  <si>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</si>
  <si>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</si>
  <si>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</si>
  <si>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</si>
  <si>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</si>
  <si>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</si>
  <si>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</si>
  <si>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</si>
  <si>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</si>
  <si>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</si>
  <si>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</si>
  <si>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</si>
  <si>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</si>
  <si>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</si>
  <si>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</si>
  <si>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</si>
  <si>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</si>
  <si>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</si>
  <si>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</si>
  <si>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</si>
  <si>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</si>
  <si>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</si>
  <si>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</si>
  <si>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</si>
  <si>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</si>
  <si>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</si>
  <si>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</si>
  <si>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</si>
  <si>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</si>
  <si>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</si>
  <si>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</si>
  <si>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</si>
  <si>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</si>
  <si>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</si>
  <si>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</si>
  <si>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</si>
  <si>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</si>
  <si>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</si>
  <si>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</si>
  <si>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</si>
  <si>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</si>
  <si>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</si>
  <si>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</si>
  <si>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</si>
  <si>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</si>
  <si>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</si>
  <si>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</si>
  <si>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</si>
  <si>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</si>
  <si>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</si>
  <si>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</si>
  <si>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</si>
  <si>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</si>
  <si>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</si>
  <si>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</si>
  <si>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</si>
  <si>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</si>
  <si>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</si>
  <si>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</si>
  <si>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</si>
  <si>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</si>
  <si>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</si>
  <si>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</si>
  <si>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</si>
  <si>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</si>
  <si>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</si>
  <si>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</si>
  <si>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</si>
  <si>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</si>
  <si>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</si>
  <si>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</si>
  <si>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</si>
  <si>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</si>
  <si>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</si>
  <si>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</si>
  <si>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</si>
  <si>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</si>
  <si>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</si>
  <si>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</si>
  <si>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</si>
  <si>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</si>
  <si>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</si>
  <si>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</si>
  <si>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</si>
  <si>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</si>
  <si>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</si>
  <si>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</si>
  <si>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</si>
  <si>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</si>
  <si>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</si>
  <si>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</si>
  <si>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</si>
  <si>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</si>
  <si>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</si>
  <si>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</si>
  <si>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</si>
  <si>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</si>
  <si>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</si>
  <si>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</si>
  <si>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</si>
  <si>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</si>
  <si>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</si>
  <si>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</si>
  <si>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</si>
  <si>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</si>
  <si>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</si>
  <si>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</si>
  <si>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</si>
  <si>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</si>
  <si>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</si>
  <si>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</si>
  <si>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</si>
  <si>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</si>
  <si>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</si>
  <si>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</si>
  <si>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</si>
  <si>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</si>
  <si>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</si>
  <si>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</si>
  <si>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</si>
  <si>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</si>
  <si>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</si>
  <si>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</si>
  <si>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</si>
  <si>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</si>
  <si>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</si>
  <si>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</si>
  <si>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</si>
  <si>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</si>
  <si>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</si>
  <si>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</si>
  <si>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</si>
  <si>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</si>
  <si>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</si>
  <si>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</si>
  <si>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</si>
  <si>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</si>
  <si>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</si>
  <si>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</si>
  <si>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</si>
  <si>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</si>
  <si>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</si>
  <si>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</si>
  <si>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</si>
  <si>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</si>
  <si>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</si>
  <si>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</si>
  <si>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</si>
  <si>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</si>
  <si>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</si>
  <si>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</si>
  <si>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</si>
  <si>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</si>
  <si>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</si>
  <si>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</si>
  <si>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</si>
  <si>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</si>
  <si>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</si>
  <si>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</si>
  <si>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</si>
  <si>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</si>
  <si>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</si>
  <si>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</si>
  <si>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</si>
  <si>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</si>
  <si>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</si>
  <si>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</si>
  <si>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</si>
  <si>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</si>
  <si>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</si>
  <si>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</si>
  <si>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</si>
  <si>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</si>
  <si>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</si>
  <si>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</si>
  <si>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</si>
  <si>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</si>
  <si>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</si>
  <si>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</si>
  <si>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</si>
  <si>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</si>
  <si>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</si>
  <si>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</si>
  <si>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</si>
  <si>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</si>
  <si>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</si>
  <si>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</si>
  <si>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</si>
  <si>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</si>
  <si>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</si>
  <si>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</si>
  <si>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</si>
  <si>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</si>
  <si>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</si>
  <si>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</si>
  <si>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</si>
  <si>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</si>
  <si>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</si>
  <si>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</si>
  <si>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</si>
  <si>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</si>
  <si>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</si>
  <si>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</si>
  <si>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</si>
  <si>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</si>
  <si>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</si>
  <si>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</si>
  <si>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</si>
  <si>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</si>
  <si>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</si>
  <si>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</si>
  <si>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</si>
  <si>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</si>
  <si>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</si>
  <si>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</si>
  <si>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</si>
  <si>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</si>
  <si>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</si>
  <si>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</si>
  <si>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</si>
  <si>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</si>
  <si>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</si>
  <si>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</si>
  <si>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</si>
  <si>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</si>
  <si>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</si>
  <si>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</si>
  <si>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</si>
  <si>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</si>
  <si>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</si>
  <si>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</si>
  <si>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</si>
  <si>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</si>
  <si>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</si>
  <si>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</si>
  <si>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</si>
  <si>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京(</t>
    </r>
    <r>
      <rPr>
        <sz val="11"/>
        <color theme="1"/>
        <rFont val="宋体"/>
        <family val="3"/>
        <charset val="134"/>
        <scheme val="minor"/>
      </rPr>
      <t>2019)海不动产权第0026001号</t>
    </r>
    <phoneticPr fontId="134" type="noConversion"/>
  </si>
  <si>
    <t>证号</t>
    <phoneticPr fontId="134" type="noConversion"/>
  </si>
  <si>
    <t>产权人</t>
    <phoneticPr fontId="134" type="noConversion"/>
  </si>
  <si>
    <t>坐落</t>
    <phoneticPr fontId="134" type="noConversion"/>
  </si>
  <si>
    <t>建筑面积</t>
    <phoneticPr fontId="134" type="noConversion"/>
  </si>
  <si>
    <t>竣工时间</t>
    <phoneticPr fontId="134" type="noConversion"/>
  </si>
  <si>
    <t>北京易兰管理顾问有限公司</t>
    <phoneticPr fontId="134" type="noConversion"/>
  </si>
  <si>
    <r>
      <t>海淀区西二旗大街3</t>
    </r>
    <r>
      <rPr>
        <sz val="11"/>
        <color theme="1"/>
        <rFont val="宋体"/>
        <family val="3"/>
        <charset val="134"/>
        <scheme val="minor"/>
      </rPr>
      <t>9号2层204</t>
    </r>
    <phoneticPr fontId="134" type="noConversion"/>
  </si>
  <si>
    <t>总层数</t>
    <phoneticPr fontId="134" type="noConversion"/>
  </si>
  <si>
    <t>所在层</t>
    <phoneticPr fontId="134" type="noConversion"/>
  </si>
  <si>
    <t>其他商业服务</t>
    <phoneticPr fontId="134" type="noConversion"/>
  </si>
  <si>
    <r>
      <t>4（</t>
    </r>
    <r>
      <rPr>
        <sz val="11"/>
        <color theme="1"/>
        <rFont val="宋体"/>
        <family val="3"/>
        <charset val="134"/>
        <scheme val="minor"/>
      </rPr>
      <t>-02）</t>
    </r>
    <phoneticPr fontId="134" type="noConversion"/>
  </si>
  <si>
    <t>房号</t>
    <phoneticPr fontId="134" type="noConversion"/>
  </si>
  <si>
    <t>京(2019)海不动产权第0026008号</t>
    <phoneticPr fontId="134" type="noConversion"/>
  </si>
  <si>
    <t>海淀区西二旗大街39号3层304</t>
    <phoneticPr fontId="134" type="noConversion"/>
  </si>
  <si>
    <t>京(2019)海不动产权第0026000号</t>
    <phoneticPr fontId="134" type="noConversion"/>
  </si>
  <si>
    <t>海淀区西二旗大街39号4层404</t>
    <phoneticPr fontId="134" type="noConversion"/>
  </si>
  <si>
    <t>是</t>
  </si>
  <si>
    <t>地上</t>
  </si>
  <si>
    <t>成新度</t>
  </si>
  <si>
    <t>竣工时间</t>
    <phoneticPr fontId="3" type="noConversion"/>
  </si>
  <si>
    <t>根据产证</t>
    <phoneticPr fontId="3" type="noConversion"/>
  </si>
  <si>
    <t>清河街道</t>
    <phoneticPr fontId="3" type="noConversion"/>
  </si>
  <si>
    <t>24年12月签租赁合同</t>
    <phoneticPr fontId="134" type="noConversion"/>
  </si>
  <si>
    <t>总租金15年</t>
    <phoneticPr fontId="134" type="noConversion"/>
  </si>
  <si>
    <t>总租金1.07亿元</t>
    <phoneticPr fontId="134" type="noConversion"/>
  </si>
  <si>
    <t>第一年租金727万元</t>
    <phoneticPr fontId="134" type="noConversion"/>
  </si>
  <si>
    <t>日租金</t>
    <phoneticPr fontId="134" type="noConversion"/>
  </si>
  <si>
    <t>未包含在土地购买价格中</t>
  </si>
  <si>
    <t>已包含在土地取得成本中</t>
  </si>
  <si>
    <t>全部缴纳</t>
  </si>
  <si>
    <t>商务金融用地</t>
  </si>
  <si>
    <t>自定义容积率</t>
  </si>
  <si>
    <t>与级别开发程度一致</t>
  </si>
  <si>
    <t>一般</t>
  </si>
  <si>
    <t>较好</t>
  </si>
  <si>
    <t>好</t>
  </si>
  <si>
    <t>平均容积率</t>
    <phoneticPr fontId="7" type="noConversion"/>
  </si>
  <si>
    <t>根据建成年代推算土地</t>
    <phoneticPr fontId="3" type="noConversion"/>
  </si>
  <si>
    <t>根据建成年代推算</t>
    <phoneticPr fontId="6" type="noConversion"/>
  </si>
  <si>
    <t>押一</t>
  </si>
  <si>
    <t>钢混</t>
  </si>
  <si>
    <t>非生产用房</t>
  </si>
  <si>
    <t>否</t>
  </si>
  <si>
    <t>收益法</t>
  </si>
  <si>
    <t>现房</t>
  </si>
  <si>
    <t>成本法</t>
  </si>
  <si>
    <t>楼面单价</t>
  </si>
  <si>
    <t>自定义</t>
  </si>
  <si>
    <t>楼层</t>
    <phoneticPr fontId="3"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</si>
  <si>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</si>
  <si>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</si>
  <si>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</si>
  <si>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2层</t>
  </si>
  <si>
    <t>3层</t>
  </si>
  <si>
    <t>4层</t>
  </si>
  <si>
    <t>单套模式</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</si>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</sst>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183" fontId="77" fillId="0" borderId="1" xfId="0" applyNumberFormat="1" applyFont="1" applyBorder="1" applyAlignment="1" applyProtection="1">
      <alignment horizontal="center" vertical="center" shrinkToFit="1"/>
      <protection locked="0"/>
    </xf>
    <xf numFmtId="0" fontId="222" fillId="0" borderId="10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29</xdr:col>
      <xdr:colOff>398628</xdr:colOff>
      <xdr:row>39</xdr:row>
      <xdr:rowOff>143870</xdr:rowOff>
    </xdr:to>
    <xdr:pic>
      <xdr:nvPicPr>
        <xdr:cNvPr id="2" name="图片 1">
          <a:extLst>
            <a:ext uri="{FF2B5EF4-FFF2-40B4-BE49-F238E27FC236}">
              <a16:creationId xmlns:a16="http://schemas.microsoft.com/office/drawing/2014/main" id="{C5C07A16-CB05-0318-771E-727E5FA92FB7}"/>
            </a:ext>
          </a:extLst>
        </xdr:cNvPr>
        <xdr:cNvPicPr>
          <a:picLocks noChangeAspect="1"/>
        </xdr:cNvPicPr>
      </xdr:nvPicPr>
      <xdr:blipFill>
        <a:blip xmlns:r="http://schemas.openxmlformats.org/officeDocument/2006/relationships" r:embed="rId1"/>
        <a:stretch>
          <a:fillRect/>
        </a:stretch>
      </xdr:blipFill>
      <xdr:spPr>
        <a:xfrm>
          <a:off x="8945880" y="548640"/>
          <a:ext cx="11371428" cy="7276190"/>
        </a:xfrm>
        <a:prstGeom prst="rect">
          <a:avLst/>
        </a:prstGeom>
      </xdr:spPr>
    </xdr:pic>
    <xdr:clientData/>
  </xdr:twoCellAnchor>
  <xdr:twoCellAnchor editAs="oneCell">
    <xdr:from>
      <xdr:col>11</xdr:col>
      <xdr:colOff>0</xdr:colOff>
      <xdr:row>43</xdr:row>
      <xdr:rowOff>0</xdr:rowOff>
    </xdr:from>
    <xdr:to>
      <xdr:col>22</xdr:col>
      <xdr:colOff>532495</xdr:colOff>
      <xdr:row>77</xdr:row>
      <xdr:rowOff>58270</xdr:rowOff>
    </xdr:to>
    <xdr:pic>
      <xdr:nvPicPr>
        <xdr:cNvPr id="3" name="图片 2">
          <a:extLst>
            <a:ext uri="{FF2B5EF4-FFF2-40B4-BE49-F238E27FC236}">
              <a16:creationId xmlns:a16="http://schemas.microsoft.com/office/drawing/2014/main" id="{DE307089-6D77-DCF5-68EB-D1A4A7E30064}"/>
            </a:ext>
          </a:extLst>
        </xdr:cNvPr>
        <xdr:cNvPicPr>
          <a:picLocks noChangeAspect="1"/>
        </xdr:cNvPicPr>
      </xdr:nvPicPr>
      <xdr:blipFill>
        <a:blip xmlns:r="http://schemas.openxmlformats.org/officeDocument/2006/relationships" r:embed="rId2"/>
        <a:stretch>
          <a:fillRect/>
        </a:stretch>
      </xdr:blipFill>
      <xdr:spPr>
        <a:xfrm>
          <a:off x="8945880" y="8046720"/>
          <a:ext cx="7238095" cy="6276190"/>
        </a:xfrm>
        <a:prstGeom prst="rect">
          <a:avLst/>
        </a:prstGeom>
      </xdr:spPr>
    </xdr:pic>
    <xdr:clientData/>
  </xdr:twoCellAnchor>
  <xdr:twoCellAnchor editAs="oneCell">
    <xdr:from>
      <xdr:col>0</xdr:col>
      <xdr:colOff>0</xdr:colOff>
      <xdr:row>12</xdr:row>
      <xdr:rowOff>91440</xdr:rowOff>
    </xdr:from>
    <xdr:to>
      <xdr:col>6</xdr:col>
      <xdr:colOff>349739</xdr:colOff>
      <xdr:row>55</xdr:row>
      <xdr:rowOff>84743</xdr:rowOff>
    </xdr:to>
    <xdr:pic>
      <xdr:nvPicPr>
        <xdr:cNvPr id="4" name="图片 3">
          <a:extLst>
            <a:ext uri="{FF2B5EF4-FFF2-40B4-BE49-F238E27FC236}">
              <a16:creationId xmlns:a16="http://schemas.microsoft.com/office/drawing/2014/main" id="{8BA84F88-62D6-C049-C577-00A456BCB0B7}"/>
            </a:ext>
          </a:extLst>
        </xdr:cNvPr>
        <xdr:cNvPicPr>
          <a:picLocks noChangeAspect="1"/>
        </xdr:cNvPicPr>
      </xdr:nvPicPr>
      <xdr:blipFill>
        <a:blip xmlns:r="http://schemas.openxmlformats.org/officeDocument/2006/relationships" r:embed="rId3"/>
        <a:stretch>
          <a:fillRect/>
        </a:stretch>
      </xdr:blipFill>
      <xdr:spPr>
        <a:xfrm>
          <a:off x="0" y="2834640"/>
          <a:ext cx="6247619" cy="7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570438</xdr:colOff>
      <xdr:row>36</xdr:row>
      <xdr:rowOff>140129</xdr:rowOff>
    </xdr:to>
    <xdr:pic>
      <xdr:nvPicPr>
        <xdr:cNvPr id="2" name="图片 1">
          <a:extLst>
            <a:ext uri="{FF2B5EF4-FFF2-40B4-BE49-F238E27FC236}">
              <a16:creationId xmlns:a16="http://schemas.microsoft.com/office/drawing/2014/main" id="{47D1DC2C-49C5-3A14-255E-B1069EEDDEDA}"/>
            </a:ext>
          </a:extLst>
        </xdr:cNvPr>
        <xdr:cNvPicPr>
          <a:picLocks noChangeAspect="1"/>
        </xdr:cNvPicPr>
      </xdr:nvPicPr>
      <xdr:blipFill>
        <a:blip xmlns:r="http://schemas.openxmlformats.org/officeDocument/2006/relationships" r:embed="rId1"/>
        <a:stretch>
          <a:fillRect/>
        </a:stretch>
      </xdr:blipFill>
      <xdr:spPr>
        <a:xfrm>
          <a:off x="0" y="0"/>
          <a:ext cx="8495238" cy="6723809"/>
        </a:xfrm>
        <a:prstGeom prst="rect">
          <a:avLst/>
        </a:prstGeom>
      </xdr:spPr>
    </xdr:pic>
    <xdr:clientData/>
  </xdr:twoCellAnchor>
  <xdr:twoCellAnchor editAs="oneCell">
    <xdr:from>
      <xdr:col>0</xdr:col>
      <xdr:colOff>0</xdr:colOff>
      <xdr:row>37</xdr:row>
      <xdr:rowOff>0</xdr:rowOff>
    </xdr:from>
    <xdr:to>
      <xdr:col>12</xdr:col>
      <xdr:colOff>560990</xdr:colOff>
      <xdr:row>78</xdr:row>
      <xdr:rowOff>130491</xdr:rowOff>
    </xdr:to>
    <xdr:pic>
      <xdr:nvPicPr>
        <xdr:cNvPr id="3" name="图片 2">
          <a:extLst>
            <a:ext uri="{FF2B5EF4-FFF2-40B4-BE49-F238E27FC236}">
              <a16:creationId xmlns:a16="http://schemas.microsoft.com/office/drawing/2014/main" id="{2BD8933C-1FF0-43BE-A5FD-3635683C1383}"/>
            </a:ext>
          </a:extLst>
        </xdr:cNvPr>
        <xdr:cNvPicPr>
          <a:picLocks noChangeAspect="1"/>
        </xdr:cNvPicPr>
      </xdr:nvPicPr>
      <xdr:blipFill>
        <a:blip xmlns:r="http://schemas.openxmlformats.org/officeDocument/2006/relationships" r:embed="rId2"/>
        <a:stretch>
          <a:fillRect/>
        </a:stretch>
      </xdr:blipFill>
      <xdr:spPr>
        <a:xfrm>
          <a:off x="0" y="6766560"/>
          <a:ext cx="7876190" cy="7628571"/>
        </a:xfrm>
        <a:prstGeom prst="rect">
          <a:avLst/>
        </a:prstGeom>
      </xdr:spPr>
    </xdr:pic>
    <xdr:clientData/>
  </xdr:twoCellAnchor>
  <xdr:twoCellAnchor editAs="oneCell">
    <xdr:from>
      <xdr:col>1</xdr:col>
      <xdr:colOff>0</xdr:colOff>
      <xdr:row>79</xdr:row>
      <xdr:rowOff>0</xdr:rowOff>
    </xdr:from>
    <xdr:to>
      <xdr:col>14</xdr:col>
      <xdr:colOff>275200</xdr:colOff>
      <xdr:row>120</xdr:row>
      <xdr:rowOff>168587</xdr:rowOff>
    </xdr:to>
    <xdr:pic>
      <xdr:nvPicPr>
        <xdr:cNvPr id="4" name="图片 3">
          <a:extLst>
            <a:ext uri="{FF2B5EF4-FFF2-40B4-BE49-F238E27FC236}">
              <a16:creationId xmlns:a16="http://schemas.microsoft.com/office/drawing/2014/main" id="{F4B89D30-128D-5B41-8120-79D50BDEDF5D}"/>
            </a:ext>
          </a:extLst>
        </xdr:cNvPr>
        <xdr:cNvPicPr>
          <a:picLocks noChangeAspect="1"/>
        </xdr:cNvPicPr>
      </xdr:nvPicPr>
      <xdr:blipFill>
        <a:blip xmlns:r="http://schemas.openxmlformats.org/officeDocument/2006/relationships" r:embed="rId3"/>
        <a:stretch>
          <a:fillRect/>
        </a:stretch>
      </xdr:blipFill>
      <xdr:spPr>
        <a:xfrm>
          <a:off x="609600" y="14447520"/>
          <a:ext cx="8200000" cy="7666667"/>
        </a:xfrm>
        <a:prstGeom prst="rect">
          <a:avLst/>
        </a:prstGeom>
      </xdr:spPr>
    </xdr:pic>
    <xdr:clientData/>
  </xdr:twoCellAnchor>
  <xdr:twoCellAnchor editAs="oneCell">
    <xdr:from>
      <xdr:col>14</xdr:col>
      <xdr:colOff>304800</xdr:colOff>
      <xdr:row>3</xdr:row>
      <xdr:rowOff>60960</xdr:rowOff>
    </xdr:from>
    <xdr:to>
      <xdr:col>30</xdr:col>
      <xdr:colOff>227390</xdr:colOff>
      <xdr:row>32</xdr:row>
      <xdr:rowOff>147916</xdr:rowOff>
    </xdr:to>
    <xdr:pic>
      <xdr:nvPicPr>
        <xdr:cNvPr id="5" name="图片 4">
          <a:extLst>
            <a:ext uri="{FF2B5EF4-FFF2-40B4-BE49-F238E27FC236}">
              <a16:creationId xmlns:a16="http://schemas.microsoft.com/office/drawing/2014/main" id="{FCD486D2-ADF0-5543-7A05-E4E34C437A0A}"/>
            </a:ext>
          </a:extLst>
        </xdr:cNvPr>
        <xdr:cNvPicPr>
          <a:picLocks noChangeAspect="1"/>
        </xdr:cNvPicPr>
      </xdr:nvPicPr>
      <xdr:blipFill>
        <a:blip xmlns:r="http://schemas.openxmlformats.org/officeDocument/2006/relationships" r:embed="rId4"/>
        <a:stretch>
          <a:fillRect/>
        </a:stretch>
      </xdr:blipFill>
      <xdr:spPr>
        <a:xfrm>
          <a:off x="8839200" y="609600"/>
          <a:ext cx="9676190" cy="5390476"/>
        </a:xfrm>
        <a:prstGeom prst="rect">
          <a:avLst/>
        </a:prstGeom>
      </xdr:spPr>
    </xdr:pic>
    <xdr:clientData/>
  </xdr:twoCellAnchor>
  <xdr:twoCellAnchor editAs="oneCell">
    <xdr:from>
      <xdr:col>14</xdr:col>
      <xdr:colOff>304800</xdr:colOff>
      <xdr:row>32</xdr:row>
      <xdr:rowOff>144780</xdr:rowOff>
    </xdr:from>
    <xdr:to>
      <xdr:col>29</xdr:col>
      <xdr:colOff>208419</xdr:colOff>
      <xdr:row>69</xdr:row>
      <xdr:rowOff>6791</xdr:rowOff>
    </xdr:to>
    <xdr:pic>
      <xdr:nvPicPr>
        <xdr:cNvPr id="6" name="图片 5">
          <a:extLst>
            <a:ext uri="{FF2B5EF4-FFF2-40B4-BE49-F238E27FC236}">
              <a16:creationId xmlns:a16="http://schemas.microsoft.com/office/drawing/2014/main" id="{588F87DB-6A8E-2BD3-3C76-B9B47C74451B}"/>
            </a:ext>
          </a:extLst>
        </xdr:cNvPr>
        <xdr:cNvPicPr>
          <a:picLocks noChangeAspect="1"/>
        </xdr:cNvPicPr>
      </xdr:nvPicPr>
      <xdr:blipFill>
        <a:blip xmlns:r="http://schemas.openxmlformats.org/officeDocument/2006/relationships" r:embed="rId5"/>
        <a:stretch>
          <a:fillRect/>
        </a:stretch>
      </xdr:blipFill>
      <xdr:spPr>
        <a:xfrm>
          <a:off x="8839200" y="5996940"/>
          <a:ext cx="9047619" cy="6628571"/>
        </a:xfrm>
        <a:prstGeom prst="rect">
          <a:avLst/>
        </a:prstGeom>
      </xdr:spPr>
    </xdr:pic>
    <xdr:clientData/>
  </xdr:twoCellAnchor>
  <xdr:twoCellAnchor editAs="oneCell">
    <xdr:from>
      <xdr:col>14</xdr:col>
      <xdr:colOff>0</xdr:colOff>
      <xdr:row>70</xdr:row>
      <xdr:rowOff>0</xdr:rowOff>
    </xdr:from>
    <xdr:to>
      <xdr:col>28</xdr:col>
      <xdr:colOff>370362</xdr:colOff>
      <xdr:row>107</xdr:row>
      <xdr:rowOff>138202</xdr:rowOff>
    </xdr:to>
    <xdr:pic>
      <xdr:nvPicPr>
        <xdr:cNvPr id="7" name="图片 6">
          <a:extLst>
            <a:ext uri="{FF2B5EF4-FFF2-40B4-BE49-F238E27FC236}">
              <a16:creationId xmlns:a16="http://schemas.microsoft.com/office/drawing/2014/main" id="{429BB8F1-31A9-DC18-C355-C1FAB283A5FF}"/>
            </a:ext>
          </a:extLst>
        </xdr:cNvPr>
        <xdr:cNvPicPr>
          <a:picLocks noChangeAspect="1"/>
        </xdr:cNvPicPr>
      </xdr:nvPicPr>
      <xdr:blipFill>
        <a:blip xmlns:r="http://schemas.openxmlformats.org/officeDocument/2006/relationships" r:embed="rId6"/>
        <a:stretch>
          <a:fillRect/>
        </a:stretch>
      </xdr:blipFill>
      <xdr:spPr>
        <a:xfrm>
          <a:off x="8534400" y="12801600"/>
          <a:ext cx="8904762"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220980</xdr:colOff>
      <xdr:row>0</xdr:row>
      <xdr:rowOff>121753</xdr:rowOff>
    </xdr:from>
    <xdr:to>
      <xdr:col>20</xdr:col>
      <xdr:colOff>440003</xdr:colOff>
      <xdr:row>29</xdr:row>
      <xdr:rowOff>178225</xdr:rowOff>
    </xdr:to>
    <xdr:pic>
      <xdr:nvPicPr>
        <xdr:cNvPr id="3" name="图片 2">
          <a:extLst>
            <a:ext uri="{FF2B5EF4-FFF2-40B4-BE49-F238E27FC236}">
              <a16:creationId xmlns:a16="http://schemas.microsoft.com/office/drawing/2014/main" id="{99E8EA7F-1EBE-E8F4-65BA-DD68091ECFC7}"/>
            </a:ext>
          </a:extLst>
        </xdr:cNvPr>
        <xdr:cNvPicPr>
          <a:picLocks noChangeAspect="1"/>
        </xdr:cNvPicPr>
      </xdr:nvPicPr>
      <xdr:blipFill>
        <a:blip xmlns:r="http://schemas.openxmlformats.org/officeDocument/2006/relationships" r:embed="rId1"/>
        <a:stretch>
          <a:fillRect/>
        </a:stretch>
      </xdr:blipFill>
      <xdr:spPr>
        <a:xfrm>
          <a:off x="220980" y="121753"/>
          <a:ext cx="12411023" cy="5359992"/>
        </a:xfrm>
        <a:prstGeom prst="rect">
          <a:avLst/>
        </a:prstGeom>
      </xdr:spPr>
    </xdr:pic>
    <xdr:clientData/>
  </xdr:twoCellAnchor>
  <xdr:twoCellAnchor editAs="oneCell">
    <xdr:from>
      <xdr:col>0</xdr:col>
      <xdr:colOff>85096</xdr:colOff>
      <xdr:row>29</xdr:row>
      <xdr:rowOff>152400</xdr:rowOff>
    </xdr:from>
    <xdr:to>
      <xdr:col>19</xdr:col>
      <xdr:colOff>394291</xdr:colOff>
      <xdr:row>59</xdr:row>
      <xdr:rowOff>44839</xdr:rowOff>
    </xdr:to>
    <xdr:pic>
      <xdr:nvPicPr>
        <xdr:cNvPr id="4" name="图片 3">
          <a:extLst>
            <a:ext uri="{FF2B5EF4-FFF2-40B4-BE49-F238E27FC236}">
              <a16:creationId xmlns:a16="http://schemas.microsoft.com/office/drawing/2014/main" id="{C646E80F-2652-476D-2C17-BD777D279CA6}"/>
            </a:ext>
          </a:extLst>
        </xdr:cNvPr>
        <xdr:cNvPicPr>
          <a:picLocks noChangeAspect="1"/>
        </xdr:cNvPicPr>
      </xdr:nvPicPr>
      <xdr:blipFill>
        <a:blip xmlns:r="http://schemas.openxmlformats.org/officeDocument/2006/relationships" r:embed="rId2"/>
        <a:stretch>
          <a:fillRect/>
        </a:stretch>
      </xdr:blipFill>
      <xdr:spPr>
        <a:xfrm>
          <a:off x="85096" y="5455920"/>
          <a:ext cx="11891595" cy="5378839"/>
        </a:xfrm>
        <a:prstGeom prst="rect">
          <a:avLst/>
        </a:prstGeom>
      </xdr:spPr>
    </xdr:pic>
    <xdr:clientData/>
  </xdr:twoCellAnchor>
  <xdr:twoCellAnchor editAs="oneCell">
    <xdr:from>
      <xdr:col>0</xdr:col>
      <xdr:colOff>266700</xdr:colOff>
      <xdr:row>59</xdr:row>
      <xdr:rowOff>20849</xdr:rowOff>
    </xdr:from>
    <xdr:to>
      <xdr:col>21</xdr:col>
      <xdr:colOff>51464</xdr:colOff>
      <xdr:row>91</xdr:row>
      <xdr:rowOff>174365</xdr:rowOff>
    </xdr:to>
    <xdr:pic>
      <xdr:nvPicPr>
        <xdr:cNvPr id="5" name="图片 4">
          <a:extLst>
            <a:ext uri="{FF2B5EF4-FFF2-40B4-BE49-F238E27FC236}">
              <a16:creationId xmlns:a16="http://schemas.microsoft.com/office/drawing/2014/main" id="{931F5EED-AB0C-6DC3-91E8-E38CD4349F28}"/>
            </a:ext>
          </a:extLst>
        </xdr:cNvPr>
        <xdr:cNvPicPr>
          <a:picLocks noChangeAspect="1"/>
        </xdr:cNvPicPr>
      </xdr:nvPicPr>
      <xdr:blipFill>
        <a:blip xmlns:r="http://schemas.openxmlformats.org/officeDocument/2006/relationships" r:embed="rId3"/>
        <a:stretch>
          <a:fillRect/>
        </a:stretch>
      </xdr:blipFill>
      <xdr:spPr>
        <a:xfrm>
          <a:off x="266700" y="10810769"/>
          <a:ext cx="12586364" cy="6005676"/>
        </a:xfrm>
        <a:prstGeom prst="rect">
          <a:avLst/>
        </a:prstGeom>
      </xdr:spPr>
    </xdr:pic>
    <xdr:clientData/>
  </xdr:twoCellAnchor>
  <xdr:twoCellAnchor editAs="oneCell">
    <xdr:from>
      <xdr:col>0</xdr:col>
      <xdr:colOff>0</xdr:colOff>
      <xdr:row>94</xdr:row>
      <xdr:rowOff>0</xdr:rowOff>
    </xdr:from>
    <xdr:to>
      <xdr:col>13</xdr:col>
      <xdr:colOff>589486</xdr:colOff>
      <xdr:row>136</xdr:row>
      <xdr:rowOff>166659</xdr:rowOff>
    </xdr:to>
    <xdr:pic>
      <xdr:nvPicPr>
        <xdr:cNvPr id="2" name="图片 1">
          <a:extLst>
            <a:ext uri="{FF2B5EF4-FFF2-40B4-BE49-F238E27FC236}">
              <a16:creationId xmlns:a16="http://schemas.microsoft.com/office/drawing/2014/main" id="{91C9AACB-0F03-10CC-1715-12D327857B21}"/>
            </a:ext>
          </a:extLst>
        </xdr:cNvPr>
        <xdr:cNvPicPr>
          <a:picLocks noChangeAspect="1"/>
        </xdr:cNvPicPr>
      </xdr:nvPicPr>
      <xdr:blipFill>
        <a:blip xmlns:r="http://schemas.openxmlformats.org/officeDocument/2006/relationships" r:embed="rId4"/>
        <a:stretch>
          <a:fillRect/>
        </a:stretch>
      </xdr:blipFill>
      <xdr:spPr>
        <a:xfrm>
          <a:off x="0" y="17190720"/>
          <a:ext cx="8514286" cy="7847619"/>
        </a:xfrm>
        <a:prstGeom prst="rect">
          <a:avLst/>
        </a:prstGeom>
      </xdr:spPr>
    </xdr:pic>
    <xdr:clientData/>
  </xdr:twoCellAnchor>
  <xdr:twoCellAnchor editAs="oneCell">
    <xdr:from>
      <xdr:col>0</xdr:col>
      <xdr:colOff>0</xdr:colOff>
      <xdr:row>137</xdr:row>
      <xdr:rowOff>0</xdr:rowOff>
    </xdr:from>
    <xdr:to>
      <xdr:col>13</xdr:col>
      <xdr:colOff>465676</xdr:colOff>
      <xdr:row>179</xdr:row>
      <xdr:rowOff>90468</xdr:rowOff>
    </xdr:to>
    <xdr:pic>
      <xdr:nvPicPr>
        <xdr:cNvPr id="6" name="图片 5">
          <a:extLst>
            <a:ext uri="{FF2B5EF4-FFF2-40B4-BE49-F238E27FC236}">
              <a16:creationId xmlns:a16="http://schemas.microsoft.com/office/drawing/2014/main" id="{08BCE808-CCCA-F24C-EB69-357D0C93E8FB}"/>
            </a:ext>
          </a:extLst>
        </xdr:cNvPr>
        <xdr:cNvPicPr>
          <a:picLocks noChangeAspect="1"/>
        </xdr:cNvPicPr>
      </xdr:nvPicPr>
      <xdr:blipFill>
        <a:blip xmlns:r="http://schemas.openxmlformats.org/officeDocument/2006/relationships" r:embed="rId5"/>
        <a:stretch>
          <a:fillRect/>
        </a:stretch>
      </xdr:blipFill>
      <xdr:spPr>
        <a:xfrm>
          <a:off x="0" y="25054560"/>
          <a:ext cx="8390476" cy="7771428"/>
        </a:xfrm>
        <a:prstGeom prst="rect">
          <a:avLst/>
        </a:prstGeom>
      </xdr:spPr>
    </xdr:pic>
    <xdr:clientData/>
  </xdr:twoCellAnchor>
  <xdr:twoCellAnchor editAs="oneCell">
    <xdr:from>
      <xdr:col>0</xdr:col>
      <xdr:colOff>0</xdr:colOff>
      <xdr:row>180</xdr:row>
      <xdr:rowOff>0</xdr:rowOff>
    </xdr:from>
    <xdr:to>
      <xdr:col>13</xdr:col>
      <xdr:colOff>65676</xdr:colOff>
      <xdr:row>222</xdr:row>
      <xdr:rowOff>52373</xdr:rowOff>
    </xdr:to>
    <xdr:pic>
      <xdr:nvPicPr>
        <xdr:cNvPr id="7" name="图片 6">
          <a:extLst>
            <a:ext uri="{FF2B5EF4-FFF2-40B4-BE49-F238E27FC236}">
              <a16:creationId xmlns:a16="http://schemas.microsoft.com/office/drawing/2014/main" id="{E6B1D540-418E-51DC-E0A6-87574DF0C22F}"/>
            </a:ext>
          </a:extLst>
        </xdr:cNvPr>
        <xdr:cNvPicPr>
          <a:picLocks noChangeAspect="1"/>
        </xdr:cNvPicPr>
      </xdr:nvPicPr>
      <xdr:blipFill>
        <a:blip xmlns:r="http://schemas.openxmlformats.org/officeDocument/2006/relationships" r:embed="rId6"/>
        <a:stretch>
          <a:fillRect/>
        </a:stretch>
      </xdr:blipFill>
      <xdr:spPr>
        <a:xfrm>
          <a:off x="0" y="32918400"/>
          <a:ext cx="7990476" cy="7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估价对象为北京市房地产，为所有。根据《国有土地使用证》[]，估价对象（分摊）出让国有建设用地使用权面积为0平方米，建筑面积为1476.21平方米。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估价对象为北京市房地产,属开发建设的，该项目尚在开发建设中。根据《国有土地使用证》[]，估价对象（分摊）出让国有建设用地使用权面积为0平方米，规划建筑面积为1476.21平方米。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2025年4月17日</v>
      </c>
    </row>
    <row r="13" spans="1:2">
      <c r="A13" s="1119" t="s">
        <v>529</v>
      </c>
      <c r="B13" s="1120" t="str">
        <f>'预评函-1'!A18</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3474</v>
      </c>
    </row>
    <row r="21" spans="1:2">
      <c r="A21" s="1119" t="s">
        <v>537</v>
      </c>
      <c r="B21" s="1120">
        <f ca="1">'预评函-2'!D7</f>
        <v>23530</v>
      </c>
    </row>
    <row r="22" spans="1:2">
      <c r="A22" s="1119" t="s">
        <v>538</v>
      </c>
      <c r="B22" s="1120" t="str">
        <f ca="1">'预评函-2'!D6</f>
        <v>叁仟肆佰柒拾肆万元整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3474</v>
      </c>
    </row>
    <row r="31" spans="1:2">
      <c r="A31" s="1119" t="s">
        <v>576</v>
      </c>
      <c r="B31" s="1120">
        <f ca="1">'预评函-2'!D15</f>
        <v>23530</v>
      </c>
    </row>
    <row r="32" spans="1:2">
      <c r="A32" s="1119" t="s">
        <v>543</v>
      </c>
      <c r="B32" s="1120" t="str">
        <f ca="1">'预评函-2'!D14</f>
        <v>叁仟肆佰柒拾肆万元整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1476.21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12" t="s">
        <v>2578</v>
      </c>
      <c r="J2" s="3212"/>
      <c r="K2" s="3212"/>
      <c r="L2" s="3212"/>
      <c r="M2" s="3212"/>
      <c r="N2" s="3212"/>
      <c r="O2" s="3212"/>
      <c r="P2" s="3212"/>
      <c r="Q2" s="3212"/>
      <c r="R2" s="3212"/>
    </row>
    <row r="3" spans="1:18">
      <c r="A3" s="2763" t="s">
        <v>2499</v>
      </c>
      <c r="B3" s="2764">
        <f>项目基本情况!D3</f>
        <v>45764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1.67</v>
      </c>
      <c r="D5" s="2768">
        <f>IF(ISERROR(ROUND(POWER(1+E5,A5-C5)*(POWER(1+E5,C5)-1)/(POWER(1+E5,A5)-1),3)),0,ROUND(POWER(1+E5,A5-C5)*(POWER(1+E5,C5)-1)/(POWER(1+E5,A5)-1),4))</f>
        <v>8.0100000000000005E-2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11.68</v>
      </c>
      <c r="D6" s="2768">
        <f>IF(ISERROR(ROUND(POWER(1+E6,A6-C6)*(POWER(1+E6,C6)-1)/(POWER(1+E6,A6)-1),3)),0,ROUND(POWER(1+E6,A6-C6)*(POWER(1+E6,C6)-1)/(POWER(1+E6,A6)-1),4))</f>
        <v>0.42770000000000002</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31.69</v>
      </c>
      <c r="D7" s="2768">
        <f>IF(ISERROR(ROUND(POWER(1+E7,A7-C7)*(POWER(1+E7,C7)-1)/(POWER(1+E7,A7)-1),3)),0,ROUND(POWER(1+E7,A7-C7)*(POWER(1+E7,C7)-1)/(POWER(1+E7,A7)-1),4))</f>
        <v>0.76029999999999998</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5" thickBot="1">
      <c r="A18" s="2773" t="s">
        <v>2514</v>
      </c>
      <c r="B18" s="2774">
        <f>ROUND(B17*F11/F12,2)</f>
        <v>5541.87</v>
      </c>
      <c r="C18" s="2774">
        <f>ROUND(F11/F12,4)</f>
        <v>1.1521999999999999</v>
      </c>
      <c r="D18" s="2775"/>
      <c r="E18" s="2775"/>
      <c r="F18" s="2776"/>
    </row>
    <row r="19" spans="1:14" ht="15" thickBot="1"/>
    <row r="20" spans="1:14" s="2809" customFormat="1" ht="1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c r="C3" s="2186" t="s">
        <v>2169</v>
      </c>
      <c r="D3" s="2185">
        <v>45764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3410</v>
      </c>
      <c r="C8" s="2201"/>
      <c r="D8" s="3223" t="s">
        <v>2175</v>
      </c>
      <c r="E8" s="2202" t="s">
        <v>3411</v>
      </c>
      <c r="F8" s="2203"/>
      <c r="G8" s="2442"/>
      <c r="H8" s="2442"/>
      <c r="I8" s="2442"/>
      <c r="J8" s="2245"/>
      <c r="K8" s="2400"/>
      <c r="L8" s="2399"/>
      <c r="M8" s="2399"/>
      <c r="N8" s="2245"/>
      <c r="O8" s="1670"/>
      <c r="P8" s="2245"/>
      <c r="Q8" s="2245"/>
      <c r="R8" s="2245"/>
    </row>
    <row r="9" spans="1:30" ht="13.8" thickBot="1">
      <c r="A9" s="2204" t="s">
        <v>2176</v>
      </c>
      <c r="B9" s="2205" t="s">
        <v>3411</v>
      </c>
      <c r="C9" s="2206"/>
      <c r="D9" s="3224"/>
      <c r="E9" s="2205" t="s">
        <v>43</v>
      </c>
      <c r="F9" s="2207"/>
      <c r="G9" s="2443"/>
      <c r="H9" s="2443"/>
      <c r="I9" s="2443"/>
      <c r="J9" s="2245"/>
      <c r="K9" s="2402"/>
      <c r="L9" s="2399"/>
      <c r="M9" s="2399"/>
      <c r="N9" s="2245"/>
      <c r="O9" s="1670"/>
      <c r="P9" s="2245"/>
      <c r="Q9" s="2245"/>
      <c r="R9" s="2245"/>
    </row>
    <row r="10" spans="1:30" ht="13.8" thickTop="1">
      <c r="A10" s="2208" t="s">
        <v>2177</v>
      </c>
      <c r="B10" s="2209" t="s">
        <v>3412</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3413</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c r="D13" s="803"/>
      <c r="E13" s="3168">
        <v>58176</v>
      </c>
      <c r="F13" s="3169" t="s">
        <v>3453</v>
      </c>
      <c r="G13" s="803"/>
      <c r="H13" s="803"/>
      <c r="I13" s="803"/>
      <c r="J13" s="2803"/>
      <c r="K13" s="2399"/>
      <c r="L13" s="2399"/>
      <c r="M13" s="2245"/>
      <c r="N13" s="1670"/>
      <c r="O13" s="2245"/>
      <c r="P13" s="2245"/>
      <c r="Q13" s="2245"/>
      <c r="AD13" s="1618"/>
    </row>
    <row r="14" spans="1:30">
      <c r="A14" s="1018"/>
      <c r="B14" s="2218" t="s">
        <v>2189</v>
      </c>
      <c r="C14" s="2219"/>
      <c r="D14" s="2219"/>
      <c r="E14" s="2219">
        <v>50</v>
      </c>
      <c r="F14" s="2219"/>
      <c r="G14" s="2219"/>
      <c r="H14" s="2219"/>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f>IF(A13="出让",IF(E13="","",ROUNDDOWN(MIN((E13-$D$3)/365,E14),2)),E14)</f>
        <v>34</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30"/>
      <c r="C16" s="3231"/>
      <c r="D16" s="3232"/>
      <c r="E16" s="2222" t="s">
        <v>2192</v>
      </c>
      <c r="F16" s="3233"/>
      <c r="G16" s="3234"/>
      <c r="H16" s="3234"/>
      <c r="I16" s="3235"/>
      <c r="J16" s="2245"/>
      <c r="K16" s="2403"/>
      <c r="L16" s="1670"/>
      <c r="M16" s="1670"/>
      <c r="N16" s="2245"/>
      <c r="O16" s="1670"/>
      <c r="P16" s="2245"/>
      <c r="Q16" s="2245"/>
      <c r="R16" s="2245"/>
    </row>
    <row r="17" spans="1:28">
      <c r="A17" s="305" t="s">
        <v>2193</v>
      </c>
      <c r="B17" s="294" t="s">
        <v>2194</v>
      </c>
      <c r="C17" s="8">
        <f>'数据-汇总表'!E3</f>
        <v>1476.21</v>
      </c>
      <c r="D17" s="1256" t="s">
        <v>2195</v>
      </c>
      <c r="E17" s="3236" t="s">
        <v>2196</v>
      </c>
      <c r="F17" s="3237"/>
      <c r="G17" s="3237"/>
      <c r="H17" s="3237"/>
      <c r="I17" s="3238"/>
      <c r="J17" s="2245"/>
      <c r="K17" s="2404"/>
      <c r="L17" s="1670"/>
      <c r="M17" s="1670"/>
      <c r="N17" s="2245"/>
      <c r="O17" s="1670"/>
      <c r="P17" s="2245"/>
      <c r="Q17" s="2245"/>
      <c r="R17" s="2245"/>
      <c r="S17" s="2245"/>
      <c r="T17" s="2245"/>
      <c r="U17" s="2245"/>
      <c r="V17" s="2245"/>
    </row>
    <row r="18" spans="1:28" ht="24.6" thickBot="1">
      <c r="A18" s="2223" t="s">
        <v>2197</v>
      </c>
      <c r="B18" s="1027" t="s">
        <v>2198</v>
      </c>
      <c r="C18" s="2224">
        <f>'数据-汇总表'!D3</f>
        <v>0</v>
      </c>
      <c r="D18" s="1029" t="s">
        <v>2199</v>
      </c>
      <c r="E18" s="3239" t="s">
        <v>2200</v>
      </c>
      <c r="F18" s="3240"/>
      <c r="G18" s="3240"/>
      <c r="H18" s="3240"/>
      <c r="I18" s="3241"/>
      <c r="J18" s="2245"/>
      <c r="K18" s="2404"/>
      <c r="L18" s="1670"/>
      <c r="M18" s="1670"/>
      <c r="N18" s="2245"/>
      <c r="O18" s="1670"/>
      <c r="P18" s="2245"/>
      <c r="Q18" s="2245"/>
      <c r="R18" s="2245"/>
      <c r="S18" s="2245"/>
      <c r="T18" s="2245"/>
      <c r="U18" s="2245"/>
      <c r="V18" s="2245"/>
    </row>
    <row r="19" spans="1:28" ht="37.200000000000003"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26" t="s">
        <v>2204</v>
      </c>
      <c r="C20" s="3227"/>
      <c r="D20" s="3228" t="s">
        <v>2205</v>
      </c>
      <c r="E20" s="3229"/>
      <c r="F20" s="2430" t="s">
        <v>1056</v>
      </c>
      <c r="G20" s="2442"/>
      <c r="H20" s="2442"/>
      <c r="I20" s="2442"/>
      <c r="J20" s="2245"/>
      <c r="K20" s="3225"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2207</v>
      </c>
      <c r="C21" s="2296" t="s">
        <v>1057</v>
      </c>
      <c r="D21" s="1460" t="s">
        <v>2208</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2209</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4"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2216</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13" t="s">
        <v>2226</v>
      </c>
      <c r="T34" s="315" t="str">
        <f>NUMBERSTRING(7-K34,1)&amp;"通"</f>
        <v>七通</v>
      </c>
      <c r="U34" s="2245"/>
      <c r="V34" s="2245"/>
    </row>
    <row r="35" spans="1:30">
      <c r="A35" s="2236"/>
      <c r="B35" s="3213" t="s">
        <v>2227</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t="s">
        <v>303</v>
      </c>
      <c r="C37" s="2237" t="s">
        <v>303</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2229</v>
      </c>
      <c r="B38" s="2238" t="s">
        <v>140</v>
      </c>
      <c r="C38" s="2238" t="s">
        <v>140</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4427.54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4427.54</v>
      </c>
      <c r="H5" s="13">
        <f t="shared" ref="H5:AT5" si="0">SUM(H13:H656)</f>
        <v>4427.54</v>
      </c>
      <c r="I5" s="13">
        <f t="shared" si="0"/>
        <v>4427.54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1476.21</v>
      </c>
      <c r="BA5" s="15">
        <f t="shared" si="1"/>
        <v>1476.21</v>
      </c>
      <c r="BB5" s="15">
        <f t="shared" si="1"/>
        <v>1476.21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f>面积信息及租约!D2</f>
        <v>204</v>
      </c>
      <c r="D13" s="1513" t="s">
        <v>3431</v>
      </c>
      <c r="E13" s="13">
        <f>IF($C$3="是",ROUND($A$3*G13/$B$3,2),ROUND($A$3*(G13-AT13)/$B$3,2))</f>
        <v>0</v>
      </c>
      <c r="F13" s="29"/>
      <c r="G13" s="30">
        <f>H13+AC13+AT13</f>
        <v>1476.21</v>
      </c>
      <c r="H13" s="17">
        <f>SUMIF(I$12:AB$12,"总值",I13:AB13)</f>
        <v>1476.21</v>
      </c>
      <c r="I13" s="1514">
        <f>面积信息及租约!E2</f>
        <v>1476.21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204</v>
      </c>
      <c r="AY13" s="1260">
        <f>ROUND($AY$6*AZ13/$AZ$5,2)</f>
        <v>0</v>
      </c>
      <c r="AZ13" s="13">
        <f>BA13+BL13</f>
        <v>1476.21</v>
      </c>
      <c r="BA13" s="13">
        <f>SUM(BB13:BK13)</f>
        <v>1476.21</v>
      </c>
      <c r="BB13" s="13">
        <f>IF($D13="是",I13-J13,0)</f>
        <v>1476.21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f>面积信息及租约!D3</f>
        <v>304</v>
      </c>
      <c r="D14" s="1513"/>
      <c r="E14" s="13">
        <f>IF($C$3="是",ROUND($A$3*G14/$B$3,2),ROUND($A$3*(G14-AT14)/$B$3,2))</f>
        <v>0</v>
      </c>
      <c r="F14" s="29"/>
      <c r="G14" s="30">
        <f>H14+AC14+AT14</f>
        <v>1476.21</v>
      </c>
      <c r="H14" s="17">
        <f>SUMIF(I$12:AB$12,"总值",I14:AB14)</f>
        <v>1476.21</v>
      </c>
      <c r="I14" s="1514">
        <f>面积信息及租约!E3</f>
        <v>1476.21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f>面积信息及租约!D4</f>
        <v>404</v>
      </c>
      <c r="D15" s="1513"/>
      <c r="E15" s="13">
        <f>IF($C$3="是",ROUND($A$3*G15/$B$3,2),ROUND($A$3*(G15-AT15)/$B$3,2))</f>
        <v>0</v>
      </c>
      <c r="F15" s="29"/>
      <c r="G15" s="30">
        <f>H15+AC15+AT15</f>
        <v>1475.12</v>
      </c>
      <c r="H15" s="17">
        <f>SUMIF(I$12:AB$12,"总值",I15:AB15)</f>
        <v>1475.12</v>
      </c>
      <c r="I15" s="1514">
        <f>面积信息及租约!E4</f>
        <v>1475.12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404</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f>'数据-基础表'!AY6</f>
        <v>0</v>
      </c>
      <c r="E3" s="41">
        <f>'数据-基础表'!AZ5</f>
        <v>1476.21</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f>ROUND($D$3*E6/$E$3,2)</f>
        <v>0</v>
      </c>
      <c r="E6" s="44">
        <f>E3-E5</f>
        <v>1476.21</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v>2.5</v>
      </c>
      <c r="J7" s="3166" t="s">
        <v>3451</v>
      </c>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1476.21</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1476.21</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f>'数据-基础表'!C13</f>
        <v>204</v>
      </c>
      <c r="D19" s="43">
        <f>ROUND($D$3*E19/$E$3,2)</f>
        <v>0</v>
      </c>
      <c r="E19" s="51">
        <f t="shared" ref="E19:E26" si="1">SUM(F19:G19)</f>
        <v>1476.21</v>
      </c>
      <c r="F19" s="2558">
        <f>'数据-基础表'!G13</f>
        <v>1476.21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1476.21</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1476.21</v>
      </c>
      <c r="F27" s="1072">
        <f>IF(SUM(F19:F26)=E8,SUM(F19:F26),"地上面积有误")</f>
        <v>1476.21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1476.21</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1476.21</v>
      </c>
      <c r="F31" s="644">
        <f>F27+F30</f>
        <v>1476.21</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45" activePane="bottomRight" state="frozen"/>
      <selection activeCell="C50" sqref="C50"/>
      <selection pane="topRight" activeCell="C50" sqref="C50"/>
      <selection pane="bottomLeft" activeCell="C50" sqref="C50"/>
      <selection pane="bottomRight" activeCell="U8" sqref="U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45764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204</v>
      </c>
      <c r="B6" s="1587" t="str">
        <f>IF(A6=0,"","经营性")</f>
        <v>经营性</v>
      </c>
      <c r="C6" s="1588" t="s">
        <v>21</v>
      </c>
      <c r="D6" s="805">
        <f>SUMIF(项目基本情况!C$12:I$12,C6,项目基本情况!C$14:I$14)</f>
        <v>50</v>
      </c>
      <c r="E6" s="804">
        <f>IF(B6="","",SUMIF(项目基本情况!C$12:I$12,C6,项目基本情况!C$13:I$13))</f>
        <v>58176</v>
      </c>
      <c r="F6" s="61">
        <f>SUMIF(项目基本情况!C$12:I$12,C6,项目基本情况!C$15:I$15)</f>
        <v>34</v>
      </c>
      <c r="G6" s="62">
        <f>IF(ISERROR(ROUND(POWER(1+H6,D6-F6)*(POWER(1+H6,F6)-1)/(POWER(1+H6,D6)-1),3)),0,ROUND(POWER(1+H6,D6-F6)*(POWER(1+H6,F6)-1)/(POWER(1+H6,D6)-1),3))</f>
        <v>0.88700000000000001</v>
      </c>
      <c r="H6" s="691">
        <v>0.05</v>
      </c>
      <c r="I6" s="691">
        <v>5.5E-2</v>
      </c>
      <c r="J6" s="63">
        <v>7.0000000000000007E-2</v>
      </c>
      <c r="K6" s="970">
        <f>SUMIF('数据-汇总表'!C$19:C$33,A6,'数据-汇总表'!E$19:E$33)</f>
        <v>1476.21</v>
      </c>
      <c r="L6" s="692">
        <v>4500</v>
      </c>
      <c r="M6" s="64">
        <f t="shared" ref="M6:M14" si="0">ROUND(K6*L6/10000,0)</f>
        <v>664</v>
      </c>
      <c r="N6" s="690">
        <f>N19</f>
        <v>0.77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面积信息及租约!E10</f>
        <v>4.41</v>
      </c>
      <c r="V6" s="67">
        <v>0</v>
      </c>
      <c r="W6" s="67">
        <v>0</v>
      </c>
      <c r="X6" s="979"/>
      <c r="Y6" s="68">
        <f>N6</f>
        <v>0.77</v>
      </c>
      <c r="Z6" s="69">
        <f>ROUND(4*(1+AA6)^'数据-取费表'!AF6,2)</f>
        <v>5.28</v>
      </c>
      <c r="AA6" s="63">
        <v>0.02</v>
      </c>
      <c r="AB6" s="63">
        <v>0.1</v>
      </c>
      <c r="AC6" s="979"/>
      <c r="AD6" s="70">
        <f>ROUND(1-(1-0)*(2025+15-N18)/60,2)</f>
        <v>0.52</v>
      </c>
      <c r="AE6" s="980">
        <f ca="1">IF(AN6="",0,SUMIF(INDIRECT("'"&amp;AN6&amp;"'"&amp;"!E:E"),$AE$5,INDIRECT("'"&amp;AN6&amp;"'"&amp;"!F:F")))</f>
        <v>34</v>
      </c>
      <c r="AF6" s="74">
        <v>14</v>
      </c>
      <c r="AG6" s="130">
        <f ca="1">IF(AF6="",0,AE6-AF6)</f>
        <v>20</v>
      </c>
      <c r="AH6" s="71"/>
      <c r="AI6" s="73">
        <v>365</v>
      </c>
      <c r="AJ6" s="74"/>
      <c r="AK6" s="75">
        <v>0.01</v>
      </c>
      <c r="AL6" s="76">
        <v>1E-3</v>
      </c>
      <c r="AM6" s="77">
        <v>0.01</v>
      </c>
      <c r="AN6" s="1589" t="s">
        <v>3458</v>
      </c>
      <c r="AO6" s="50">
        <f ca="1">SUMIF(INDIRECT("'"&amp;AN6&amp;"'"&amp;"!A:A"),"总价",INDIRECT("'"&amp;AN6&amp;"'"&amp;"!B:B"))</f>
        <v>3132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0.88700000000000001</v>
      </c>
      <c r="H16" s="84">
        <f>ROUND(SUMPRODUCT(H6:H13,K6:K13)/SUMPRODUCT((H6:H13&gt;0)*(K6:K13)),3)</f>
        <v>0.05</v>
      </c>
      <c r="I16" s="85"/>
      <c r="J16" s="85"/>
      <c r="K16" s="86">
        <f>SUM(K6:K15)</f>
        <v>1476.21</v>
      </c>
      <c r="L16" s="87">
        <f>ROUND(M16*10000/SUM(K6:K14),0)</f>
        <v>4498</v>
      </c>
      <c r="M16" s="87">
        <f>SUM(M6:M14)</f>
        <v>664</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164" t="s">
        <v>3434</v>
      </c>
      <c r="N18" s="2449">
        <f>面积信息及租约!I2</f>
        <v>2011</v>
      </c>
      <c r="O18" s="3164" t="s">
        <v>3435</v>
      </c>
      <c r="P18" s="3164" t="s">
        <v>3452</v>
      </c>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2300</v>
      </c>
      <c r="D19" s="2452"/>
      <c r="E19" s="2439"/>
      <c r="F19" s="2439"/>
      <c r="G19" s="2439"/>
      <c r="H19" s="2439"/>
      <c r="I19" s="2439"/>
      <c r="J19" s="2439"/>
      <c r="K19" s="2450"/>
      <c r="L19" s="2450"/>
      <c r="M19" s="2449"/>
      <c r="N19" s="2449">
        <f>ROUND(1-(1-0)*(2025-N18)/60,2)</f>
        <v>0.77</v>
      </c>
      <c r="O19" s="2449"/>
      <c r="P19" s="3167">
        <f>N18-B20+50</f>
        <v>2059</v>
      </c>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2308</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3165" t="s">
        <v>3436</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303</v>
      </c>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f>C58</f>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2284</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7.200000000000003">
      <c r="A4" s="2248"/>
      <c r="B4" s="315" t="s">
        <v>2252</v>
      </c>
      <c r="C4" s="2269" t="s">
        <v>2253</v>
      </c>
      <c r="D4" s="2266"/>
      <c r="E4" s="2270"/>
      <c r="F4" s="1281" t="s">
        <v>2254</v>
      </c>
      <c r="G4" s="2271" t="s">
        <v>2255</v>
      </c>
      <c r="H4" s="751"/>
      <c r="I4" s="751"/>
      <c r="J4" s="751"/>
      <c r="K4" s="751"/>
      <c r="L4" s="751"/>
      <c r="M4" s="751"/>
      <c r="N4" s="751"/>
      <c r="O4" s="751"/>
      <c r="P4" s="751"/>
      <c r="Q4" s="751"/>
    </row>
    <row r="5" spans="1:29" ht="37.200000000000003">
      <c r="A5" s="2248"/>
      <c r="B5" s="315" t="s">
        <v>2256</v>
      </c>
      <c r="C5" s="2269" t="s">
        <v>2257</v>
      </c>
      <c r="D5" s="2266"/>
      <c r="E5" s="2270"/>
      <c r="F5" s="315" t="s">
        <v>2258</v>
      </c>
      <c r="G5" s="2271" t="s">
        <v>2259</v>
      </c>
      <c r="H5" s="751"/>
      <c r="I5" s="751"/>
      <c r="J5" s="751"/>
      <c r="K5" s="751"/>
      <c r="L5" s="751"/>
      <c r="M5" s="751"/>
      <c r="N5" s="751"/>
      <c r="O5" s="751"/>
      <c r="P5" s="751"/>
      <c r="Q5" s="751"/>
    </row>
    <row r="6" spans="1:29" ht="48">
      <c r="A6" s="2248"/>
      <c r="B6" s="315" t="s">
        <v>2260</v>
      </c>
      <c r="C6" s="2271" t="s">
        <v>2255</v>
      </c>
      <c r="D6" s="2266"/>
      <c r="E6" s="2270"/>
      <c r="F6" s="315" t="s">
        <v>2261</v>
      </c>
      <c r="G6" s="2271" t="s">
        <v>2262</v>
      </c>
      <c r="H6" s="751"/>
      <c r="I6" s="751"/>
      <c r="J6" s="751"/>
      <c r="K6" s="751"/>
      <c r="L6" s="751"/>
      <c r="M6" s="751"/>
      <c r="N6" s="751"/>
      <c r="O6" s="751"/>
      <c r="P6" s="751"/>
      <c r="Q6" s="751"/>
    </row>
    <row r="7" spans="1:29" ht="36.6" thickBot="1">
      <c r="A7" s="2248"/>
      <c r="B7" s="315" t="s">
        <v>2258</v>
      </c>
      <c r="C7" s="2271" t="s">
        <v>2259</v>
      </c>
      <c r="D7" s="2245"/>
      <c r="E7" s="2272"/>
      <c r="F7" s="2273" t="s">
        <v>2263</v>
      </c>
      <c r="G7" s="2274" t="s">
        <v>2264</v>
      </c>
      <c r="H7" s="751"/>
      <c r="I7" s="751"/>
      <c r="J7" s="751"/>
      <c r="K7" s="751"/>
      <c r="L7" s="751"/>
      <c r="M7" s="751"/>
      <c r="N7" s="751"/>
      <c r="O7" s="751"/>
      <c r="P7" s="751"/>
      <c r="Q7" s="751"/>
    </row>
    <row r="8" spans="1:29" ht="24">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4.4"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2285</v>
      </c>
      <c r="B13" s="2280"/>
      <c r="C13" s="2280"/>
      <c r="D13" s="2279"/>
      <c r="E13" s="2280"/>
      <c r="F13" s="2280"/>
      <c r="G13" s="2280"/>
    </row>
    <row r="14" spans="1:29" ht="14.4" thickBot="1">
      <c r="A14" s="2285"/>
      <c r="B14" s="2285"/>
      <c r="C14" s="2286" t="s">
        <v>2268</v>
      </c>
      <c r="D14" s="2266"/>
      <c r="E14" s="2287"/>
      <c r="F14" s="2287"/>
      <c r="G14" s="2262" t="s">
        <v>2269</v>
      </c>
    </row>
    <row r="15" spans="1:29" ht="52.8">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9.6">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9.6">
      <c r="A17" s="2252"/>
      <c r="B17" s="2291" t="s">
        <v>2256</v>
      </c>
      <c r="C17" s="2292" t="str">
        <f>C5</f>
        <v>估价对象位于XX商圈，周边办公楼项目较多，入驻率高，办公集聚程度较好</v>
      </c>
      <c r="D17" s="2245"/>
      <c r="E17" s="2253"/>
      <c r="F17" s="2293" t="s">
        <v>2273</v>
      </c>
      <c r="G17" s="2295"/>
    </row>
    <row r="18" spans="1:17" ht="52.8">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6.4">
      <c r="A19" s="2252"/>
      <c r="B19" s="2293" t="s">
        <v>2274</v>
      </c>
      <c r="C19" s="2295"/>
      <c r="D19" s="2266"/>
      <c r="E19" s="2253"/>
      <c r="F19" s="315" t="s">
        <v>2258</v>
      </c>
      <c r="G19" s="2294" t="str">
        <f>G5</f>
        <v>估价对象所在区域公共配套设施齐备情况</v>
      </c>
    </row>
    <row r="20" spans="1:17" ht="26.4">
      <c r="A20" s="2252"/>
      <c r="B20" s="2293" t="s">
        <v>2275</v>
      </c>
      <c r="C20" s="2292" t="str">
        <f>C9</f>
        <v>区域自然环境：；人文环境；综合评价环境状况一般</v>
      </c>
      <c r="D20" s="2245"/>
      <c r="E20" s="2253"/>
      <c r="F20" s="315" t="s">
        <v>2261</v>
      </c>
      <c r="G20" s="2294" t="str">
        <f>G6</f>
        <v>估价对象所在区域基础设施水平</v>
      </c>
    </row>
    <row r="21" spans="1:17" ht="26.4">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4.4"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4.4"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4427.54</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45764</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10419</v>
      </c>
      <c r="C5" s="2300">
        <f ca="1">IF(B5=D14,结果表!H102,ROUND(B5*10000/$B$1,0))</f>
        <v>23530</v>
      </c>
      <c r="D5" s="2300" t="e">
        <f ca="1">ROUND(B5*10000/$B$2,0)</f>
        <v>#DIV/0!</v>
      </c>
      <c r="E5" s="2462"/>
      <c r="F5" s="2463"/>
      <c r="G5" s="2463"/>
      <c r="H5" s="2463"/>
      <c r="I5" s="2463"/>
      <c r="J5" s="2463"/>
      <c r="K5" s="2463"/>
    </row>
    <row r="6" spans="1:11" ht="15.6">
      <c r="A6" s="2300" t="s">
        <v>656</v>
      </c>
      <c r="B6" s="2300">
        <f ca="1">SUM(G14:G23)</f>
        <v>10419</v>
      </c>
      <c r="C6" s="2300">
        <f ca="1">IF(B6=G14,结果表!H108,ROUND(B6*10000/$B$1,0))</f>
        <v>23530</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3354</v>
      </c>
      <c r="D10" s="2300" t="s">
        <v>3355</v>
      </c>
      <c r="E10" s="3137"/>
      <c r="F10" s="3141" t="s">
        <v>3356</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典型户型修正!B22</f>
        <v>4427.54</v>
      </c>
      <c r="C14" s="2306"/>
      <c r="D14" s="2306">
        <f ca="1">典型户型修正!S22</f>
        <v>10419</v>
      </c>
      <c r="E14" s="2306">
        <f ca="1">ROUND(D14*10000/B14,0)</f>
        <v>23532</v>
      </c>
      <c r="F14" s="2306" t="e">
        <f ca="1">ROUND(D14*10000/C14,0)</f>
        <v>#DIV/0!</v>
      </c>
      <c r="G14" s="2306">
        <f ca="1">D14</f>
        <v>10419</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23" sqref="W2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39.6">
      <c r="A2" s="930"/>
      <c r="B2" s="622" t="s">
        <v>2086</v>
      </c>
      <c r="C2" s="14" t="str">
        <f t="shared" ref="C2:L2" si="0">C3&amp;"(含)"&amp;"-"&amp;D3</f>
        <v>0(含)-1000</v>
      </c>
      <c r="D2" s="623" t="str">
        <f t="shared" si="0"/>
        <v>1000(含)-2000</v>
      </c>
      <c r="E2" s="623" t="str">
        <f t="shared" si="0"/>
        <v>2000(含)-3000</v>
      </c>
      <c r="F2" s="623" t="str">
        <f t="shared" si="0"/>
        <v>3000(含)-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1000</v>
      </c>
      <c r="E3" s="628">
        <v>2000</v>
      </c>
      <c r="F3" s="1220">
        <v>3000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0" t="s">
        <v>3463</v>
      </c>
      <c r="C5" s="940" t="s">
        <v>3464</v>
      </c>
      <c r="D5" s="941" t="s">
        <v>3465</v>
      </c>
      <c r="E5" s="941" t="s">
        <v>3466</v>
      </c>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10419</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23532</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4427.54</v>
      </c>
      <c r="C22" s="3259" t="s">
        <v>27</v>
      </c>
      <c r="D22" s="3260"/>
      <c r="E22" s="3260"/>
      <c r="F22" s="3260"/>
      <c r="G22" s="3260"/>
      <c r="H22" s="3260"/>
      <c r="I22" s="3260"/>
      <c r="J22" s="3260"/>
      <c r="K22" s="3260"/>
      <c r="L22" s="3260"/>
      <c r="M22" s="3260"/>
      <c r="N22" s="3260"/>
      <c r="O22" s="3260"/>
      <c r="P22" s="3260"/>
      <c r="Q22" s="3261"/>
      <c r="R22" s="21">
        <f ca="1">ROUND(S22*10000/B22,0)</f>
        <v>23532</v>
      </c>
      <c r="S22" s="21">
        <f ca="1">SUM(S24:S10000)</f>
        <v>10419</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204</v>
      </c>
      <c r="B24" s="633">
        <f>'数据-基础表'!G13</f>
        <v>1476.21</v>
      </c>
      <c r="C24" s="2571">
        <v>1</v>
      </c>
      <c r="D24" s="2572" t="s">
        <v>3467</v>
      </c>
      <c r="E24" s="2571">
        <v>1</v>
      </c>
      <c r="F24" s="2572"/>
      <c r="G24" s="2571">
        <v>1</v>
      </c>
      <c r="H24" s="2572"/>
      <c r="I24" s="2571">
        <v>1</v>
      </c>
      <c r="J24" s="2572"/>
      <c r="K24" s="2571">
        <v>1</v>
      </c>
      <c r="L24" s="2572"/>
      <c r="M24" s="2571">
        <v>1</v>
      </c>
      <c r="N24" s="2572"/>
      <c r="O24" s="2571">
        <v>1</v>
      </c>
      <c r="P24" s="2572"/>
      <c r="Q24" s="2571">
        <v>1</v>
      </c>
      <c r="R24" s="633">
        <f ca="1">结果表!H102</f>
        <v>23530</v>
      </c>
      <c r="S24" s="634">
        <f t="shared" ref="S24:S54" ca="1" si="12">ROUND(R24*B24/10000,0)</f>
        <v>3474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304</v>
      </c>
      <c r="B25" s="633">
        <f>'数据-基础表'!G14</f>
        <v>1476.21</v>
      </c>
      <c r="C25" s="21">
        <f>IF(B25="",1,(LOOKUP(B25,$3:$3,$4:$4)-LOOKUP($B$24,$3:$3,$4:$4)+100)/100)</f>
        <v>1</v>
      </c>
      <c r="D25" s="635" t="s">
        <v>3468</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23530</v>
      </c>
      <c r="S25" s="308">
        <f t="shared" ca="1" si="12"/>
        <v>3474</v>
      </c>
    </row>
    <row r="26" spans="1:45">
      <c r="A26" s="142">
        <f>'数据-基础表'!C15</f>
        <v>404</v>
      </c>
      <c r="B26" s="633">
        <f>'数据-基础表'!G15</f>
        <v>1475.12</v>
      </c>
      <c r="C26" s="21">
        <f t="shared" ref="C26:C89" si="13">IF(B26="",1,(LOOKUP(B26,$3:$3,$4:$4)-LOOKUP($B$24,$3:$3,$4:$4)+100)/100)</f>
        <v>1</v>
      </c>
      <c r="D26" s="635" t="s">
        <v>3469</v>
      </c>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23530</v>
      </c>
      <c r="S26" s="308">
        <f t="shared" ca="1" si="12"/>
        <v>3471</v>
      </c>
    </row>
    <row r="27" spans="1:45">
      <c r="A27" s="142"/>
      <c r="B27" s="52"/>
      <c r="C27" s="21">
        <f t="shared" si="13"/>
        <v>1</v>
      </c>
      <c r="D27" s="635"/>
      <c r="E27" s="21">
        <f t="shared" si="14"/>
        <v>0</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0</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0</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0</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0</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0</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0</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0</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0</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0</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0</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0</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0</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0</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0</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0</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0</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0</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0</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0</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0</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0</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0</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0</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0</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0</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0</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0</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0</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0</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0</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0</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0</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0</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0</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0</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0</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0</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0</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0</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0</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0</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0</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0</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0</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0</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0</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0</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0</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0</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0</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0</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0</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0</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0</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0</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0</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0</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0</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0</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0</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0</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0</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0</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0</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0</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0</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0</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0</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0</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0</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0</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0</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0</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0</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0</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0</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0</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0</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0</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0</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0</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0</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0</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0</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0</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0</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0</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0</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0</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0</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0</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0</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0</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0</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0</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0</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0</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0</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0</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0</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0</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0</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0</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0</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0</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0</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0</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0</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0</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0</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0</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0</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0</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0</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0</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0</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0</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0</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0</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0</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0</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0</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0</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0</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0</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0</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0</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0</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0</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0</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0</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0</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0</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0</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0</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0</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0</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0</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0</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0</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0</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0</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0</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0</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0</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0</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0</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0</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0</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0</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0</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0</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0</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0</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0</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0</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0</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0</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0</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0</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0</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0</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0</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0</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0</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0</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0</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0</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0</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0</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0</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0</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0</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0</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0</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0</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0</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0</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0</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0</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0</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0</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0</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0</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0</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0</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0</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0</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0</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0</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0</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0</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0</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0</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0</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0</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0</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0</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0</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0</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0</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0</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0</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0</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0</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0</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0</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0</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0</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0</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0</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0</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0</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0</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0</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0</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0</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0</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0</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0</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0</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0</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0</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0</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0</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0</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0</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0</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0</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0</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0</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0</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0</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0</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0</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0</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0</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0</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0</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0</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0</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0</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0</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0</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0</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0</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0</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0</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0</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0</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0</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0</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0</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0</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0</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0</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0</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0</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0</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0</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0</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0</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0</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0</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0</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0</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0</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0</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0</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0</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0</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0</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0</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0</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0</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0</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0</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0</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0</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0</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0</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0</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0</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0</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0</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0</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0</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0</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0</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0</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0</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0</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0</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0</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0</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0</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0</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0</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0</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0</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0</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0</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0</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0</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0</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0</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0</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0</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0</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0</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0</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0</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0</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0</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0</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0</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0</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0</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0</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0</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0</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0</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0</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0</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0</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0</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0</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0</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0</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0</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0</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0</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0</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0</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0</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0</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0</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0</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0</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0</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0</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0</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0</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0</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0</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0</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0</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0</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0</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0</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0</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0</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0</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0</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0</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0</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0</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0</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0</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0</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0</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0</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0</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0</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0</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0</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0</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0</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0</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0</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0</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0</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0</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0</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0</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0</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0</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0</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0</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0</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0</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0</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0</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0</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0</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0</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0</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0</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0</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0</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0</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0</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0</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0</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0</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0</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0</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0</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0</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0</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0</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0</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0</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0</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0</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0</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0</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0</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0</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0</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0</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0</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0</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0</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0</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0</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0</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0</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0</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0</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0</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0</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0</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0</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0</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0</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0</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0</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0</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0</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0</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0</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0</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0</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0</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0</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0</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0</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0</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0</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0</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0</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0</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0</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0</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0</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0</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0</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0</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0</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0</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0</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0</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0</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0</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0</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0</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0</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0</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0</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0</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0</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0</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0</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0</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0</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0</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0</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0</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0</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0</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0</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0</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0</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0</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0</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0</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0</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0</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0</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0</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0</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0</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0</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0</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0</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0</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0</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0</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0</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0</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0</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0</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0</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0</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0</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0</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L29" sqref="L2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204</v>
      </c>
      <c r="D1" s="646"/>
      <c r="E1" s="646"/>
      <c r="F1" s="1621" t="s">
        <v>1263</v>
      </c>
      <c r="G1" s="1453" t="s">
        <v>3459</v>
      </c>
      <c r="H1" s="1621" t="str">
        <f>IF(G1="现房","——","估价对象范围")</f>
        <v>——</v>
      </c>
      <c r="I1" s="1622"/>
    </row>
    <row r="2" spans="1:12" ht="21.75" customHeight="1" thickBot="1">
      <c r="A2" s="3299" t="str">
        <f>项目基本情况!S2</f>
        <v>北京市房地产</v>
      </c>
      <c r="B2" s="3300"/>
      <c r="C2" s="3300"/>
      <c r="D2" s="3300"/>
      <c r="E2" s="3300"/>
      <c r="F2" s="3300"/>
      <c r="G2" s="3300"/>
      <c r="H2" s="3300"/>
      <c r="I2" s="3301"/>
    </row>
    <row r="3" spans="1:12" ht="13.2">
      <c r="A3" s="3303" t="s">
        <v>1264</v>
      </c>
      <c r="B3" s="3304"/>
      <c r="C3" s="3304"/>
      <c r="D3" s="3304"/>
      <c r="E3" s="3304"/>
      <c r="F3" s="3304"/>
      <c r="G3" s="3304"/>
      <c r="H3" s="3304"/>
      <c r="I3" s="3304"/>
    </row>
    <row r="4" spans="1:12" ht="14.4">
      <c r="A4" s="1624" t="s">
        <v>1265</v>
      </c>
      <c r="B4" s="1625" t="s">
        <v>1266</v>
      </c>
      <c r="C4" s="1626" t="s">
        <v>3460</v>
      </c>
      <c r="D4" s="1626" t="s">
        <v>3458</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266">
        <v>25</v>
      </c>
      <c r="C5" s="3282"/>
      <c r="D5" s="3302"/>
      <c r="E5" s="123" t="s">
        <v>1269</v>
      </c>
      <c r="F5" s="1627"/>
      <c r="G5" s="1627"/>
      <c r="H5" s="1627"/>
      <c r="I5" s="1281"/>
    </row>
    <row r="6" spans="1:12" ht="13.2">
      <c r="A6" s="3279"/>
      <c r="B6" s="3266"/>
      <c r="C6" s="3283"/>
      <c r="D6" s="3302"/>
      <c r="E6" s="123" t="s">
        <v>1270</v>
      </c>
      <c r="F6" s="1627"/>
      <c r="G6" s="1627"/>
      <c r="H6" s="1627"/>
      <c r="I6" s="1281"/>
    </row>
    <row r="7" spans="1:12" ht="13.2">
      <c r="A7" s="3279"/>
      <c r="B7" s="3266"/>
      <c r="C7" s="3284"/>
      <c r="D7" s="3302"/>
      <c r="E7" s="123" t="s">
        <v>1271</v>
      </c>
      <c r="F7" s="1627"/>
      <c r="G7" s="1627"/>
      <c r="H7" s="1627"/>
      <c r="I7" s="1281"/>
    </row>
    <row r="8" spans="1:12" ht="13.2">
      <c r="A8" s="3279" t="s">
        <v>1272</v>
      </c>
      <c r="B8" s="3266">
        <v>15</v>
      </c>
      <c r="C8" s="3282"/>
      <c r="D8" s="3302"/>
      <c r="E8" s="123" t="s">
        <v>1273</v>
      </c>
      <c r="F8" s="1627"/>
      <c r="G8" s="1627"/>
      <c r="H8" s="1627"/>
      <c r="I8" s="1281"/>
    </row>
    <row r="9" spans="1:12" ht="13.2">
      <c r="A9" s="3279"/>
      <c r="B9" s="3266"/>
      <c r="C9" s="3284"/>
      <c r="D9" s="3302"/>
      <c r="E9" s="123" t="s">
        <v>1274</v>
      </c>
      <c r="F9" s="1627"/>
      <c r="G9" s="1627"/>
      <c r="H9" s="1627"/>
      <c r="I9" s="1281"/>
    </row>
    <row r="10" spans="1:12" ht="13.2">
      <c r="A10" s="3279" t="s">
        <v>1275</v>
      </c>
      <c r="B10" s="3266">
        <v>15</v>
      </c>
      <c r="C10" s="3282"/>
      <c r="D10" s="3302"/>
      <c r="E10" s="123" t="s">
        <v>1276</v>
      </c>
      <c r="F10" s="1627"/>
      <c r="G10" s="1627"/>
      <c r="H10" s="1627"/>
      <c r="I10" s="1281"/>
    </row>
    <row r="11" spans="1:12" ht="13.2">
      <c r="A11" s="3279"/>
      <c r="B11" s="3266"/>
      <c r="C11" s="3284"/>
      <c r="D11" s="3302"/>
      <c r="E11" s="123" t="s">
        <v>1277</v>
      </c>
      <c r="F11" s="1627"/>
      <c r="G11" s="1627"/>
      <c r="H11" s="1627"/>
      <c r="I11" s="1281"/>
    </row>
    <row r="12" spans="1:12" ht="13.2">
      <c r="A12" s="3279" t="s">
        <v>1278</v>
      </c>
      <c r="B12" s="3266">
        <v>15</v>
      </c>
      <c r="C12" s="3282"/>
      <c r="D12" s="3302"/>
      <c r="E12" s="123" t="s">
        <v>1279</v>
      </c>
      <c r="F12" s="1627"/>
      <c r="G12" s="1627"/>
      <c r="H12" s="1627"/>
      <c r="I12" s="1281"/>
    </row>
    <row r="13" spans="1:12" ht="13.2">
      <c r="A13" s="3279"/>
      <c r="B13" s="3266"/>
      <c r="C13" s="3284"/>
      <c r="D13" s="3302"/>
      <c r="E13" s="123" t="s">
        <v>1280</v>
      </c>
      <c r="F13" s="1627"/>
      <c r="G13" s="1627"/>
      <c r="H13" s="1627"/>
      <c r="I13" s="1281"/>
    </row>
    <row r="14" spans="1:12" ht="13.2">
      <c r="A14" s="3279" t="s">
        <v>1281</v>
      </c>
      <c r="B14" s="3266">
        <v>30</v>
      </c>
      <c r="C14" s="3282">
        <v>5</v>
      </c>
      <c r="D14" s="3302">
        <v>5</v>
      </c>
      <c r="E14" s="123" t="s">
        <v>1282</v>
      </c>
      <c r="F14" s="1627"/>
      <c r="G14" s="1627"/>
      <c r="H14" s="1627"/>
      <c r="I14" s="1281"/>
    </row>
    <row r="15" spans="1:12" ht="13.2">
      <c r="A15" s="3279"/>
      <c r="B15" s="3266"/>
      <c r="C15" s="3283"/>
      <c r="D15" s="3302"/>
      <c r="E15" s="123" t="s">
        <v>1283</v>
      </c>
      <c r="F15" s="1627"/>
      <c r="G15" s="1627"/>
      <c r="H15" s="1627"/>
      <c r="I15" s="1281"/>
    </row>
    <row r="16" spans="1:12" ht="13.2">
      <c r="A16" s="3279"/>
      <c r="B16" s="3266"/>
      <c r="C16" s="3284"/>
      <c r="D16" s="3302"/>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89" t="s">
        <v>2129</v>
      </c>
      <c r="F18" s="3290"/>
      <c r="G18" s="3290"/>
      <c r="H18" s="3290"/>
      <c r="I18" s="3290"/>
      <c r="K18" s="294" t="s">
        <v>1289</v>
      </c>
      <c r="L18" s="294">
        <f>IF(C1="",'数据-汇总表'!E3,SUMIF(项目类型,C1,'数据-汇总表'!E17:E26)+SUMIF(项目类型,C1,'数据-汇总表'!I17:I26))</f>
        <v>1476.21</v>
      </c>
      <c r="M18" s="294">
        <f>IF(C1="",'数据-汇总表'!E3,SUMIF(项目类型,C1,'数据-汇总表'!E17:E26))</f>
        <v>1476.21</v>
      </c>
    </row>
    <row r="19" spans="1:36" ht="14.4">
      <c r="A19" s="1630" t="s">
        <v>1290</v>
      </c>
      <c r="B19" s="1631" t="s">
        <v>1291</v>
      </c>
      <c r="C19" s="126">
        <f ca="1">SUMIF(INDIRECT("'"&amp;C4&amp;"'"&amp;"!A:A"),结果表!B19,INDIRECT("'"&amp;C4&amp;"'"&amp;"!B:B"))</f>
        <v>3815</v>
      </c>
      <c r="D19" s="127">
        <f ca="1">SUMIF(INDIRECT("'"&amp;D4&amp;"'"&amp;"!A:A"),结果表!B19,INDIRECT("'"&amp;D4&amp;"'"&amp;"!B:B"))</f>
        <v>3132</v>
      </c>
      <c r="E19" s="1630" t="s">
        <v>1292</v>
      </c>
      <c r="F19" s="1631" t="s">
        <v>1291</v>
      </c>
      <c r="G19" s="128">
        <f ca="1">ROUND(C19*$C$18+D19*$D$18,0)</f>
        <v>3474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25843</v>
      </c>
      <c r="D20" s="130">
        <f ca="1">SUMIF(INDIRECT("'"&amp;D4&amp;"'"&amp;"!A:A"),结果表!B20,INDIRECT("'"&amp;D4&amp;"'"&amp;"!B:B"))</f>
        <v>21216</v>
      </c>
      <c r="E20" s="1633"/>
      <c r="F20" s="43" t="s">
        <v>1295</v>
      </c>
      <c r="G20" s="131">
        <f ca="1">ROUND(C20*$C$18+D20*$D$18,0)</f>
        <v>23530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0.21807151979565775</v>
      </c>
      <c r="E22" s="121"/>
      <c r="F22" s="121"/>
      <c r="G22" s="121"/>
      <c r="H22" s="121"/>
      <c r="I22" s="121"/>
    </row>
    <row r="23" spans="1:36" ht="13.8" thickBot="1">
      <c r="A23" s="646"/>
      <c r="B23" s="646"/>
      <c r="C23" s="646"/>
      <c r="D23" s="646"/>
      <c r="E23" s="121"/>
      <c r="F23" s="121"/>
      <c r="G23" s="121"/>
      <c r="H23" s="121"/>
      <c r="I23" s="121"/>
    </row>
    <row r="24" spans="1:36" ht="14.4">
      <c r="A24" s="3273" t="s">
        <v>1299</v>
      </c>
      <c r="B24" s="1631" t="s">
        <v>1291</v>
      </c>
      <c r="C24" s="128">
        <f>IF(B30=0,0,D30)</f>
        <v>0</v>
      </c>
      <c r="D24" s="1637"/>
      <c r="E24" s="121"/>
      <c r="F24" s="121"/>
      <c r="G24" s="121"/>
      <c r="H24" s="121"/>
      <c r="I24" s="121"/>
    </row>
    <row r="25" spans="1:36" ht="14.4">
      <c r="A25" s="32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23530</v>
      </c>
      <c r="D32" s="1641" t="s">
        <v>3461</v>
      </c>
      <c r="E32" s="121"/>
      <c r="F32" s="121"/>
      <c r="G32" s="121"/>
      <c r="H32" s="121"/>
      <c r="I32" s="121"/>
    </row>
    <row r="33" spans="1:15" ht="14.4">
      <c r="A33" s="740" t="s">
        <v>1306</v>
      </c>
      <c r="B33" s="123"/>
      <c r="C33" s="1642" t="s">
        <v>3462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3" t="s">
        <v>1312</v>
      </c>
      <c r="B36" s="1652" t="s">
        <v>1313</v>
      </c>
      <c r="C36" s="137"/>
      <c r="D36" s="1653"/>
      <c r="E36" s="1567"/>
      <c r="F36" s="1654"/>
      <c r="G36" s="121"/>
      <c r="H36" s="121"/>
      <c r="I36" s="121"/>
    </row>
    <row r="37" spans="1:15" ht="15" thickBot="1">
      <c r="A37" s="3294"/>
      <c r="B37" s="1555" t="s">
        <v>1314</v>
      </c>
      <c r="C37" s="139"/>
      <c r="D37" s="1071"/>
      <c r="E37" s="1071"/>
      <c r="F37" s="1654"/>
      <c r="G37" s="121"/>
      <c r="H37" s="121"/>
      <c r="I37" s="121"/>
    </row>
    <row r="38" spans="1:15" ht="15" thickBot="1">
      <c r="A38" s="329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0" t="s">
        <v>1326</v>
      </c>
      <c r="B45" s="3271"/>
      <c r="C45" s="3272"/>
      <c r="D45" s="147">
        <f ca="1">ROUND(H101*F45,0)</f>
        <v>3474</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8"/>
      <c r="I46" s="151"/>
      <c r="J46" s="2310">
        <v>1</v>
      </c>
      <c r="K46" s="3329" t="s">
        <v>1331</v>
      </c>
      <c r="L46" s="3329"/>
      <c r="M46" s="3349"/>
      <c r="N46" s="3349"/>
      <c r="O46" s="3349"/>
    </row>
    <row r="47" spans="1:15" ht="12" customHeight="1">
      <c r="A47" s="152" t="s">
        <v>1332</v>
      </c>
      <c r="B47" s="153"/>
      <c r="C47" s="154"/>
      <c r="D47" s="1024" t="s">
        <v>1333</v>
      </c>
      <c r="E47" s="294" t="s">
        <v>1334</v>
      </c>
      <c r="F47" s="155" t="s">
        <v>1335</v>
      </c>
      <c r="G47" s="2333" t="s">
        <v>1336</v>
      </c>
      <c r="H47" s="2334"/>
      <c r="I47" s="151"/>
      <c r="J47" s="2310">
        <v>2</v>
      </c>
      <c r="K47" s="3329" t="s">
        <v>1337</v>
      </c>
      <c r="L47" s="3329"/>
      <c r="M47" s="3350">
        <f>'数据-取费表'!B2</f>
        <v>45764</v>
      </c>
      <c r="N47" s="3350"/>
      <c r="O47" s="3350"/>
    </row>
    <row r="48" spans="1:15" ht="26.4">
      <c r="A48" s="3298" t="s">
        <v>1338</v>
      </c>
      <c r="B48" s="3281"/>
      <c r="C48" s="328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9" t="s">
        <v>1340</v>
      </c>
      <c r="L48" s="3329"/>
      <c r="M48" s="3351">
        <f ca="1">H101</f>
        <v>3474</v>
      </c>
      <c r="N48" s="3351"/>
      <c r="O48" s="3351"/>
    </row>
    <row r="49" spans="1:35" ht="25.5" customHeight="1">
      <c r="A49" s="2152" t="s">
        <v>1341</v>
      </c>
      <c r="B49" s="3265" t="s">
        <v>1342</v>
      </c>
      <c r="C49" s="3265"/>
      <c r="D49" s="1478">
        <v>0</v>
      </c>
      <c r="E49" s="316" t="s">
        <v>1343</v>
      </c>
      <c r="F49" s="2233" t="s">
        <v>28</v>
      </c>
      <c r="G49" s="3335"/>
      <c r="H49" s="2134" t="s">
        <v>2132</v>
      </c>
      <c r="I49" s="2135"/>
      <c r="J49" s="2310">
        <v>4</v>
      </c>
      <c r="K49" s="3329" t="str">
        <f>IF(项目基本情况!E8="房地产抵押价值","房地产抵押价值","抵押担保权已注销时的房地产抵押价值")</f>
        <v>房地产抵押价值</v>
      </c>
      <c r="L49" s="3329"/>
      <c r="M49" s="3351">
        <f ca="1">IF(项目基本情况!E8="房地产抵押价值",H107,H109)</f>
        <v>3474</v>
      </c>
      <c r="N49" s="3351"/>
      <c r="O49" s="3351"/>
    </row>
    <row r="50" spans="1:35" ht="25.5" customHeight="1">
      <c r="A50" s="2338"/>
      <c r="B50" s="3265" t="s">
        <v>1344</v>
      </c>
      <c r="C50" s="3265"/>
      <c r="D50" s="2189"/>
      <c r="E50" s="323"/>
      <c r="F50" s="2233"/>
      <c r="G50" s="3336"/>
      <c r="H50" s="2136" t="s">
        <v>2133</v>
      </c>
      <c r="I50" s="2135"/>
      <c r="J50" s="3348" t="s">
        <v>1345</v>
      </c>
      <c r="K50" s="3348"/>
      <c r="L50" s="3348"/>
      <c r="M50" s="3348"/>
      <c r="N50" s="3348"/>
      <c r="O50" s="3348"/>
    </row>
    <row r="51" spans="1:35" ht="20.399999999999999" customHeight="1">
      <c r="A51" s="2339"/>
      <c r="B51" s="3265" t="s">
        <v>1346</v>
      </c>
      <c r="C51" s="3265"/>
      <c r="D51" s="1024"/>
      <c r="E51" s="319"/>
      <c r="F51" s="2233"/>
      <c r="G51" s="3337"/>
      <c r="H51" s="2136" t="s">
        <v>2134</v>
      </c>
      <c r="I51" s="2135"/>
      <c r="J51" s="2311" t="s">
        <v>1347</v>
      </c>
      <c r="K51" s="3329" t="s">
        <v>1348</v>
      </c>
      <c r="L51" s="3329"/>
      <c r="M51" s="2311" t="s">
        <v>1349</v>
      </c>
      <c r="N51" s="2311" t="s">
        <v>1350</v>
      </c>
      <c r="O51" s="2311" t="s">
        <v>1351</v>
      </c>
    </row>
    <row r="52" spans="1:35" ht="24" customHeight="1">
      <c r="A52" s="2153" t="s">
        <v>1352</v>
      </c>
      <c r="B52" s="3265" t="s">
        <v>1353</v>
      </c>
      <c r="C52" s="3265"/>
      <c r="D52" s="1024">
        <f ca="1">ROUND(D45*'数据-取费表'!B41/(1+'数据-取费表'!C42),0)</f>
        <v>185</v>
      </c>
      <c r="E52" s="1256" t="s">
        <v>1354</v>
      </c>
      <c r="F52" s="2340">
        <f>'数据-取费表'!B41</f>
        <v>5.6000000000000001E-2</v>
      </c>
      <c r="G52" s="2341"/>
      <c r="H52" s="2331"/>
      <c r="I52" s="1669"/>
      <c r="J52" s="2310">
        <v>1</v>
      </c>
      <c r="K52" s="3330" t="s">
        <v>1355</v>
      </c>
      <c r="L52" s="3330"/>
      <c r="M52" s="2312" t="b">
        <f>D48</f>
        <v>0</v>
      </c>
      <c r="N52" s="2310" t="str">
        <f>E48</f>
        <v>销售额×税（费）率</v>
      </c>
      <c r="O52" s="2313">
        <f>F48</f>
        <v>5.6000000000000001E-2</v>
      </c>
    </row>
    <row r="53" spans="1:35" ht="12" customHeight="1">
      <c r="A53" s="2153" t="s">
        <v>1356</v>
      </c>
      <c r="B53" s="3291" t="s">
        <v>2289</v>
      </c>
      <c r="C53" s="3292"/>
      <c r="D53" s="1024">
        <f ca="1">ROUND(D45*'数据-取费表'!B41/(1+'数据-取费表'!C42),0)</f>
        <v>185</v>
      </c>
      <c r="E53" s="1256" t="s">
        <v>1354</v>
      </c>
      <c r="F53" s="2340">
        <f>'数据-取费表'!B41</f>
        <v>5.6000000000000001E-2</v>
      </c>
      <c r="G53" s="2341"/>
      <c r="H53" s="2331"/>
      <c r="I53" s="1669"/>
      <c r="J53" s="2310">
        <v>2</v>
      </c>
      <c r="K53" s="3330" t="s">
        <v>1357</v>
      </c>
      <c r="L53" s="3330"/>
      <c r="M53" s="2312">
        <f t="shared" ref="M53:O54" ca="1" si="0">D55</f>
        <v>2</v>
      </c>
      <c r="N53" s="2310" t="str">
        <f t="shared" si="0"/>
        <v>销售额×税（费）率</v>
      </c>
      <c r="O53" s="2313" t="str">
        <f t="shared" si="0"/>
        <v>免征</v>
      </c>
    </row>
    <row r="54" spans="1:35" ht="12" customHeight="1">
      <c r="A54" s="2153" t="s">
        <v>1358</v>
      </c>
      <c r="B54" s="3291" t="s">
        <v>2290</v>
      </c>
      <c r="C54" s="3292"/>
      <c r="D54" s="1024">
        <f ca="1">C68</f>
        <v>185</v>
      </c>
      <c r="E54" s="319" t="s">
        <v>1359</v>
      </c>
      <c r="F54" s="2340">
        <f>'数据-取费表'!B41</f>
        <v>5.6000000000000001E-2</v>
      </c>
      <c r="G54" s="2341"/>
      <c r="H54" s="2342"/>
      <c r="I54" s="1669"/>
      <c r="J54" s="2310">
        <v>3</v>
      </c>
      <c r="K54" s="3330" t="s">
        <v>1360</v>
      </c>
      <c r="L54" s="3330"/>
      <c r="M54" s="2312">
        <f t="shared" ca="1" si="0"/>
        <v>1966</v>
      </c>
      <c r="N54" s="2310" t="str">
        <f t="shared" si="0"/>
        <v>增值额×税（费）率</v>
      </c>
      <c r="O54" s="2314" t="str">
        <f t="shared" si="0"/>
        <v>免征</v>
      </c>
    </row>
    <row r="55" spans="1:35" ht="24" customHeight="1">
      <c r="A55" s="3280" t="s">
        <v>1361</v>
      </c>
      <c r="B55" s="3281"/>
      <c r="C55" s="3281"/>
      <c r="D55" s="12">
        <f ca="1">IF(H55="个人住宅",0,ROUND(D45*I55,0))</f>
        <v>2</v>
      </c>
      <c r="E55" s="1256" t="s">
        <v>1362</v>
      </c>
      <c r="F55" s="2340" t="str">
        <f>IF(H55="正常",I55,"免征")</f>
        <v>免征</v>
      </c>
      <c r="G55" s="2341"/>
      <c r="H55" s="2337"/>
      <c r="I55" s="157">
        <f>'数据-取费表'!B49</f>
        <v>5.0000000000000001E-4</v>
      </c>
      <c r="J55" s="2310">
        <f>IF(H59="非个人房产","",4)</f>
        <v>4</v>
      </c>
      <c r="K55" s="3330" t="str">
        <f>IF(H59="非个人房产","——","个人所得税")</f>
        <v>个人所得税</v>
      </c>
      <c r="L55" s="3330"/>
      <c r="M55" s="2315">
        <f ca="1">D59</f>
        <v>33</v>
      </c>
      <c r="N55" s="1883" t="str">
        <f>E59</f>
        <v>差额计税</v>
      </c>
      <c r="O55" s="2316">
        <f>F59</f>
        <v>0.01</v>
      </c>
    </row>
    <row r="56" spans="1:35" ht="25.2">
      <c r="A56" s="3280" t="s">
        <v>1363</v>
      </c>
      <c r="B56" s="3281"/>
      <c r="C56" s="3281"/>
      <c r="D56" s="12">
        <f ca="1">IF(H56="个人住宅",D57,D58)</f>
        <v>1966</v>
      </c>
      <c r="E56" s="1256" t="s">
        <v>1364</v>
      </c>
      <c r="F56" s="2340" t="str">
        <f>IF(H56="正常",F58,"免征")</f>
        <v>免征</v>
      </c>
      <c r="G56" s="2343" t="s">
        <v>1365</v>
      </c>
      <c r="H56" s="2344"/>
      <c r="I56" s="1670"/>
      <c r="J56" s="2310" t="str">
        <f>IF(项目基本情况!K6="上海银行",IF(J55="",4,J55+1),"")</f>
        <v/>
      </c>
      <c r="K56" s="3353" t="str">
        <f>IF(项目基本情况!K6="上海银行","其他处置费用","")</f>
        <v/>
      </c>
      <c r="L56" s="3354"/>
      <c r="M56" s="2312" t="str">
        <f>IF(项目基本情况!K6="上海银行",M69,"")</f>
        <v/>
      </c>
      <c r="N56" s="3353" t="str">
        <f>IF(项目基本情况!K6="上海银行","包含处置中涉及的律师、诉讼、拍卖、评估等费用","")</f>
        <v/>
      </c>
      <c r="O56" s="3356"/>
    </row>
    <row r="57" spans="1:35" ht="13.2">
      <c r="A57" s="2153" t="s">
        <v>1341</v>
      </c>
      <c r="B57" s="3291" t="s">
        <v>1366</v>
      </c>
      <c r="C57" s="3292"/>
      <c r="D57" s="1478">
        <v>0</v>
      </c>
      <c r="E57" s="316" t="s">
        <v>1343</v>
      </c>
      <c r="F57" s="294"/>
      <c r="G57" s="2341"/>
      <c r="H57" s="2345"/>
      <c r="I57" s="1670"/>
      <c r="J57" s="3330">
        <f>IF(AND(J55="",J56=""),4,IF(项目基本情况!K6="上海银行",结果表!J56+1,结果表!J55+1))</f>
        <v>5</v>
      </c>
      <c r="K57" s="3330" t="s">
        <v>1367</v>
      </c>
      <c r="L57" s="2317" t="s">
        <v>1368</v>
      </c>
      <c r="M57" s="2318"/>
      <c r="N57" s="2319">
        <f ca="1">SUMIF(M52:M56,"&lt;9e307")</f>
        <v>2001</v>
      </c>
      <c r="O57" s="2320"/>
      <c r="P57" s="2465">
        <f ca="1">N57/M49</f>
        <v>0.57599309153713296</v>
      </c>
    </row>
    <row r="58" spans="1:35" ht="25.2">
      <c r="A58" s="2153" t="s">
        <v>1352</v>
      </c>
      <c r="B58" s="3291" t="s">
        <v>1369</v>
      </c>
      <c r="C58" s="3265"/>
      <c r="D58" s="12">
        <f ca="1">IF(H58="转让取得",C81,C97)</f>
        <v>1966</v>
      </c>
      <c r="E58" s="1256" t="s">
        <v>1364</v>
      </c>
      <c r="F58" s="294" t="s">
        <v>28</v>
      </c>
      <c r="G58" s="2341"/>
      <c r="H58" s="2344"/>
      <c r="I58" s="1670"/>
      <c r="J58" s="3330"/>
      <c r="K58" s="3330"/>
      <c r="L58" s="2317" t="s">
        <v>1370</v>
      </c>
      <c r="M58" s="2321"/>
      <c r="N58" s="2322" t="str">
        <f ca="1">NUMBERSTRING(INT(N57*10000),2)&amp;"元整"</f>
        <v>贰仟零壹万元整</v>
      </c>
      <c r="O58" s="2323"/>
    </row>
    <row r="59" spans="1:35" ht="24.6" thickBot="1">
      <c r="A59" s="3333" t="s">
        <v>1371</v>
      </c>
      <c r="B59" s="3334"/>
      <c r="C59" s="3334"/>
      <c r="D59" s="2346">
        <f ca="1">IF(H59="非个人房产","——",IF(H59="个人住宅（满五唯一有凭证）",0,IF(H59="个人其他（无凭证）",ROUND(D45*F59,0),ROUND(C67*F59,0))))</f>
        <v>33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331">
        <f>J57+1</f>
        <v>6</v>
      </c>
      <c r="K59" s="3330" t="s">
        <v>1372</v>
      </c>
      <c r="L59" s="2310" t="s">
        <v>1368</v>
      </c>
      <c r="M59" s="2324"/>
      <c r="N59" s="2325">
        <f ca="1">M49-N57</f>
        <v>1473</v>
      </c>
      <c r="O59" s="2326"/>
    </row>
    <row r="60" spans="1:35" ht="12" customHeight="1">
      <c r="A60" s="1671"/>
      <c r="B60" s="646"/>
      <c r="C60" s="646"/>
      <c r="D60" s="646"/>
      <c r="E60" s="1466"/>
      <c r="F60" s="1670"/>
      <c r="G60" s="1670"/>
      <c r="H60" s="151"/>
      <c r="I60" s="121"/>
      <c r="J60" s="3332"/>
      <c r="K60" s="3330"/>
      <c r="L60" s="2317" t="s">
        <v>1370</v>
      </c>
      <c r="M60" s="2321"/>
      <c r="N60" s="2322" t="str">
        <f ca="1">NUMBERSTRING(INT(N59*10000),2)&amp;"元整"</f>
        <v>壹仟肆佰柒拾叁万元整</v>
      </c>
      <c r="O60" s="2323"/>
    </row>
    <row r="61" spans="1:35" ht="13.8" thickBot="1">
      <c r="A61" s="3278" t="s">
        <v>1373</v>
      </c>
      <c r="B61" s="3278"/>
      <c r="C61" s="3278"/>
      <c r="D61" s="3278"/>
      <c r="E61" s="3278"/>
      <c r="F61" s="1670"/>
      <c r="G61" s="1670"/>
      <c r="H61" s="151"/>
      <c r="I61" s="121"/>
      <c r="J61" s="2310">
        <f>J59+1</f>
        <v>7</v>
      </c>
      <c r="K61" s="3330" t="s">
        <v>1374</v>
      </c>
      <c r="L61" s="3330"/>
      <c r="M61" s="2327"/>
      <c r="N61" s="2328">
        <f ca="1">ROUND(N59*10000/'数据-汇总表'!E3,0)</f>
        <v>9978</v>
      </c>
      <c r="O61" s="2329"/>
    </row>
    <row r="62" spans="1:35" ht="13.2">
      <c r="A62" s="3296" t="s">
        <v>1375</v>
      </c>
      <c r="B62" s="3297"/>
      <c r="C62" s="1865"/>
      <c r="D62" s="1865" t="s">
        <v>1376</v>
      </c>
      <c r="E62" s="158" t="s">
        <v>1377</v>
      </c>
      <c r="F62" s="1670"/>
      <c r="G62" s="1670"/>
      <c r="H62" s="151"/>
      <c r="I62" s="121"/>
    </row>
    <row r="63" spans="1:35" ht="13.2">
      <c r="A63" s="165" t="s">
        <v>330</v>
      </c>
      <c r="B63" s="159" t="s">
        <v>1378</v>
      </c>
      <c r="C63" s="2350">
        <f ca="1">ROUND((C64+C65)/(1+'数据-取费表'!C42),0)</f>
        <v>3309</v>
      </c>
      <c r="D63" s="159"/>
      <c r="E63" s="160"/>
      <c r="F63" s="1670"/>
      <c r="G63" s="1670"/>
      <c r="H63" s="151"/>
      <c r="I63" s="121"/>
      <c r="J63" s="3355" t="s">
        <v>1379</v>
      </c>
      <c r="K63" s="1245" t="s">
        <v>1380</v>
      </c>
      <c r="L63" s="1245">
        <f ca="1">IF(M49&gt;10000,M49*0.5%,IF(AND(M49&gt;1000,M49&lt;=10000),M49*1%,IF(AND(M49&gt;100,M49&lt;=1000),M49*3%,IF(AND(M49&gt;10,M49&lt;=100),M49*5%,M49*8%))))</f>
        <v>34.74</v>
      </c>
      <c r="M63" s="294">
        <f ca="1">ROUND(L63,1)</f>
        <v>34.700000000000003</v>
      </c>
      <c r="N63" s="2330"/>
      <c r="Z63" s="1623"/>
      <c r="AI63" s="1561"/>
    </row>
    <row r="64" spans="1:35" ht="14.25" customHeight="1">
      <c r="A64" s="161" t="s">
        <v>325</v>
      </c>
      <c r="B64" s="162" t="s">
        <v>1381</v>
      </c>
      <c r="C64" s="2351">
        <f ca="1">D45</f>
        <v>3474</v>
      </c>
      <c r="D64" s="162" t="s">
        <v>26</v>
      </c>
      <c r="E64" s="164"/>
      <c r="F64" s="1670"/>
      <c r="G64" s="1670"/>
      <c r="H64" s="151"/>
      <c r="I64" s="121"/>
      <c r="J64" s="3355"/>
      <c r="K64" s="1245" t="s">
        <v>1382</v>
      </c>
      <c r="L64" s="1245">
        <f ca="1">IF(M49&gt;2000,M49*0.5%,IF(AND(M49&gt;1000,M49&lt;=2000),M49*0.6%,IF(AND(M49&gt;500,M49&lt;=1000),M49*0.7%,IF(AND(M49&gt;200,M49&lt;=500),M49*0.8%,IF(AND(M49&gt;100,M49&lt;=200),M49*0.9%,IF(AND(M49&gt;50,M49&lt;=100),M49*1%,IF(AND(M49&gt;20,M49&lt;=50),M49*1.5%,IF(AND(M49&gt;10,M49&lt;=20),M49*2%,IF(AND(M49&gt;1,M49&lt;=10),M49*2.5%)))))))))</f>
        <v>17.37</v>
      </c>
      <c r="M64" s="294">
        <f t="shared" ref="M64:M65" ca="1" si="1">ROUND(L64,1)</f>
        <v>17.399999999999999</v>
      </c>
      <c r="N64" s="2331" t="s">
        <v>1383</v>
      </c>
      <c r="Z64" s="1623"/>
      <c r="AI64" s="1561"/>
    </row>
    <row r="65" spans="1:35" ht="14.25" customHeight="1">
      <c r="A65" s="161" t="s">
        <v>326</v>
      </c>
      <c r="B65" s="162" t="s">
        <v>1384</v>
      </c>
      <c r="C65" s="2352"/>
      <c r="D65" s="162"/>
      <c r="E65" s="164"/>
      <c r="F65" s="1670"/>
      <c r="G65" s="1670"/>
      <c r="H65" s="151"/>
      <c r="I65" s="121"/>
      <c r="J65" s="3355"/>
      <c r="K65" s="1245" t="s">
        <v>1385</v>
      </c>
      <c r="L65" s="1245">
        <f ca="1">IF(M49&gt;1000,M49*0.1%,IF(AND(M49&gt;500,M49&lt;=1000),M49*0.5%,IF(AND(M49&gt;50,M49&lt;=500),M49*1%,IF(AND(M49&gt;1,M49&lt;=50),M49*1.5%))))</f>
        <v>3.4740000000000002</v>
      </c>
      <c r="M65" s="294">
        <f t="shared" ca="1" si="1"/>
        <v>3.5</v>
      </c>
      <c r="N65" s="2331" t="s">
        <v>1383</v>
      </c>
      <c r="Z65" s="1623"/>
      <c r="AI65" s="1561"/>
    </row>
    <row r="66" spans="1:35" ht="14.25" customHeight="1">
      <c r="A66" s="165" t="s">
        <v>327</v>
      </c>
      <c r="B66" s="166" t="s">
        <v>1386</v>
      </c>
      <c r="C66" s="2353"/>
      <c r="D66" s="166" t="s">
        <v>26</v>
      </c>
      <c r="E66" s="1251" t="s">
        <v>671</v>
      </c>
      <c r="F66" s="1670"/>
      <c r="G66" s="1670"/>
      <c r="H66" s="151"/>
      <c r="I66" s="121"/>
      <c r="J66" s="3355"/>
      <c r="K66" s="1245" t="s">
        <v>1387</v>
      </c>
      <c r="L66" s="1245">
        <f ca="1">M49*0.5%</f>
        <v>17.37</v>
      </c>
      <c r="M66" s="294">
        <f ca="1">IF(L66&gt;0.5,0.5,ROUND(L66,0))</f>
        <v>0.5</v>
      </c>
      <c r="N66" s="2331" t="s">
        <v>1388</v>
      </c>
      <c r="Z66" s="1623"/>
      <c r="AI66" s="1561"/>
    </row>
    <row r="67" spans="1:35" ht="14.25" customHeight="1">
      <c r="A67" s="165" t="s">
        <v>328</v>
      </c>
      <c r="B67" s="166" t="s">
        <v>1389</v>
      </c>
      <c r="C67" s="2354">
        <f ca="1">C63-C66</f>
        <v>3309</v>
      </c>
      <c r="D67" s="162" t="s">
        <v>26</v>
      </c>
      <c r="E67" s="164"/>
      <c r="F67" s="1670"/>
      <c r="G67" s="1670"/>
      <c r="H67" s="151"/>
      <c r="I67" s="121"/>
      <c r="J67" s="335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185</v>
      </c>
      <c r="D68" s="2356">
        <f>'数据-取费表'!B41</f>
        <v>5.6000000000000001E-2</v>
      </c>
      <c r="E68" s="170"/>
      <c r="F68" s="1670"/>
      <c r="G68" s="1670"/>
      <c r="H68" s="151"/>
      <c r="I68" s="121"/>
      <c r="J68" s="3355"/>
      <c r="K68" s="1245" t="s">
        <v>1392</v>
      </c>
      <c r="L68" s="1245">
        <f ca="1">IF(M49&gt;10000,M49*0.5%,IF(AND(M49&gt;5000,M49&lt;=10000),M49*1%,IF(AND(M49&gt;1000,M49&lt;=5000),M49*2%,IF(AND(M49&gt;200,M49&lt;=1000),M49*3%,M49*5%))))</f>
        <v>69.48</v>
      </c>
      <c r="M68" s="294">
        <f ca="1">ROUND(L68,1)</f>
        <v>69.5</v>
      </c>
      <c r="N68" s="2330"/>
      <c r="Z68" s="1623"/>
      <c r="AI68" s="1561"/>
    </row>
    <row r="69" spans="1:35" ht="16.5" customHeight="1">
      <c r="A69" s="1672"/>
      <c r="B69" s="1673"/>
      <c r="C69" s="1674"/>
      <c r="D69" s="1675"/>
      <c r="E69" s="1676"/>
      <c r="F69" s="1466"/>
      <c r="G69" s="1466"/>
      <c r="H69" s="1467"/>
      <c r="I69" s="646"/>
      <c r="J69" s="3355"/>
      <c r="K69" s="1245" t="s">
        <v>1393</v>
      </c>
      <c r="L69" s="1245"/>
      <c r="M69" s="294">
        <f ca="1">ROUND(SUM(M63:M68),0)</f>
        <v>128</v>
      </c>
      <c r="N69" s="2332">
        <f ca="1">M69/M49</f>
        <v>3.6845135290731149E-2</v>
      </c>
      <c r="Z69" s="1623"/>
      <c r="AI69" s="1561"/>
    </row>
    <row r="70" spans="1:35" s="642" customFormat="1" ht="14.4"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3309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1" t="s">
        <v>1402</v>
      </c>
      <c r="F76" s="3265"/>
      <c r="G76" s="3265"/>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20</v>
      </c>
      <c r="D78" s="2363">
        <f>'数据-取费表'!B43</f>
        <v>6.000000000000001E-3</v>
      </c>
      <c r="E78" s="3275" t="s">
        <v>1406</v>
      </c>
      <c r="F78" s="3276"/>
      <c r="G78" s="3276"/>
      <c r="H78" s="32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3289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164.45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1966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3309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7" t="s">
        <v>2127</v>
      </c>
      <c r="H90" s="335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5" t="s">
        <v>1419</v>
      </c>
      <c r="F91" s="3276"/>
      <c r="G91" s="32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5" t="s">
        <v>1422</v>
      </c>
      <c r="F92" s="3276"/>
      <c r="G92" s="3276"/>
      <c r="H92" s="3285"/>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20</v>
      </c>
      <c r="D93" s="2363">
        <f>'数据-取费表'!B43</f>
        <v>6.000000000000001E-3</v>
      </c>
      <c r="E93" s="3275" t="s">
        <v>1406</v>
      </c>
      <c r="F93" s="3276"/>
      <c r="G93" s="3276"/>
      <c r="H93" s="32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6" t="s">
        <v>1426</v>
      </c>
      <c r="F94" s="3287"/>
      <c r="G94" s="3287"/>
      <c r="H94" s="32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3289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1966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7"/>
      <c r="E100" s="3254" t="s">
        <v>1429</v>
      </c>
      <c r="F100" s="3254"/>
      <c r="G100" s="3254"/>
      <c r="H100" s="3277"/>
      <c r="I100" s="121"/>
    </row>
    <row r="101" spans="1:35" ht="18.75" customHeight="1">
      <c r="A101" s="3338" t="s">
        <v>1430</v>
      </c>
      <c r="B101" s="3339"/>
      <c r="C101" s="2371" t="str">
        <f>C4</f>
        <v>成本法</v>
      </c>
      <c r="D101" s="2372" t="str">
        <f>D4</f>
        <v>收益法</v>
      </c>
      <c r="E101" s="3352" t="s">
        <v>1431</v>
      </c>
      <c r="F101" s="3309"/>
      <c r="G101" s="1687" t="s">
        <v>1432</v>
      </c>
      <c r="H101" s="2381">
        <f ca="1">H118</f>
        <v>3474</v>
      </c>
      <c r="I101" s="121"/>
    </row>
    <row r="102" spans="1:35" ht="18.75" customHeight="1">
      <c r="A102" s="3311" t="s">
        <v>1433</v>
      </c>
      <c r="B102" s="2370" t="s">
        <v>1432</v>
      </c>
      <c r="C102" s="2371">
        <f ca="1">IF(D32="楼面单价",ROUND(C19,0),C19)</f>
        <v>3815</v>
      </c>
      <c r="D102" s="2372">
        <f ca="1">IF(D32="楼面单价",ROUND(D19,0),D19)</f>
        <v>3132</v>
      </c>
      <c r="E102" s="3352"/>
      <c r="F102" s="3309"/>
      <c r="G102" s="1687" t="s">
        <v>1434</v>
      </c>
      <c r="H102" s="2341">
        <f ca="1">I118</f>
        <v>23530</v>
      </c>
      <c r="I102" s="121"/>
    </row>
    <row r="103" spans="1:35" ht="42.75" customHeight="1">
      <c r="A103" s="3311"/>
      <c r="B103" s="2370" t="s">
        <v>1434</v>
      </c>
      <c r="C103" s="2373">
        <f ca="1">C20</f>
        <v>25843</v>
      </c>
      <c r="D103" s="2374">
        <f ca="1">D20</f>
        <v>21216</v>
      </c>
      <c r="E103" s="3346" t="s">
        <v>1435</v>
      </c>
      <c r="F103" s="3347"/>
      <c r="G103" s="1688" t="s">
        <v>1436</v>
      </c>
      <c r="H103" s="2381">
        <f>IF(D36="正常操作",H104+H105+H106,H105+H106)</f>
        <v>0</v>
      </c>
      <c r="I103" s="121"/>
    </row>
    <row r="104" spans="1:35" ht="18.75" customHeight="1">
      <c r="A104" s="3311" t="s">
        <v>1437</v>
      </c>
      <c r="B104" s="2375" t="s">
        <v>1432</v>
      </c>
      <c r="C104" s="2376">
        <f ca="1">H118</f>
        <v>3474</v>
      </c>
      <c r="D104" s="2377"/>
      <c r="E104" s="1555" t="s">
        <v>1438</v>
      </c>
      <c r="F104" s="1548"/>
      <c r="G104" s="1688" t="s">
        <v>1436</v>
      </c>
      <c r="H104" s="2382">
        <f>IF(D36="同一抵押权人同一抵押物续贷",C36&amp;"（续贷，未扣减，详见特别提示）",C36)</f>
        <v>0</v>
      </c>
      <c r="I104" s="121"/>
    </row>
    <row r="105" spans="1:35" ht="18.75" customHeight="1" thickBot="1">
      <c r="A105" s="3312"/>
      <c r="B105" s="2378" t="s">
        <v>1434</v>
      </c>
      <c r="C105" s="2379">
        <f ca="1">I118</f>
        <v>23530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8" t="str">
        <f>IF(项目基本情况!E8="已注销","——","3.房地产抵押价值")</f>
        <v>3.房地产抵押价值</v>
      </c>
      <c r="F107" s="3309"/>
      <c r="G107" s="1687" t="s">
        <v>1432</v>
      </c>
      <c r="H107" s="2381">
        <f ca="1">IF(E107="——","——",H101-H103)</f>
        <v>3474</v>
      </c>
      <c r="I107" s="121"/>
    </row>
    <row r="108" spans="1:35" ht="18.75" customHeight="1">
      <c r="A108" s="121"/>
      <c r="B108" s="121"/>
      <c r="C108" s="121"/>
      <c r="D108" s="121"/>
      <c r="E108" s="3308"/>
      <c r="F108" s="3309"/>
      <c r="G108" s="1687" t="s">
        <v>1434</v>
      </c>
      <c r="H108" s="2341">
        <f ca="1">IF(H107=H101,H102,ROUND(H107*10000/'数据-汇总表'!E3,0))</f>
        <v>23530</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7" t="s">
        <v>1432</v>
      </c>
      <c r="H109" s="2384" t="str">
        <f>IF(E109="——","——",H101-H105-H106)</f>
        <v>——</v>
      </c>
      <c r="I109" s="121"/>
    </row>
    <row r="110" spans="1:35" ht="18.75" customHeight="1">
      <c r="A110" s="121"/>
      <c r="B110" s="121"/>
      <c r="C110" s="121"/>
      <c r="D110" s="121"/>
      <c r="E110" s="3308"/>
      <c r="F110" s="3309"/>
      <c r="G110" s="1687" t="s">
        <v>1434</v>
      </c>
      <c r="H110" s="2341"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7" t="s">
        <v>1432</v>
      </c>
      <c r="H111" s="2381" t="str">
        <f>IF(E111="——","——",N59)</f>
        <v>——</v>
      </c>
      <c r="I111" s="121"/>
    </row>
    <row r="112" spans="1:35" ht="18.75" customHeight="1" thickBot="1">
      <c r="A112" s="121"/>
      <c r="B112" s="121"/>
      <c r="C112" s="121"/>
      <c r="D112" s="121"/>
      <c r="E112" s="3341"/>
      <c r="F112" s="3342"/>
      <c r="G112" s="1690" t="s">
        <v>1434</v>
      </c>
      <c r="H112" s="2385"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1476.21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3474</v>
      </c>
      <c r="I118" s="2150">
        <f ca="1">ROUND(IF(D32="楼面单价",C32,H118*10000/B118),0)</f>
        <v>23530</v>
      </c>
    </row>
    <row r="119" spans="1:27" ht="18.75" customHeight="1">
      <c r="A119" s="3279" t="s">
        <v>1452</v>
      </c>
      <c r="B119" s="3279"/>
      <c r="C119" s="3279"/>
      <c r="D119" s="3319" t="str">
        <f>NUMBERSTRING(INT(D118*10000),2)&amp;"元整"</f>
        <v>零元整</v>
      </c>
      <c r="E119" s="3321"/>
      <c r="F119" s="3319" t="str">
        <f>NUMBERSTRING(INT(F118*10000),2)&amp;"元整"</f>
        <v>零元整</v>
      </c>
      <c r="G119" s="3321"/>
      <c r="H119" s="3319" t="str">
        <f ca="1">NUMBERSTRING(INT(H118*10000),2)&amp;"元整"</f>
        <v>叁仟肆佰柒拾肆万元整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f ca="1">H107</f>
        <v>3474</v>
      </c>
      <c r="E122" s="3344"/>
      <c r="F122" s="3344"/>
      <c r="G122" s="3344"/>
      <c r="H122" s="3344"/>
      <c r="I122" s="3345"/>
      <c r="AA122" s="684"/>
    </row>
    <row r="123" spans="1:27" ht="18.75" customHeight="1">
      <c r="A123" s="3279" t="s">
        <v>1452</v>
      </c>
      <c r="B123" s="3279"/>
      <c r="C123" s="3279"/>
      <c r="D123" s="3319" t="str">
        <f ca="1">NUMBERSTRING(INT(D122*10000),2)&amp;"元整"</f>
        <v>叁仟肆佰柒拾肆万元整</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
      </c>
      <c r="B126" s="3310"/>
      <c r="C126" s="3310"/>
      <c r="D126" s="3343" t="str">
        <f>H111</f>
        <v>——</v>
      </c>
      <c r="E126" s="3344"/>
      <c r="F126" s="3344"/>
      <c r="G126" s="3344"/>
      <c r="H126" s="3344"/>
      <c r="I126" s="3345"/>
      <c r="AA126" s="684"/>
    </row>
    <row r="127" spans="1:27" ht="18.75" customHeight="1">
      <c r="A127" s="3279" t="s">
        <v>1452</v>
      </c>
      <c r="B127" s="3279"/>
      <c r="C127" s="3279"/>
      <c r="D127" s="3319" t="e">
        <f>NUMBERSTRING(INT(D126*10000),2)&amp;"元整"</f>
        <v>#VALUE!</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v>204</v>
      </c>
      <c r="C1" s="190"/>
      <c r="D1" s="190"/>
      <c r="E1" s="190"/>
      <c r="F1" s="190"/>
      <c r="G1" s="1062">
        <f>MATCH(B1,'数据-取费表'!A6:A16,0)+5</f>
        <v>6</v>
      </c>
    </row>
    <row r="2" spans="1:9" s="192" customFormat="1" ht="18" customHeight="1">
      <c r="A2" s="193" t="s">
        <v>1462</v>
      </c>
      <c r="B2" s="194">
        <f ca="1">IF(D2="——",C52,C52-E2)</f>
        <v>3815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25843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2294</v>
      </c>
      <c r="D5" s="203" t="s">
        <v>1469</v>
      </c>
      <c r="E5" s="204" t="s">
        <v>1470</v>
      </c>
      <c r="F5" s="204" t="s">
        <v>1471</v>
      </c>
      <c r="G5" s="205"/>
    </row>
    <row r="6" spans="1:9" s="206" customFormat="1" ht="13.5" customHeight="1">
      <c r="A6" s="732" t="s">
        <v>1472</v>
      </c>
      <c r="B6" s="207" t="s">
        <v>1473</v>
      </c>
      <c r="C6" s="208">
        <f>基准地价修正!B2</f>
        <v>2197</v>
      </c>
      <c r="D6" s="209"/>
      <c r="E6" s="210"/>
      <c r="F6" s="210"/>
      <c r="G6" s="211"/>
    </row>
    <row r="7" spans="1:9" s="206" customFormat="1" ht="13.5" customHeight="1">
      <c r="A7" s="732" t="s">
        <v>1474</v>
      </c>
      <c r="B7" s="207" t="s">
        <v>1475</v>
      </c>
      <c r="C7" s="212">
        <f>ROUND(C6*F7,0)</f>
        <v>67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v>
      </c>
      <c r="D8" s="214"/>
      <c r="E8" s="212"/>
      <c r="F8" s="213"/>
      <c r="G8" s="1714" t="s">
        <v>3442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3444</v>
      </c>
      <c r="H9" s="1070"/>
      <c r="I9" s="1716" t="s">
        <v>1479</v>
      </c>
    </row>
    <row r="10" spans="1:9" s="206" customFormat="1" ht="13.5" customHeight="1">
      <c r="A10" s="733" t="s">
        <v>356</v>
      </c>
      <c r="B10" s="216" t="s">
        <v>1480</v>
      </c>
      <c r="C10" s="217">
        <f ca="1">ROUND(D10*E10/10000,0)</f>
        <v>30</v>
      </c>
      <c r="D10" s="795">
        <f ca="1">IF(B1="",'数据-汇总表'!E6,IF(INDIRECT("'数据-取费表'!c"&amp;$G$1)="住宅",INDIRECT("'数据-取费表'!s"&amp;$G$1),INDIRECT("'数据-取费表'!k"&amp;$G$1)+INDIRECT("'数据-取费表'!s"&amp;$G$1)))</f>
        <v>1476.21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1476.21</v>
      </c>
      <c r="E19" s="203">
        <f>'数据-取费表'!B31</f>
        <v>200</v>
      </c>
      <c r="F19" s="223"/>
      <c r="G19" s="1714" t="s">
        <v>3443</v>
      </c>
    </row>
    <row r="20" spans="1:7" s="206" customFormat="1" ht="13.5" customHeight="1">
      <c r="A20" s="247" t="s">
        <v>1493</v>
      </c>
      <c r="B20" s="202" t="s">
        <v>1494</v>
      </c>
      <c r="C20" s="224">
        <f ca="1">ROUND((C5+C19)*F20,0)</f>
        <v>46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145</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144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351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351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3072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664</v>
      </c>
      <c r="D34" s="209"/>
      <c r="E34" s="212"/>
      <c r="F34" s="249">
        <f ca="1">IF('数据-取费表'!B24=0,1,IF(B1="",'数据-取费表'!N16,INDIRECT("'数据-取费表'!n"&amp;$G$1)))</f>
        <v>1</v>
      </c>
      <c r="G34" s="211" t="s">
        <v>1526</v>
      </c>
    </row>
    <row r="35" spans="1:7" ht="13.5" customHeight="1">
      <c r="A35" s="734" t="s">
        <v>351</v>
      </c>
      <c r="B35" s="207" t="s">
        <v>1527</v>
      </c>
      <c r="C35" s="212">
        <f ca="1">ROUND(C34*F35,0)</f>
        <v>33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v>
      </c>
      <c r="D37" s="209">
        <f ca="1">D19</f>
        <v>1476.21</v>
      </c>
      <c r="E37" s="241">
        <f>'数据-取费表'!B35</f>
        <v>200</v>
      </c>
      <c r="F37" s="251"/>
      <c r="G37" s="253" t="s">
        <v>1532</v>
      </c>
    </row>
    <row r="38" spans="1:7" ht="13.5" customHeight="1">
      <c r="A38" s="734"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113</v>
      </c>
      <c r="D45" s="227">
        <f ca="1">C47</f>
        <v>3.0000000000000001E-3</v>
      </c>
      <c r="E45" s="228" t="s">
        <v>1539</v>
      </c>
      <c r="F45" s="238">
        <f ca="1">F27</f>
        <v>0.15</v>
      </c>
      <c r="G45" s="239" t="s">
        <v>1548</v>
      </c>
    </row>
    <row r="46" spans="1:7" s="206" customFormat="1" ht="13.5" customHeight="1">
      <c r="A46" s="734" t="s">
        <v>346</v>
      </c>
      <c r="B46" s="240" t="s">
        <v>1549</v>
      </c>
      <c r="C46" s="241">
        <f ca="1">ROUND((C33+C39)*F27,0)</f>
        <v>113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965</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743</v>
      </c>
      <c r="D51" s="224"/>
      <c r="E51" s="224"/>
      <c r="F51" s="256"/>
      <c r="G51" s="226" t="s">
        <v>1560</v>
      </c>
    </row>
    <row r="52" spans="1:7" s="200" customFormat="1" ht="16.8" thickBot="1">
      <c r="A52" s="257" t="s">
        <v>1561</v>
      </c>
      <c r="B52" s="258"/>
      <c r="C52" s="259">
        <f ca="1">C31+C51</f>
        <v>3815</v>
      </c>
      <c r="D52" s="258"/>
      <c r="E52" s="258"/>
      <c r="F52" s="258"/>
      <c r="G52" s="260"/>
    </row>
    <row r="55" spans="1:7" ht="15">
      <c r="B55" s="262" t="s">
        <v>1562</v>
      </c>
      <c r="C55" s="263"/>
    </row>
    <row r="56" spans="1:7">
      <c r="B56" s="265" t="s">
        <v>802</v>
      </c>
      <c r="C56" s="267">
        <f ca="1">1-C57</f>
        <v>0.80499999999999994</v>
      </c>
    </row>
    <row r="57" spans="1:7">
      <c r="B57" s="265" t="s">
        <v>803</v>
      </c>
      <c r="C57" s="266">
        <f ca="1">ROUND(C51/C52,3)</f>
        <v>0.19500000000000001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822.99530000000004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5575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295242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295242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295242</v>
      </c>
      <c r="D10" s="795">
        <f ca="1">IF(B1="",'数据-汇总表'!E6,IF(INDIRECT("'数据-取费表'!c"&amp;$G$1)="住宅",INDIRECT("'数据-取费表'!s"&amp;$G$1),INDIRECT("'数据-取费表'!k"&amp;$G$1)+INDIRECT("'数据-取费表'!s"&amp;$G$1)))</f>
        <v>1476.21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295242</v>
      </c>
      <c r="D19" s="204">
        <f ca="1">D9+D10</f>
        <v>1476.21</v>
      </c>
      <c r="E19" s="203">
        <f>'数据-取费表'!B31</f>
        <v>200</v>
      </c>
      <c r="F19" s="223"/>
      <c r="G19" s="1714"/>
    </row>
    <row r="20" spans="1:7" s="206" customFormat="1" ht="13.5" customHeight="1">
      <c r="A20" s="247" t="s">
        <v>1574</v>
      </c>
      <c r="B20" s="202" t="s">
        <v>1575</v>
      </c>
      <c r="C20" s="224">
        <f ca="1">ROUND((C5+C19)*F20,0)</f>
        <v>11810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37544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18589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18589</v>
      </c>
      <c r="D24" s="230"/>
      <c r="E24" s="230"/>
      <c r="F24" s="231"/>
      <c r="G24" s="232" t="s">
        <v>1586</v>
      </c>
    </row>
    <row r="25" spans="1:7" s="206" customFormat="1" ht="24">
      <c r="A25" s="734" t="s">
        <v>1476</v>
      </c>
      <c r="B25" s="207" t="s">
        <v>1587</v>
      </c>
      <c r="C25" s="230">
        <f ca="1">ROUND(IF('数据-取费表'!B22&lt;=1,C20*F22*'数据-取费表'!B22/2,C20*(POWER((1+F22),'数据-取费表'!B22/2)-1)),0)</f>
        <v>366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90344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90344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791011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7403193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6642945</v>
      </c>
      <c r="D34" s="209"/>
      <c r="E34" s="212"/>
      <c r="F34" s="249"/>
      <c r="G34" s="211"/>
    </row>
    <row r="35" spans="1:7" ht="13.5" customHeight="1">
      <c r="A35" s="734" t="s">
        <v>351</v>
      </c>
      <c r="B35" s="207" t="s">
        <v>1527</v>
      </c>
      <c r="C35" s="212">
        <f ca="1">ROUND(C34*F35,0)</f>
        <v>332147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295242</v>
      </c>
      <c r="D37" s="209">
        <f ca="1">D19</f>
        <v>1476.21</v>
      </c>
      <c r="E37" s="241">
        <f>'数据-取费表'!B35</f>
        <v>200</v>
      </c>
      <c r="F37" s="251"/>
      <c r="G37" s="253"/>
    </row>
    <row r="38" spans="1:7" ht="13.5" customHeight="1">
      <c r="A38" s="734" t="s">
        <v>354</v>
      </c>
      <c r="B38" s="207" t="s">
        <v>1533</v>
      </c>
      <c r="C38" s="212">
        <f ca="1">ROUND(C34*F38,0)</f>
        <v>132859</v>
      </c>
      <c r="D38" s="212"/>
      <c r="E38" s="212"/>
      <c r="F38" s="251">
        <f>'数据-取费表'!B36</f>
        <v>0.02</v>
      </c>
      <c r="G38" s="211" t="s">
        <v>1528</v>
      </c>
    </row>
    <row r="39" spans="1:7" s="206" customFormat="1" ht="13.5" customHeight="1">
      <c r="A39" s="247" t="s">
        <v>1534</v>
      </c>
      <c r="B39" s="202" t="s">
        <v>1535</v>
      </c>
      <c r="C39" s="224">
        <f ca="1">ROUND(C33*F20,0)</f>
        <v>148064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234089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229499</v>
      </c>
      <c r="D42" s="230"/>
      <c r="E42" s="230"/>
      <c r="F42" s="231"/>
      <c r="G42" s="3359" t="s">
        <v>1591</v>
      </c>
    </row>
    <row r="43" spans="1:7" ht="13.5" customHeight="1">
      <c r="A43" s="734" t="s">
        <v>347</v>
      </c>
      <c r="B43" s="207" t="s">
        <v>1545</v>
      </c>
      <c r="C43" s="230">
        <f ca="1">ROUND(IF('数据-取费表'!B22&lt;=1,C39*F22*'数据-取费表'!B20/2,C39*(POWER((1+F22),'数据-取费表'!B20/2)-1)),0)</f>
        <v>4590</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1132689</v>
      </c>
      <c r="D45" s="227">
        <f ca="1">C47</f>
        <v>3.0000000000000001E-3</v>
      </c>
      <c r="E45" s="228" t="s">
        <v>1539</v>
      </c>
      <c r="F45" s="238">
        <f ca="1">F27</f>
        <v>0.15</v>
      </c>
      <c r="G45" s="239" t="s">
        <v>1548</v>
      </c>
    </row>
    <row r="46" spans="1:7" s="206" customFormat="1" ht="13.5" customHeight="1">
      <c r="A46" s="734" t="s">
        <v>346</v>
      </c>
      <c r="B46" s="240" t="s">
        <v>1549</v>
      </c>
      <c r="C46" s="241">
        <f ca="1">ROUND((C33+C39)*F27,0)</f>
        <v>1132689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9660963</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7438942</v>
      </c>
      <c r="D51" s="224"/>
      <c r="E51" s="224"/>
      <c r="F51" s="256"/>
      <c r="G51" s="226" t="s">
        <v>1560</v>
      </c>
    </row>
    <row r="52" spans="1:7" s="200" customFormat="1" ht="16.8" thickBot="1">
      <c r="A52" s="257" t="s">
        <v>1561</v>
      </c>
      <c r="B52" s="258"/>
      <c r="C52" s="259">
        <f ca="1">C31+C51</f>
        <v>8229953</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-35</v>
      </c>
      <c r="C2" s="268" t="s">
        <v>1595</v>
      </c>
      <c r="D2" s="268"/>
      <c r="E2" s="2568"/>
      <c r="F2" s="2568"/>
      <c r="G2" s="2568"/>
      <c r="H2" s="2568"/>
      <c r="I2" s="2568"/>
      <c r="J2" s="2568"/>
      <c r="K2" s="2568"/>
    </row>
    <row r="3" spans="1:33" ht="18" customHeight="1" thickBot="1">
      <c r="A3" s="195" t="s">
        <v>1464</v>
      </c>
      <c r="B3" s="196">
        <f ca="1">ROUND(B2*10000/IF(C1="",'数据-汇总表'!E3,INDIRECT("'数据-取费表'!K"&amp;$K$1)),0)</f>
        <v>-237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1476.21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1476.21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v>
      </c>
      <c r="D20" s="796">
        <f ca="1">IF(C1="",'数据-汇总表'!E6,IF(INDIRECT("'数据-取费表'!c"&amp;$K$1)="住宅",INDIRECT("'数据-取费表'!s"&amp;$K$1),INDIRECT("'数据-取费表'!k"&amp;$K$1)+INDIRECT("'数据-取费表'!s"&amp;$K$1)))</f>
        <v>1476.21</v>
      </c>
      <c r="E20" s="21">
        <f>'数据-取费表'!B28</f>
        <v>200</v>
      </c>
      <c r="F20" s="756"/>
      <c r="G20" s="12"/>
      <c r="H20" s="761"/>
      <c r="I20" s="761"/>
      <c r="J20" s="761"/>
      <c r="K20" s="762"/>
    </row>
    <row r="21" spans="1:33" s="755" customFormat="1" ht="13.5" customHeight="1">
      <c r="A21" s="744" t="s">
        <v>357</v>
      </c>
      <c r="B21" s="765" t="s">
        <v>1628</v>
      </c>
      <c r="C21" s="766">
        <f ca="1">C16+C17+C18</f>
        <v>30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33" sqref="C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1476.21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2197</v>
      </c>
      <c r="C2" s="1846" t="s">
        <v>1935</v>
      </c>
      <c r="D2" s="162" t="s">
        <v>1936</v>
      </c>
      <c r="E2" s="3121"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22356</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14883</v>
      </c>
      <c r="C3" s="1846" t="s">
        <v>1941</v>
      </c>
      <c r="D3" s="162" t="s">
        <v>1942</v>
      </c>
      <c r="E3" s="3119" t="s">
        <v>3445</v>
      </c>
      <c r="F3" s="1848" t="s">
        <v>3446</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17621</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369"/>
      <c r="B4" s="3370"/>
      <c r="C4" s="3370"/>
      <c r="D4" s="3371"/>
      <c r="E4" s="3371"/>
      <c r="F4" s="3371"/>
      <c r="G4" s="3371"/>
      <c r="H4" s="3371"/>
      <c r="I4" s="3371"/>
      <c r="J4" s="33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14892</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15861</v>
      </c>
      <c r="D5" s="1252">
        <f>ROUND(C6*C17+C20,0)</f>
        <v>15550</v>
      </c>
      <c r="E5" s="1252"/>
      <c r="F5" s="1851"/>
      <c r="G5" s="1852"/>
      <c r="H5" s="1852"/>
      <c r="I5" s="1852"/>
      <c r="J5" s="1853"/>
      <c r="K5" s="1854"/>
      <c r="L5" s="1847" t="s">
        <v>1948</v>
      </c>
      <c r="M5" s="811">
        <f>SUMPRODUCT((区片价!B87:B126=I2)*(区片价!C3:G3=E2)*(区片价!C87:G126))</f>
        <v>15550</v>
      </c>
      <c r="N5" s="813">
        <f>SUMPRODUCT((因素修正幅度!B87:B126=I2)*(因素修正幅度!C3:G3=E2)*(因素修正幅度!C87:G126))</f>
        <v>0.1</v>
      </c>
      <c r="O5" s="1056"/>
      <c r="P5" s="1056"/>
      <c r="Q5" s="1056"/>
      <c r="R5" s="1129">
        <v>4</v>
      </c>
      <c r="S5" s="3064">
        <f>ROUND(SUMPRODUCT((B106:B110=R5)*(C105:N105=G2)*(C106:N110)),4)</f>
        <v>0.88239999999999996</v>
      </c>
      <c r="T5" s="3064">
        <f t="shared" si="0"/>
        <v>13134</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15550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12622</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五级</v>
      </c>
      <c r="Y7" s="1131" t="s">
        <v>1956</v>
      </c>
      <c r="Z7" s="1132">
        <f>G3</f>
        <v>2.5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8"/>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3236</v>
      </c>
      <c r="B12" s="3014" t="s">
        <v>3237</v>
      </c>
      <c r="C12" s="3015">
        <v>1.02</v>
      </c>
      <c r="D12" s="3016" t="s">
        <v>3238</v>
      </c>
      <c r="E12" s="3017" t="s">
        <v>3239</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3240</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3241</v>
      </c>
      <c r="G14" s="3021" t="s">
        <v>3241</v>
      </c>
      <c r="H14" s="3021" t="s">
        <v>3241</v>
      </c>
      <c r="I14" s="3021" t="s">
        <v>3241</v>
      </c>
      <c r="J14" s="3021" t="s">
        <v>3241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3246</v>
      </c>
      <c r="E18" s="2357"/>
      <c r="F18" s="3031" t="s">
        <v>3249</v>
      </c>
      <c r="G18" s="3035">
        <f>ROUND(1-(1/(POWER(1+G24,E18))),4)</f>
        <v>0</v>
      </c>
      <c r="H18" s="3031" t="s">
        <v>3251</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3" t="s">
        <v>3252</v>
      </c>
      <c r="B20" s="159" t="s">
        <v>1994</v>
      </c>
      <c r="C20" s="3032">
        <f>ROUND(IF(F21="与级别开发程度一致",0,(G21-E21)/C21),0)</f>
        <v>0</v>
      </c>
      <c r="D20" s="3047" t="s">
        <v>1998</v>
      </c>
      <c r="E20" s="3048"/>
      <c r="F20" s="3379" t="s">
        <v>1995</v>
      </c>
      <c r="G20" s="338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37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45764</v>
      </c>
      <c r="H23" s="3049" t="s">
        <v>3254</v>
      </c>
      <c r="I23" s="3050" t="str">
        <f>IF(H23="季度增幅（自定义）",SUMIF(N25:N28,E2,O25:O28),"")</f>
        <v/>
      </c>
      <c r="J23" s="3142" t="s">
        <v>3253</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0.89990000000000003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34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1.052</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2197</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14885</v>
      </c>
      <c r="D33" s="1940">
        <f>'数据-汇总表'!E19</f>
        <v>1476.21</v>
      </c>
      <c r="E33" s="727">
        <f>ROUND(C33*D33/10000,0)</f>
        <v>2197</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3721</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7"/>
      <c r="B37" s="1955" t="s">
        <v>2036</v>
      </c>
      <c r="C37" s="167">
        <f>ROUND(D5*C22*C23*C24*C28*F37,0)</f>
        <v>8756</v>
      </c>
      <c r="D37" s="1940"/>
      <c r="E37" s="163">
        <f>ROUND(C37*D37/10000,0)</f>
        <v>0</v>
      </c>
      <c r="F37" s="163">
        <f>SUMIF(修正!A57:A68,G2,修正!B57:B68)</f>
        <v>0.6</v>
      </c>
      <c r="G37" s="163">
        <f>ROUND(IF(E2="工业",C37*$M$42,C37*$M$41),0)</f>
        <v>2189</v>
      </c>
      <c r="H37" s="163">
        <f>D37</f>
        <v>0</v>
      </c>
      <c r="I37" s="163">
        <f>ROUND(G37*H37/10000,0)</f>
        <v>0</v>
      </c>
      <c r="J37" s="2755"/>
      <c r="K37" s="3062" t="s">
        <v>3264</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8"/>
      <c r="B38" s="1884" t="s">
        <v>2037</v>
      </c>
      <c r="C38" s="167">
        <f>ROUND(D5*C22*C23*C24*C28*F38,0)</f>
        <v>4378</v>
      </c>
      <c r="D38" s="1940"/>
      <c r="E38" s="163">
        <f t="shared" ref="E38:E42" si="4">ROUND(C38*D38/10000,0)</f>
        <v>0</v>
      </c>
      <c r="F38" s="163">
        <f>SUMIF(修正!A57:A68,G2,修正!C57:C68)</f>
        <v>0.3</v>
      </c>
      <c r="G38" s="163">
        <f>ROUND(IF(E2="工业",C38*$M$42,C38*$M$41),0)</f>
        <v>1095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8"/>
      <c r="B39" s="1884" t="s">
        <v>3257</v>
      </c>
      <c r="C39" s="167">
        <f>ROUND(D5*C22*C23*C24*C28*F39,0)</f>
        <v>3648</v>
      </c>
      <c r="D39" s="1940"/>
      <c r="E39" s="163">
        <f t="shared" si="4"/>
        <v>0</v>
      </c>
      <c r="F39" s="163">
        <f>SUMIF(修正!A57:A68,G2,修正!D57:D68)</f>
        <v>0.25</v>
      </c>
      <c r="G39" s="163">
        <f>ROUND(IF(E2="工业",C39*$M$42,C39*$M$41),0)</f>
        <v>912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3648</v>
      </c>
      <c r="D40" s="1940"/>
      <c r="E40" s="163">
        <f t="shared" si="4"/>
        <v>0</v>
      </c>
      <c r="F40" s="167">
        <f>SUMIF(修正!A57:A68,G2,修正!E57:E68)</f>
        <v>0.25</v>
      </c>
      <c r="G40" s="163">
        <f>ROUND(IF(E2="工业",C40*$M$42,C40*$M$41),0)</f>
        <v>912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3449</v>
      </c>
      <c r="D61" s="1002">
        <f t="shared" ref="D61:D69" si="12">SUMIF($J$60:$N$60,C61,J61:N61)</f>
        <v>1.2500000000000001E-2</v>
      </c>
      <c r="E61" s="702">
        <f>ROUND(SUM(D61:D69),4)</f>
        <v>5.1999999999999998E-2</v>
      </c>
      <c r="F61" s="1675">
        <f>IF(E2="办公",SUMIF(L1:L12,G2,N1:N12),"——")</f>
        <v>0.1</v>
      </c>
      <c r="G61" s="1000">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3449</v>
      </c>
      <c r="D62" s="1002">
        <f t="shared" si="12"/>
        <v>1.2999999999999999E-2</v>
      </c>
      <c r="E62" s="703"/>
      <c r="F62" s="1675"/>
      <c r="G62" s="1000">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71" t="s">
        <v>3267</v>
      </c>
      <c r="B63" s="1262">
        <f>估价对象房地状况!C19</f>
        <v>0</v>
      </c>
      <c r="C63" s="1887" t="s">
        <v>3449</v>
      </c>
      <c r="D63" s="1002">
        <f t="shared" si="12"/>
        <v>5.4999999999999997E-3</v>
      </c>
      <c r="E63" s="703"/>
      <c r="F63" s="1675"/>
      <c r="G63" s="1000">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3449</v>
      </c>
      <c r="D64" s="1002">
        <f t="shared" si="12"/>
        <v>2.5000000000000001E-3</v>
      </c>
      <c r="E64" s="703"/>
      <c r="F64" s="1675"/>
      <c r="G64" s="1000">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3448</v>
      </c>
      <c r="D65" s="1002">
        <f t="shared" si="12"/>
        <v>0</v>
      </c>
      <c r="E65" s="703"/>
      <c r="F65" s="1675"/>
      <c r="G65" s="1000">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3449</v>
      </c>
      <c r="D66" s="1002">
        <f t="shared" si="12"/>
        <v>3.0000000000000001E-3</v>
      </c>
      <c r="E66" s="703"/>
      <c r="F66" s="1675"/>
      <c r="G66" s="1000">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3449</v>
      </c>
      <c r="D67" s="1002">
        <f t="shared" si="12"/>
        <v>3.0000000000000001E-3</v>
      </c>
      <c r="E67" s="703"/>
      <c r="F67" s="1675"/>
      <c r="G67" s="1000">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3450</v>
      </c>
      <c r="D68" s="1002">
        <f t="shared" si="12"/>
        <v>8.9999999999999993E-3</v>
      </c>
      <c r="E68" s="703"/>
      <c r="F68" s="1675"/>
      <c r="G68" s="1000">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3449</v>
      </c>
      <c r="D69" s="1002">
        <f t="shared" si="12"/>
        <v>3.5000000000000001E-3</v>
      </c>
      <c r="E69" s="704"/>
      <c r="F69" s="1675"/>
      <c r="G69" s="1000">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2610</v>
      </c>
      <c r="B91" s="3080">
        <f>1+E93</f>
        <v>1</v>
      </c>
      <c r="C91" s="3073"/>
      <c r="D91" s="3074"/>
      <c r="E91" s="1675"/>
      <c r="F91" s="1675"/>
      <c r="G91" s="3075"/>
      <c r="H91" s="3076"/>
      <c r="I91" s="3077"/>
      <c r="J91" s="3078"/>
      <c r="K91" s="3078"/>
      <c r="L91" s="3078"/>
      <c r="M91" s="3078"/>
      <c r="N91" s="3078"/>
    </row>
    <row r="92" spans="1:37" ht="25.2">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5" t="s">
        <v>3292</v>
      </c>
      <c r="B103" s="3375"/>
      <c r="C103" s="3375"/>
      <c r="D103" s="3375"/>
      <c r="E103" s="3375"/>
      <c r="F103" s="3375"/>
      <c r="G103" s="3375"/>
      <c r="H103" s="3375"/>
      <c r="I103" s="3375"/>
      <c r="J103" s="3375"/>
      <c r="K103" s="1667"/>
      <c r="L103" s="1667"/>
      <c r="M103" s="1667"/>
      <c r="N103" s="1667"/>
    </row>
    <row r="104" spans="1:14">
      <c r="A104" s="3376" t="s">
        <v>3293</v>
      </c>
      <c r="B104" s="3376" t="s">
        <v>3294</v>
      </c>
      <c r="C104" s="3091" t="s">
        <v>3295</v>
      </c>
      <c r="D104" s="3092"/>
      <c r="E104" s="3092"/>
      <c r="F104" s="3092"/>
      <c r="G104" s="3092"/>
      <c r="H104" s="3092"/>
      <c r="I104" s="3092"/>
      <c r="J104" s="3093"/>
      <c r="K104" s="3094"/>
      <c r="L104" s="3094"/>
      <c r="M104" s="3094"/>
      <c r="N104" s="3094"/>
    </row>
    <row r="105" spans="1:14">
      <c r="A105" s="3376"/>
      <c r="B105" s="3376"/>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362"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3"/>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5" t="s">
        <v>3309</v>
      </c>
      <c r="B113" s="3365"/>
      <c r="C113" s="3365"/>
      <c r="D113" s="3365"/>
      <c r="E113" s="3365"/>
      <c r="F113" s="3365"/>
      <c r="G113" s="3365"/>
      <c r="H113" s="3365"/>
      <c r="I113" s="3365"/>
      <c r="J113" s="336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3310</v>
      </c>
      <c r="B116" s="3115">
        <f>G3</f>
        <v>2.5</v>
      </c>
      <c r="C116" s="3100" t="s">
        <v>3311</v>
      </c>
      <c r="D116" s="3101">
        <f>SUMPRODUCT((A118:A122=F116)*(B117:M117=H116)*B118:M122)</f>
        <v>0.90600000000000003</v>
      </c>
      <c r="E116" s="162" t="s">
        <v>3312</v>
      </c>
      <c r="F116" s="3102" t="str">
        <f>E2</f>
        <v>办公</v>
      </c>
      <c r="G116" s="162" t="s">
        <v>3313</v>
      </c>
      <c r="H116" s="3102" t="str">
        <f>G2</f>
        <v>五级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8"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2610</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0" priority="6" stopIfTrue="1" operator="notEqual">
      <formula>"——"</formula>
    </cfRule>
  </conditionalFormatting>
  <conditionalFormatting sqref="F61">
    <cfRule type="cellIs" dxfId="129" priority="5" stopIfTrue="1" operator="notEqual">
      <formula>"——"</formula>
    </cfRule>
  </conditionalFormatting>
  <conditionalFormatting sqref="F72">
    <cfRule type="cellIs" dxfId="128" priority="4" stopIfTrue="1" operator="notEqual">
      <formula>"——"</formula>
    </cfRule>
  </conditionalFormatting>
  <conditionalFormatting sqref="F83">
    <cfRule type="cellIs" dxfId="127" priority="3" stopIfTrue="1" operator="notEqual">
      <formula>"——"</formula>
    </cfRule>
  </conditionalFormatting>
  <conditionalFormatting sqref="H50:H58 H61:H69 H72:H80 H83:H91">
    <cfRule type="cellIs" dxfId="126" priority="2" operator="notEqual">
      <formula>"——"</formula>
    </cfRule>
  </conditionalFormatting>
  <conditionalFormatting sqref="H93:H101">
    <cfRule type="cellIs" dxfId="12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K25" sqref="K2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204</v>
      </c>
      <c r="D1" s="1271" t="s">
        <v>43</v>
      </c>
      <c r="E1" s="1272" t="s">
        <v>678</v>
      </c>
      <c r="F1" s="999">
        <f ca="1">J53</f>
        <v>34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3132</v>
      </c>
      <c r="C2" s="1289" t="s">
        <v>805</v>
      </c>
      <c r="D2" s="1289"/>
      <c r="E2" s="1295"/>
      <c r="F2" s="1296"/>
      <c r="G2" s="2479"/>
      <c r="H2" s="2469"/>
      <c r="I2" s="2469"/>
      <c r="J2" s="2469"/>
      <c r="K2" s="2470"/>
      <c r="L2" s="2469"/>
      <c r="M2" s="2469"/>
    </row>
    <row r="3" spans="1:37" ht="18" customHeight="1" thickBot="1">
      <c r="A3" s="1297" t="s">
        <v>806</v>
      </c>
      <c r="B3" s="1298">
        <f ca="1">IF(ISERROR(B2*10000/F43),0,ROUND(B2*10000/F43,0))</f>
        <v>21216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238</v>
      </c>
      <c r="D5" s="1273" t="s">
        <v>693</v>
      </c>
      <c r="E5" s="1008"/>
      <c r="F5" s="1009"/>
      <c r="G5" s="1292"/>
      <c r="H5" s="291">
        <v>1</v>
      </c>
      <c r="I5" s="292" t="s">
        <v>692</v>
      </c>
      <c r="J5" s="1007">
        <f ca="1">J6+J10+J12</f>
        <v>256</v>
      </c>
      <c r="K5" s="1273" t="s">
        <v>693</v>
      </c>
      <c r="L5" s="1008"/>
      <c r="M5" s="1009"/>
    </row>
    <row r="6" spans="1:37" ht="18" customHeight="1">
      <c r="A6" s="1006" t="s">
        <v>398</v>
      </c>
      <c r="B6" s="3383" t="s">
        <v>694</v>
      </c>
      <c r="C6" s="1011">
        <f ca="1">ROUND(F6*F8*F7*(1-F9)/10000,0)</f>
        <v>238</v>
      </c>
      <c r="D6" s="147" t="s">
        <v>2107</v>
      </c>
      <c r="E6" s="294" t="s">
        <v>696</v>
      </c>
      <c r="F6" s="295">
        <f ca="1">INDIRECT("'数据-取费表'!u"&amp;$G$1)</f>
        <v>4.41</v>
      </c>
      <c r="G6" s="1292"/>
      <c r="H6" s="1006" t="s">
        <v>398</v>
      </c>
      <c r="I6" s="3383" t="s">
        <v>694</v>
      </c>
      <c r="J6" s="293">
        <f ca="1">ROUND(M6*M8*M7*(1-M9)/10000,0)</f>
        <v>256</v>
      </c>
      <c r="K6" s="147" t="s">
        <v>2106</v>
      </c>
      <c r="L6" s="294" t="s">
        <v>696</v>
      </c>
      <c r="M6" s="295">
        <f ca="1">INDIRECT("'数据-取费表'!z"&amp;$G$1)</f>
        <v>5.28</v>
      </c>
    </row>
    <row r="7" spans="1:37" ht="18" customHeight="1">
      <c r="A7" s="1010"/>
      <c r="B7" s="3384"/>
      <c r="C7" s="1012"/>
      <c r="D7" s="299"/>
      <c r="E7" s="1013" t="s">
        <v>697</v>
      </c>
      <c r="F7" s="295">
        <f ca="1">IF(INDIRECT("'数据-取费表'!ah"&amp;$G$1)="",INDIRECT("'数据-取费表'!k"&amp;$G$1),INDIRECT("'数据-取费表'!ah"&amp;$G$1))</f>
        <v>1476.21</v>
      </c>
      <c r="G7" s="1292"/>
      <c r="H7" s="296"/>
      <c r="I7" s="3384"/>
      <c r="J7" s="298"/>
      <c r="K7" s="299"/>
      <c r="L7" s="294" t="s">
        <v>697</v>
      </c>
      <c r="M7" s="295">
        <f ca="1">F7</f>
        <v>1476.21</v>
      </c>
    </row>
    <row r="8" spans="1:37" ht="18" customHeight="1">
      <c r="A8" s="296"/>
      <c r="B8" s="3384"/>
      <c r="C8" s="298"/>
      <c r="D8" s="299"/>
      <c r="E8" s="294" t="s">
        <v>698</v>
      </c>
      <c r="F8" s="295">
        <f ca="1">INDIRECT("'数据-取费表'!ai"&amp;$G$1)</f>
        <v>365</v>
      </c>
      <c r="G8" s="1292"/>
      <c r="H8" s="296"/>
      <c r="I8" s="3384"/>
      <c r="J8" s="298"/>
      <c r="K8" s="299"/>
      <c r="L8" s="294" t="s">
        <v>698</v>
      </c>
      <c r="M8" s="295">
        <f ca="1">INDIRECT("'数据-取费表'!ai"&amp;$G$1)</f>
        <v>365</v>
      </c>
    </row>
    <row r="9" spans="1:37" ht="18" customHeight="1">
      <c r="A9" s="296"/>
      <c r="B9" s="3385"/>
      <c r="C9" s="298"/>
      <c r="D9" s="299"/>
      <c r="E9" s="294" t="s">
        <v>699</v>
      </c>
      <c r="F9" s="304">
        <f ca="1">INDIRECT("'数据-取费表'!w"&amp;$G$1)</f>
        <v>0</v>
      </c>
      <c r="G9" s="1292"/>
      <c r="H9" s="296"/>
      <c r="I9" s="3385"/>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2115</v>
      </c>
      <c r="E10" s="305" t="s">
        <v>701</v>
      </c>
      <c r="F10" s="1053" t="s">
        <v>3462</v>
      </c>
      <c r="G10" s="1292"/>
      <c r="H10" s="1006" t="s">
        <v>402</v>
      </c>
      <c r="I10" s="1274" t="s">
        <v>700</v>
      </c>
      <c r="J10" s="293">
        <f ca="1">ROUND(IF(M10="押一",J6/12*M11,IF(M10="押二",J6/12*2*M11,IF(M10="押三",J6/12*3*M11,J11*M11))),0)</f>
        <v>0</v>
      </c>
      <c r="K10" s="150" t="s">
        <v>2114</v>
      </c>
      <c r="L10" s="305" t="s">
        <v>701</v>
      </c>
      <c r="M10" s="1053" t="s">
        <v>3454</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743</v>
      </c>
      <c r="D13" s="1018" t="s">
        <v>705</v>
      </c>
      <c r="E13" s="1018" t="s">
        <v>706</v>
      </c>
      <c r="F13" s="1019">
        <f ca="1">INDIRECT("'数据-取费表'!y"&amp;$G$1)</f>
        <v>0.77</v>
      </c>
      <c r="G13" s="1292"/>
      <c r="H13" s="1016">
        <v>2</v>
      </c>
      <c r="I13" s="1017" t="s">
        <v>704</v>
      </c>
      <c r="J13" s="1005">
        <f ca="1">ROUND(J14*J15,0)</f>
        <v>502</v>
      </c>
      <c r="K13" s="1024" t="s">
        <v>705</v>
      </c>
      <c r="L13" s="1299"/>
      <c r="M13" s="1300"/>
    </row>
    <row r="14" spans="1:37" ht="18" customHeight="1">
      <c r="A14" s="928" t="s">
        <v>397</v>
      </c>
      <c r="B14" s="294" t="s">
        <v>707</v>
      </c>
      <c r="C14" s="310">
        <f ca="1">INDIRECT("'数据-取费表'!m"&amp;$G$1)+INDIRECT("'数据-取费表'!t"&amp;$G$1)</f>
        <v>664</v>
      </c>
      <c r="D14" s="1257" t="s">
        <v>708</v>
      </c>
      <c r="E14" s="1255"/>
      <c r="F14" s="311"/>
      <c r="G14" s="1292"/>
      <c r="H14" s="928" t="s">
        <v>398</v>
      </c>
      <c r="I14" s="294" t="s">
        <v>709</v>
      </c>
      <c r="J14" s="21">
        <f ca="1">C29</f>
        <v>965</v>
      </c>
      <c r="K14" s="12"/>
      <c r="L14" s="759"/>
      <c r="M14" s="760"/>
    </row>
    <row r="15" spans="1:37" s="1304" customFormat="1" ht="18" customHeight="1" thickBot="1">
      <c r="A15" s="928" t="s">
        <v>399</v>
      </c>
      <c r="B15" s="294" t="s">
        <v>710</v>
      </c>
      <c r="C15" s="21">
        <f ca="1">ROUND(C14*F15,0)</f>
        <v>33</v>
      </c>
      <c r="D15" s="312" t="s">
        <v>711</v>
      </c>
      <c r="E15" s="312" t="s">
        <v>712</v>
      </c>
      <c r="F15" s="313">
        <f>'数据-取费表'!B33</f>
        <v>0.05</v>
      </c>
      <c r="G15" s="1303"/>
      <c r="H15" s="1026" t="s">
        <v>402</v>
      </c>
      <c r="I15" s="1027" t="s">
        <v>706</v>
      </c>
      <c r="J15" s="1036">
        <f ca="1">INDIRECT("'数据-取费表'!ad"&amp;$G$1)</f>
        <v>0.52</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56</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42.91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v>
      </c>
      <c r="D18" s="294" t="s">
        <v>711</v>
      </c>
      <c r="E18" s="294" t="s">
        <v>712</v>
      </c>
      <c r="F18" s="314">
        <f>'数据-取费表'!B36</f>
        <v>0.02</v>
      </c>
      <c r="G18" s="1303"/>
      <c r="H18" s="928" t="s">
        <v>397</v>
      </c>
      <c r="I18" s="294" t="s">
        <v>723</v>
      </c>
      <c r="J18" s="21">
        <f ca="1">ROUND(J6*M18/(1+'数据-取费表'!C42),2)</f>
        <v>13.65</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740</v>
      </c>
      <c r="D19" s="123" t="s">
        <v>726</v>
      </c>
      <c r="E19" s="1269"/>
      <c r="F19" s="23"/>
      <c r="G19" s="1292"/>
      <c r="H19" s="928" t="s">
        <v>399</v>
      </c>
      <c r="I19" s="294" t="s">
        <v>727</v>
      </c>
      <c r="J19" s="21">
        <f ca="1">IF(K19="按租金收入计税",ROUND(J6*M19/(1+'数据-取费表'!C42),2),ROUND(C29*M19*0.7,2))</f>
        <v>29.26</v>
      </c>
      <c r="K19" s="1278" t="s">
        <v>3334</v>
      </c>
      <c r="L19" s="294" t="s">
        <v>712</v>
      </c>
      <c r="M19" s="314">
        <f>IF(K19="按租金收入计税",'数据-取费表'!B51,'数据-取费表'!B50)</f>
        <v>0.12</v>
      </c>
    </row>
    <row r="20" spans="1:37" s="1304" customFormat="1" ht="18" customHeight="1">
      <c r="A20" s="928" t="s">
        <v>402</v>
      </c>
      <c r="B20" s="294" t="s">
        <v>728</v>
      </c>
      <c r="C20" s="21">
        <f ca="1">ROUND(C19*F20,0)</f>
        <v>15</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9.65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0.5</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2.56</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200</v>
      </c>
      <c r="K25" s="1032" t="s">
        <v>753</v>
      </c>
      <c r="L25" s="1033"/>
      <c r="M25" s="1034"/>
    </row>
    <row r="26" spans="1:37">
      <c r="A26" s="928" t="s">
        <v>397</v>
      </c>
      <c r="B26" s="294" t="s">
        <v>754</v>
      </c>
      <c r="C26" s="21">
        <f ca="1">ROUND((C19+C20)*F26,0)</f>
        <v>113</v>
      </c>
      <c r="D26" s="315" t="s">
        <v>755</v>
      </c>
      <c r="E26" s="305" t="s">
        <v>756</v>
      </c>
      <c r="F26" s="304">
        <f ca="1">INDIRECT("'数据-取费表'!q"&amp;$G$1)</f>
        <v>0.15</v>
      </c>
      <c r="G26" s="1292"/>
      <c r="H26" s="291" t="s">
        <v>395</v>
      </c>
      <c r="I26" s="292" t="s">
        <v>757</v>
      </c>
      <c r="J26" s="293">
        <f ca="1">IF(J5&lt;&gt;0,ROUND(J25*(1-((1+M28)/(1+M26))^M27)/(M26-M28),0),0)</f>
        <v>2804</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20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965</v>
      </c>
      <c r="D29" s="1029"/>
      <c r="E29" s="1027"/>
      <c r="F29" s="1030"/>
      <c r="G29" s="1303"/>
      <c r="H29" s="325" t="s">
        <v>396</v>
      </c>
      <c r="I29" s="326" t="s">
        <v>768</v>
      </c>
      <c r="J29" s="327">
        <f ca="1">ROUND(J26/(1+F40)^F41,0)</f>
        <v>1325</v>
      </c>
      <c r="K29" s="328" t="s">
        <v>769</v>
      </c>
      <c r="L29" s="329"/>
      <c r="M29" s="330">
        <f ca="1">INDIRECT("'数据-取费表'!k"&amp;$G$1)</f>
        <v>1476.21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39.89</v>
      </c>
      <c r="D31" s="1257" t="s">
        <v>720</v>
      </c>
      <c r="E31" s="1256" t="s">
        <v>770</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723</v>
      </c>
      <c r="C32" s="21">
        <f ca="1">IF(项目基本情况!B11="自然人","——",ROUND(C6*F32/(1+'数据-取费表'!C42),2))</f>
        <v>12.69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27.2</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9.65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0.74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2.38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185</v>
      </c>
      <c r="D39" s="1032" t="s">
        <v>773</v>
      </c>
      <c r="E39" s="1033"/>
      <c r="F39" s="1034"/>
      <c r="G39" s="1292"/>
      <c r="H39" s="2474"/>
      <c r="I39" s="1305"/>
      <c r="J39" s="1306"/>
      <c r="K39" s="2472"/>
      <c r="L39" s="2474"/>
      <c r="M39" s="2474"/>
    </row>
    <row r="40" spans="1:18" ht="18" customHeight="1">
      <c r="A40" s="291" t="s">
        <v>395</v>
      </c>
      <c r="B40" s="292" t="s">
        <v>774</v>
      </c>
      <c r="C40" s="293">
        <f ca="1">ROUND(C39*(1-((1+F42)/(1+F40))^F41)/(F40-F42),0)</f>
        <v>1774</v>
      </c>
      <c r="D40" s="316" t="s">
        <v>758</v>
      </c>
      <c r="E40" s="294" t="s">
        <v>759</v>
      </c>
      <c r="F40" s="304">
        <f ca="1">INDIRECT("'数据-取费表'!I"&amp;$G$1)</f>
        <v>5.5E-2</v>
      </c>
      <c r="G40" s="1292"/>
      <c r="H40" s="1366">
        <f ca="1">C39/C5</f>
        <v>0.77731092436974791</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14</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12017</v>
      </c>
      <c r="D43" s="328" t="s">
        <v>777</v>
      </c>
      <c r="E43" s="329" t="s">
        <v>778</v>
      </c>
      <c r="F43" s="330">
        <f ca="1">INDIRECT("'数据-取费表'!k"&amp;$G$1)</f>
        <v>1476.21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-1870</v>
      </c>
      <c r="D46" s="1313" t="str">
        <f>C2</f>
        <v>万元</v>
      </c>
      <c r="E46" s="1307"/>
      <c r="F46" s="1307"/>
      <c r="I46" s="1314" t="s">
        <v>810</v>
      </c>
      <c r="J46" s="1315"/>
      <c r="K46" s="1316"/>
      <c r="L46" s="1317">
        <f ca="1">IF(M47="住宅",0,IF(L48&gt;J51,L60,J60))</f>
        <v>33</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3099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34</v>
      </c>
      <c r="O48" s="1325" t="s">
        <v>404</v>
      </c>
      <c r="P48" s="1326" t="s">
        <v>821</v>
      </c>
      <c r="Q48" s="1327">
        <f ca="1">J60</f>
        <v>33</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f>'数据-取费表'!N18</f>
        <v>2011</v>
      </c>
      <c r="K49" s="1330" t="s">
        <v>824</v>
      </c>
      <c r="L49" s="1333"/>
      <c r="O49" s="1334" t="s">
        <v>405</v>
      </c>
      <c r="P49" s="1326" t="s">
        <v>825</v>
      </c>
      <c r="Q49" s="1327">
        <f ca="1">C29</f>
        <v>965</v>
      </c>
      <c r="R49" s="1327" t="s">
        <v>818</v>
      </c>
    </row>
    <row r="50" spans="1:18" s="1292" customFormat="1" ht="13.8" thickBot="1">
      <c r="A50" s="922"/>
      <c r="B50" s="925"/>
      <c r="C50" s="1055"/>
      <c r="D50" s="899"/>
      <c r="E50" s="993" t="s">
        <v>697</v>
      </c>
      <c r="F50" s="994">
        <f ca="1">F7</f>
        <v>1476.21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2378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t="s">
        <v>3454</v>
      </c>
      <c r="I53" s="1344" t="s">
        <v>836</v>
      </c>
      <c r="J53" s="2006">
        <f ca="1">IF(M47="住宅",IF(D1="——",MAX(J51,L48),MAX(J51,L48-'数据-取费表'!B24)),IF(D1="——",MIN(J51,L48),MIN(J51,L48-'数据-取费表'!B24)))</f>
        <v>34</v>
      </c>
      <c r="K53" s="3381" t="s">
        <v>837</v>
      </c>
      <c r="L53" s="3382"/>
      <c r="O53" s="1325" t="s">
        <v>409</v>
      </c>
      <c r="P53" s="1326" t="s">
        <v>838</v>
      </c>
      <c r="Q53" s="1327">
        <f ca="1">Q47+Q48</f>
        <v>3132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743</v>
      </c>
      <c r="D56" s="1352"/>
      <c r="E56" s="1353"/>
      <c r="F56" s="1345"/>
      <c r="I56" s="1354" t="s">
        <v>842</v>
      </c>
      <c r="J56" s="1355" t="s">
        <v>3457</v>
      </c>
      <c r="K56" s="1328" t="s">
        <v>843</v>
      </c>
      <c r="L56" s="1331" t="str">
        <f ca="1">IF(L48&lt;J51,"——",L48-J53)</f>
        <v>——</v>
      </c>
      <c r="O56" s="1325" t="s">
        <v>403</v>
      </c>
      <c r="P56" s="1326" t="s">
        <v>817</v>
      </c>
      <c r="Q56" s="1327">
        <f ca="1">C40+J29</f>
        <v>3099</v>
      </c>
      <c r="R56" s="1327" t="s">
        <v>818</v>
      </c>
    </row>
    <row r="57" spans="1:18" s="1292" customFormat="1" ht="24.6" thickBot="1">
      <c r="A57" s="1356"/>
      <c r="B57" s="896" t="s">
        <v>767</v>
      </c>
      <c r="C57" s="230">
        <f ca="1">C29</f>
        <v>965</v>
      </c>
      <c r="D57" s="1357"/>
      <c r="E57" s="1358"/>
      <c r="F57" s="1359"/>
      <c r="I57" s="1360" t="s">
        <v>844</v>
      </c>
      <c r="J57" s="1361">
        <f ca="1">IF(OR(M47="住宅",J51&lt;L48,J56="是"),"——",J51-L48)</f>
        <v>12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3099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9.65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0.74</v>
      </c>
      <c r="D65" s="910" t="s">
        <v>743</v>
      </c>
      <c r="E65" s="896" t="s">
        <v>744</v>
      </c>
      <c r="F65" s="321">
        <f t="shared" ca="1" si="0"/>
        <v>1E-3</v>
      </c>
      <c r="I65" s="1367" t="s">
        <v>867</v>
      </c>
      <c r="J65" s="610">
        <v>40</v>
      </c>
      <c r="K65" s="610">
        <v>30</v>
      </c>
      <c r="L65" s="610">
        <v>50</v>
      </c>
      <c r="M65" s="1369">
        <v>0.02</v>
      </c>
      <c r="O65" s="1325" t="s">
        <v>403</v>
      </c>
      <c r="P65" s="1326" t="s">
        <v>868</v>
      </c>
      <c r="Q65" s="1327">
        <f ca="1">C40+J29</f>
        <v>3099</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-10</v>
      </c>
      <c r="D67" s="909" t="s">
        <v>753</v>
      </c>
      <c r="E67" s="914"/>
      <c r="F67" s="915"/>
      <c r="O67" s="1334" t="s">
        <v>405</v>
      </c>
      <c r="P67" s="1326" t="s">
        <v>850</v>
      </c>
      <c r="Q67" s="1370">
        <f ca="1">L51</f>
        <v>2378</v>
      </c>
      <c r="R67" s="1327" t="s">
        <v>870</v>
      </c>
    </row>
    <row r="68" spans="1:18" s="1292" customFormat="1" ht="16.2" thickBot="1">
      <c r="A68" s="893" t="s">
        <v>395</v>
      </c>
      <c r="B68" s="894" t="s">
        <v>774</v>
      </c>
      <c r="C68" s="293">
        <f ca="1">ROUND(C67*(1-((1+F70)/(1+F68))^F69)/(F68-F70),0)</f>
        <v>-96</v>
      </c>
      <c r="D68" s="911" t="s">
        <v>758</v>
      </c>
      <c r="E68" s="896" t="s">
        <v>759</v>
      </c>
      <c r="F68" s="304">
        <f ca="1">F40</f>
        <v>5.5E-2</v>
      </c>
      <c r="O68" s="1334" t="s">
        <v>406</v>
      </c>
      <c r="P68" s="1371" t="s">
        <v>871</v>
      </c>
      <c r="Q68" s="1327">
        <f ca="1">ROUND(Q69-Q70*Q71,0)</f>
        <v>133</v>
      </c>
      <c r="R68" s="1327" t="s">
        <v>414</v>
      </c>
    </row>
    <row r="69" spans="1:18" s="1292" customFormat="1" ht="13.8" thickBot="1">
      <c r="A69" s="897"/>
      <c r="B69" s="898"/>
      <c r="C69" s="298"/>
      <c r="D69" s="916" t="s">
        <v>762</v>
      </c>
      <c r="E69" s="896" t="s">
        <v>763</v>
      </c>
      <c r="F69" s="324">
        <f ca="1">F41</f>
        <v>14</v>
      </c>
      <c r="O69" s="1334" t="s">
        <v>411</v>
      </c>
      <c r="P69" s="1371" t="s">
        <v>872</v>
      </c>
      <c r="Q69" s="1327">
        <f ca="1">C39</f>
        <v>185</v>
      </c>
      <c r="R69" s="1327" t="s">
        <v>818</v>
      </c>
    </row>
    <row r="70" spans="1:18" s="1292" customFormat="1" ht="13.8" thickBot="1">
      <c r="A70" s="900"/>
      <c r="B70" s="901"/>
      <c r="C70" s="302"/>
      <c r="D70" s="912"/>
      <c r="E70" s="896" t="s">
        <v>766</v>
      </c>
      <c r="F70" s="991"/>
      <c r="O70" s="1334" t="s">
        <v>412</v>
      </c>
      <c r="P70" s="1371" t="s">
        <v>873</v>
      </c>
      <c r="Q70" s="1327">
        <f ca="1">C13</f>
        <v>743</v>
      </c>
      <c r="R70" s="1327" t="s">
        <v>818</v>
      </c>
    </row>
    <row r="71" spans="1:18" s="1292" customFormat="1" ht="13.8" thickBot="1">
      <c r="A71" s="917" t="s">
        <v>396</v>
      </c>
      <c r="B71" s="918" t="s">
        <v>776</v>
      </c>
      <c r="C71" s="327">
        <f ca="1">ROUND(C68*10000/F71,0)</f>
        <v>-650</v>
      </c>
      <c r="D71" s="919" t="s">
        <v>777</v>
      </c>
      <c r="E71" s="920" t="s">
        <v>778</v>
      </c>
      <c r="F71" s="330">
        <f ca="1">F43</f>
        <v>1476.21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v>
      </c>
      <c r="D75" s="1292"/>
      <c r="E75" s="1292"/>
      <c r="F75" s="1292"/>
      <c r="K75" s="1309"/>
      <c r="L75" s="1292"/>
      <c r="O75" s="1325" t="s">
        <v>409</v>
      </c>
      <c r="P75" s="1326" t="s">
        <v>838</v>
      </c>
      <c r="Q75" s="1327">
        <f ca="1">Q65+Q66</f>
        <v>3099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0.71899999999999997</v>
      </c>
    </row>
    <row r="80" spans="1:18">
      <c r="B80" s="331" t="s">
        <v>800</v>
      </c>
      <c r="C80" s="266">
        <f ca="1">ROUND(C75/C39,3)</f>
        <v>0.28100000000000003</v>
      </c>
    </row>
    <row r="81" spans="2:3">
      <c r="B81" s="262" t="s">
        <v>801</v>
      </c>
      <c r="C81" s="230"/>
    </row>
    <row r="82" spans="2:3">
      <c r="B82" s="265" t="s">
        <v>802</v>
      </c>
      <c r="C82" s="267">
        <f ca="1">1-C83</f>
        <v>0.58099999999999996</v>
      </c>
    </row>
    <row r="83" spans="2:3">
      <c r="B83" s="265" t="s">
        <v>803</v>
      </c>
      <c r="C83" s="266">
        <f ca="1">ROUND(C13/C40,3)</f>
        <v>0.41899999999999998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4" priority="3">
      <formula>$F$10="自定义"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J11">
    <cfRule type="expression" dxfId="121" priority="2">
      <formula>$M$10="自定义"</formula>
    </cfRule>
  </conditionalFormatting>
  <conditionalFormatting sqref="K55 K60">
    <cfRule type="expression" dxfId="12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3" t="s">
        <v>694</v>
      </c>
      <c r="C6" s="1011">
        <f ca="1">ROUND(F6*F8*F7*(1-F9),0)</f>
        <v>0</v>
      </c>
      <c r="D6" s="147" t="s">
        <v>2104</v>
      </c>
      <c r="E6" s="294" t="s">
        <v>696</v>
      </c>
      <c r="F6" s="295">
        <f ca="1">INDIRECT("'数据-取费表'!u"&amp;$G$1)</f>
        <v>0</v>
      </c>
      <c r="G6" s="1292"/>
      <c r="H6" s="1006" t="s">
        <v>398</v>
      </c>
      <c r="I6" s="3383" t="s">
        <v>694</v>
      </c>
      <c r="J6" s="293">
        <f ca="1">ROUND(M6*M8*M7*(1-M9),0)</f>
        <v>0</v>
      </c>
      <c r="K6" s="1284" t="s">
        <v>2105</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0</v>
      </c>
      <c r="G7" s="1292"/>
      <c r="H7" s="296"/>
      <c r="I7" s="3384"/>
      <c r="J7" s="298"/>
      <c r="K7" s="299"/>
      <c r="L7" s="294" t="s">
        <v>697</v>
      </c>
      <c r="M7" s="295">
        <f ca="1">F7</f>
        <v>0</v>
      </c>
    </row>
    <row r="8" spans="1:37" ht="18" customHeight="1">
      <c r="A8" s="296"/>
      <c r="B8" s="3384"/>
      <c r="C8" s="298"/>
      <c r="D8" s="299"/>
      <c r="E8" s="294" t="s">
        <v>698</v>
      </c>
      <c r="F8" s="295">
        <f ca="1">INDIRECT("'数据-取费表'!ai"&amp;$G$1)</f>
        <v>0</v>
      </c>
      <c r="G8" s="1292"/>
      <c r="H8" s="296"/>
      <c r="I8" s="3384"/>
      <c r="J8" s="298"/>
      <c r="K8" s="299"/>
      <c r="L8" s="294" t="s">
        <v>698</v>
      </c>
      <c r="M8" s="295">
        <f ca="1">INDIRECT("'数据-取费表'!ai"&amp;$G$1)</f>
        <v>0</v>
      </c>
    </row>
    <row r="9" spans="1:37" ht="18" customHeight="1">
      <c r="A9" s="296"/>
      <c r="B9" s="3385"/>
      <c r="C9" s="298"/>
      <c r="D9" s="299"/>
      <c r="E9" s="294" t="s">
        <v>699</v>
      </c>
      <c r="F9" s="304">
        <f ca="1">INDIRECT("'数据-取费表'!w"&amp;$G$1)</f>
        <v>0</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381" t="s">
        <v>837</v>
      </c>
      <c r="L53" s="3382"/>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2" customHeight="1">
      <c r="A2" s="1293" t="s">
        <v>2313</v>
      </c>
      <c r="B2" s="2595" t="e">
        <f>IF(D2="——",C40,C40+E2)</f>
        <v>#DIV/0!</v>
      </c>
      <c r="C2" s="2596" t="s">
        <v>2314</v>
      </c>
      <c r="D2" s="3139" t="s">
        <v>3357</v>
      </c>
      <c r="E2" s="3140"/>
      <c r="F2" s="2598"/>
      <c r="G2" s="2599"/>
      <c r="H2" s="2600"/>
      <c r="I2" s="2601"/>
      <c r="J2" s="3392" t="s">
        <v>2315</v>
      </c>
      <c r="K2" s="3393"/>
      <c r="L2" s="2602" t="s">
        <v>2316</v>
      </c>
      <c r="M2" s="2602" t="s">
        <v>2317</v>
      </c>
      <c r="N2" s="2602" t="s">
        <v>2318</v>
      </c>
      <c r="O2" s="2602" t="s">
        <v>2319</v>
      </c>
      <c r="P2" s="2602" t="s">
        <v>2320</v>
      </c>
      <c r="Q2" s="2603" t="s">
        <v>2321</v>
      </c>
      <c r="R2" s="2604" t="s">
        <v>2322</v>
      </c>
      <c r="S2" s="2593"/>
      <c r="T2" s="2593"/>
      <c r="U2" s="2593"/>
      <c r="V2" s="2601"/>
    </row>
    <row r="3" spans="1:22" s="2605" customFormat="1" ht="13.2" customHeight="1">
      <c r="A3" s="2606" t="s">
        <v>2323</v>
      </c>
      <c r="B3" s="2607" t="e">
        <f>ROUND(B2*10000/B4,0)</f>
        <v>#DIV/0!</v>
      </c>
      <c r="C3" s="2596" t="s">
        <v>2324</v>
      </c>
      <c r="D3" s="2596"/>
      <c r="E3" s="2597"/>
      <c r="F3" s="2598"/>
      <c r="G3" s="2599"/>
      <c r="H3" s="2600"/>
      <c r="I3" s="2601"/>
      <c r="J3" s="3394" t="s">
        <v>2325</v>
      </c>
      <c r="K3" s="3395"/>
      <c r="L3" s="2608"/>
      <c r="M3" s="2608"/>
      <c r="N3" s="2608"/>
      <c r="O3" s="2608"/>
      <c r="P3" s="2608"/>
      <c r="Q3" s="2609"/>
      <c r="R3" s="2610">
        <f>SUM(L3:Q3)</f>
        <v>0</v>
      </c>
      <c r="S3" s="2593"/>
      <c r="T3" s="2593"/>
      <c r="U3" s="2593"/>
      <c r="V3" s="2601"/>
    </row>
    <row r="4" spans="1:22" s="2605" customFormat="1" ht="13.2" customHeight="1">
      <c r="A4" s="2611" t="s">
        <v>2326</v>
      </c>
      <c r="B4" s="2612"/>
      <c r="C4" s="2596"/>
      <c r="D4" s="2596"/>
      <c r="E4" s="2597"/>
      <c r="F4" s="2598"/>
      <c r="G4" s="2599"/>
      <c r="H4" s="2600"/>
      <c r="I4" s="2601"/>
      <c r="J4" s="3394" t="s">
        <v>2327</v>
      </c>
      <c r="K4" s="3395"/>
      <c r="L4" s="2613"/>
      <c r="M4" s="2613"/>
      <c r="N4" s="2613"/>
      <c r="O4" s="2613"/>
      <c r="P4" s="2613"/>
      <c r="Q4" s="2614"/>
      <c r="R4" s="2615">
        <f>SUM(L4:Q4)</f>
        <v>0</v>
      </c>
      <c r="S4" s="2593"/>
      <c r="T4" s="2593"/>
      <c r="U4" s="2593"/>
      <c r="V4" s="2601"/>
    </row>
    <row r="5" spans="1:22" s="2605" customFormat="1" ht="13.2"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2" customHeight="1" thickBot="1">
      <c r="A6" s="3400" t="s">
        <v>2331</v>
      </c>
      <c r="B6" s="3401"/>
      <c r="C6" s="3402"/>
      <c r="D6" s="2622"/>
      <c r="E6" s="2623"/>
      <c r="F6" s="2624"/>
      <c r="G6" s="2625"/>
      <c r="H6" s="2600"/>
      <c r="I6" s="2601"/>
      <c r="J6" s="3386">
        <v>1</v>
      </c>
      <c r="K6" s="3387"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2" customHeight="1">
      <c r="A7" s="2628" t="s">
        <v>2341</v>
      </c>
      <c r="B7" s="2629"/>
      <c r="C7" s="2630"/>
      <c r="D7" s="2631">
        <f>SUM(D9,D10,D11,D17,0)</f>
        <v>0</v>
      </c>
      <c r="E7" s="2632" t="e">
        <f>E9+E10+E11+E17</f>
        <v>#DIV/0!</v>
      </c>
      <c r="F7" s="2633"/>
      <c r="G7" s="2634"/>
      <c r="H7" s="2600"/>
      <c r="I7" s="2601"/>
      <c r="J7" s="3386"/>
      <c r="K7" s="3388"/>
      <c r="L7" s="2635" t="s">
        <v>2342</v>
      </c>
      <c r="M7" s="2636"/>
      <c r="N7" s="2612"/>
      <c r="O7" s="2637"/>
      <c r="P7" s="2637"/>
      <c r="Q7" s="2638">
        <v>365</v>
      </c>
      <c r="R7" s="2639">
        <f>ROUND(M7*N7*O7*P7*Q7/10000,0)</f>
        <v>0</v>
      </c>
      <c r="S7" s="2593"/>
      <c r="T7" s="2593" t="s">
        <v>2343</v>
      </c>
      <c r="U7" s="2593"/>
      <c r="V7" s="2601"/>
    </row>
    <row r="8" spans="1:22" s="2605" customFormat="1" ht="13.2" customHeight="1">
      <c r="A8" s="2640" t="s">
        <v>2344</v>
      </c>
      <c r="B8" s="3403" t="s">
        <v>2345</v>
      </c>
      <c r="C8" s="3404"/>
      <c r="D8" s="2641" t="s">
        <v>2346</v>
      </c>
      <c r="E8" s="2642" t="s">
        <v>2347</v>
      </c>
      <c r="F8" s="2643" t="s">
        <v>2348</v>
      </c>
      <c r="G8" s="2644"/>
      <c r="H8" s="2600"/>
      <c r="I8" s="2601"/>
      <c r="J8" s="3386"/>
      <c r="K8" s="3388"/>
      <c r="L8" s="2635" t="s">
        <v>2349</v>
      </c>
      <c r="M8" s="2636"/>
      <c r="N8" s="2612"/>
      <c r="O8" s="2637"/>
      <c r="P8" s="2637"/>
      <c r="Q8" s="2638">
        <v>365</v>
      </c>
      <c r="R8" s="2639">
        <f t="shared" ref="R8:R13" si="0">ROUND(M8*N8*O8*P8*Q8/10000,0)</f>
        <v>0</v>
      </c>
      <c r="S8" s="2593"/>
      <c r="T8" s="2593" t="s">
        <v>2350</v>
      </c>
      <c r="U8" s="2593"/>
      <c r="V8" s="2601"/>
    </row>
    <row r="9" spans="1:22" s="2605" customFormat="1" ht="13.2" customHeight="1">
      <c r="A9" s="2640">
        <v>1</v>
      </c>
      <c r="B9" s="3403" t="s">
        <v>2351</v>
      </c>
      <c r="C9" s="3404"/>
      <c r="D9" s="2641">
        <f>ROUND(D6*E9,0)</f>
        <v>0</v>
      </c>
      <c r="E9" s="2645"/>
      <c r="F9" s="2646" t="s">
        <v>2352</v>
      </c>
      <c r="G9" s="2625"/>
      <c r="H9" s="2600"/>
      <c r="I9" s="2601"/>
      <c r="J9" s="3386"/>
      <c r="K9" s="3388"/>
      <c r="L9" s="2635" t="s">
        <v>2353</v>
      </c>
      <c r="M9" s="2636"/>
      <c r="N9" s="2612"/>
      <c r="O9" s="2637"/>
      <c r="P9" s="2637"/>
      <c r="Q9" s="2638">
        <v>365</v>
      </c>
      <c r="R9" s="2639">
        <f t="shared" si="0"/>
        <v>0</v>
      </c>
      <c r="S9" s="2593"/>
      <c r="T9" s="2593"/>
      <c r="U9" s="2593"/>
      <c r="V9" s="2601"/>
    </row>
    <row r="10" spans="1:22" s="2605" customFormat="1" ht="13.2" customHeight="1">
      <c r="A10" s="2640">
        <v>2</v>
      </c>
      <c r="B10" s="3403" t="s">
        <v>2354</v>
      </c>
      <c r="C10" s="3404"/>
      <c r="D10" s="2641">
        <f>ROUND(D6*E10,0)</f>
        <v>0</v>
      </c>
      <c r="E10" s="2645"/>
      <c r="F10" s="2646" t="s">
        <v>2355</v>
      </c>
      <c r="G10" s="2625"/>
      <c r="H10" s="2600"/>
      <c r="I10" s="2601"/>
      <c r="J10" s="3386"/>
      <c r="K10" s="3388"/>
      <c r="L10" s="2635" t="s">
        <v>2356</v>
      </c>
      <c r="M10" s="2636"/>
      <c r="N10" s="2612"/>
      <c r="O10" s="2637"/>
      <c r="P10" s="2637"/>
      <c r="Q10" s="2638">
        <v>365</v>
      </c>
      <c r="R10" s="2639">
        <f t="shared" si="0"/>
        <v>0</v>
      </c>
      <c r="S10" s="2593"/>
      <c r="T10" s="2593"/>
      <c r="U10" s="2593"/>
      <c r="V10" s="2601"/>
    </row>
    <row r="11" spans="1:22" s="2605" customFormat="1" ht="13.2" customHeight="1">
      <c r="A11" s="2640">
        <v>3</v>
      </c>
      <c r="B11" s="3403" t="s">
        <v>2357</v>
      </c>
      <c r="C11" s="3404"/>
      <c r="D11" s="2641">
        <f>D12+D14+D15+D16</f>
        <v>0</v>
      </c>
      <c r="E11" s="2647" t="e">
        <f>D11/D6</f>
        <v>#DIV/0!</v>
      </c>
      <c r="F11" s="2643"/>
      <c r="G11" s="2644"/>
      <c r="H11" s="2600"/>
      <c r="I11" s="2601"/>
      <c r="J11" s="3386"/>
      <c r="K11" s="3388"/>
      <c r="L11" s="2635" t="s">
        <v>2358</v>
      </c>
      <c r="M11" s="2636"/>
      <c r="N11" s="2612"/>
      <c r="O11" s="2637"/>
      <c r="P11" s="2637"/>
      <c r="Q11" s="2638">
        <v>365</v>
      </c>
      <c r="R11" s="2639">
        <f t="shared" si="0"/>
        <v>0</v>
      </c>
      <c r="S11" s="2593"/>
      <c r="T11" s="2593"/>
      <c r="U11" s="2593"/>
      <c r="V11" s="2601"/>
    </row>
    <row r="12" spans="1:22" s="2605" customFormat="1" ht="13.2" customHeight="1">
      <c r="A12" s="2648" t="s">
        <v>2359</v>
      </c>
      <c r="B12" s="3396" t="s">
        <v>2360</v>
      </c>
      <c r="C12" s="3397"/>
      <c r="D12" s="2649">
        <f>ROUND(D13*1.2%*(1-30%),0)</f>
        <v>0</v>
      </c>
      <c r="E12" s="2650">
        <v>1.2E-2</v>
      </c>
      <c r="F12" s="2643" t="s">
        <v>2361</v>
      </c>
      <c r="G12" s="2644"/>
      <c r="H12" s="2600"/>
      <c r="I12" s="2601"/>
      <c r="J12" s="3386"/>
      <c r="K12" s="3388"/>
      <c r="L12" s="2635" t="s">
        <v>2362</v>
      </c>
      <c r="M12" s="2636"/>
      <c r="N12" s="2612"/>
      <c r="O12" s="2637"/>
      <c r="P12" s="2637"/>
      <c r="Q12" s="2638">
        <v>365</v>
      </c>
      <c r="R12" s="2639">
        <f t="shared" si="0"/>
        <v>0</v>
      </c>
      <c r="S12" s="2593"/>
      <c r="T12" s="2593"/>
      <c r="U12" s="2593"/>
      <c r="V12" s="2601"/>
    </row>
    <row r="13" spans="1:22" s="2605" customFormat="1" ht="13.2" customHeight="1">
      <c r="A13" s="2648"/>
      <c r="B13" s="2651"/>
      <c r="C13" s="2652" t="s">
        <v>2363</v>
      </c>
      <c r="D13" s="2653"/>
      <c r="E13" s="2654"/>
      <c r="F13" s="2643"/>
      <c r="G13" s="2644"/>
      <c r="H13" s="2600"/>
      <c r="I13" s="2601"/>
      <c r="J13" s="3386"/>
      <c r="K13" s="3388"/>
      <c r="L13" s="2635" t="s">
        <v>2364</v>
      </c>
      <c r="M13" s="2636"/>
      <c r="N13" s="2612"/>
      <c r="O13" s="2637"/>
      <c r="P13" s="2637"/>
      <c r="Q13" s="2638">
        <v>365</v>
      </c>
      <c r="R13" s="2639">
        <f t="shared" si="0"/>
        <v>0</v>
      </c>
      <c r="S13" s="2593"/>
      <c r="T13" s="2593"/>
      <c r="U13" s="2593"/>
      <c r="V13" s="2601"/>
    </row>
    <row r="14" spans="1:22" s="2605" customFormat="1" ht="13.2" customHeight="1">
      <c r="A14" s="2648" t="s">
        <v>2365</v>
      </c>
      <c r="B14" s="3396" t="s">
        <v>2366</v>
      </c>
      <c r="C14" s="3397"/>
      <c r="D14" s="2649">
        <f>ROUND(E14*B5/10000,0)</f>
        <v>0</v>
      </c>
      <c r="E14" s="2638"/>
      <c r="F14" s="2643" t="s">
        <v>2367</v>
      </c>
      <c r="G14" s="2644"/>
      <c r="H14" s="2600"/>
      <c r="I14" s="2601"/>
      <c r="J14" s="3386"/>
      <c r="K14" s="3389"/>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2369</v>
      </c>
      <c r="B15" s="3396" t="s">
        <v>2370</v>
      </c>
      <c r="C15" s="3397"/>
      <c r="D15" s="2649">
        <f>ROUND(D6*E15,0)</f>
        <v>0</v>
      </c>
      <c r="E15" s="2650">
        <v>5.5E-2</v>
      </c>
      <c r="F15" s="2643" t="s">
        <v>2371</v>
      </c>
      <c r="G15" s="2625"/>
      <c r="H15" s="2600"/>
      <c r="I15" s="2601"/>
      <c r="J15" s="3386">
        <v>2</v>
      </c>
      <c r="K15" s="3387"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2" customHeight="1">
      <c r="A16" s="2648" t="s">
        <v>2378</v>
      </c>
      <c r="B16" s="3396" t="s">
        <v>2379</v>
      </c>
      <c r="C16" s="3397"/>
      <c r="D16" s="2660">
        <f>D6*E16</f>
        <v>0</v>
      </c>
      <c r="E16" s="2661"/>
      <c r="F16" s="2646" t="s">
        <v>2380</v>
      </c>
      <c r="G16" s="2625"/>
      <c r="H16" s="2600"/>
      <c r="I16" s="2601"/>
      <c r="J16" s="3386"/>
      <c r="K16" s="3388"/>
      <c r="L16" s="2635" t="s">
        <v>2381</v>
      </c>
      <c r="M16" s="2636"/>
      <c r="N16" s="2636"/>
      <c r="O16" s="2637"/>
      <c r="P16" s="2638">
        <v>365</v>
      </c>
      <c r="Q16" s="2612"/>
      <c r="R16" s="2659">
        <f>ROUND(M16*N16*O16*P16/10000,0)</f>
        <v>0</v>
      </c>
      <c r="S16" s="2593"/>
      <c r="T16" s="2593"/>
      <c r="U16" s="2593"/>
      <c r="V16" s="2601"/>
    </row>
    <row r="17" spans="1:22" s="2605" customFormat="1" ht="13.2" customHeight="1" thickBot="1">
      <c r="A17" s="2662">
        <v>4</v>
      </c>
      <c r="B17" s="3398" t="s">
        <v>2382</v>
      </c>
      <c r="C17" s="3399"/>
      <c r="D17" s="2663">
        <f>ROUND(D6*E17,0)</f>
        <v>0</v>
      </c>
      <c r="E17" s="2664"/>
      <c r="F17" s="2665" t="s">
        <v>2383</v>
      </c>
      <c r="G17" s="2625"/>
      <c r="H17" s="2600"/>
      <c r="I17" s="2601"/>
      <c r="J17" s="3386"/>
      <c r="K17" s="3388"/>
      <c r="L17" s="2635" t="s">
        <v>2384</v>
      </c>
      <c r="M17" s="2636"/>
      <c r="N17" s="2636"/>
      <c r="O17" s="2637"/>
      <c r="P17" s="2638">
        <v>365</v>
      </c>
      <c r="Q17" s="2612"/>
      <c r="R17" s="2659">
        <f>ROUND(M17*N17*O17*P17/10000,0)</f>
        <v>0</v>
      </c>
      <c r="S17" s="2593"/>
      <c r="T17" s="2593"/>
      <c r="U17" s="2593"/>
      <c r="V17" s="2601"/>
    </row>
    <row r="18" spans="1:22" s="2605" customFormat="1" ht="13.2" customHeight="1" thickBot="1">
      <c r="A18" s="2628" t="s">
        <v>2385</v>
      </c>
      <c r="B18" s="2629"/>
      <c r="C18" s="2629"/>
      <c r="D18" s="2666">
        <f>ROUND(D6*E18,0)</f>
        <v>0</v>
      </c>
      <c r="E18" s="2667"/>
      <c r="F18" s="2668" t="s">
        <v>2386</v>
      </c>
      <c r="G18" s="2625"/>
      <c r="H18" s="2600"/>
      <c r="I18" s="2601"/>
      <c r="J18" s="3386"/>
      <c r="K18" s="3388"/>
      <c r="L18" s="2635" t="s">
        <v>2387</v>
      </c>
      <c r="M18" s="2636"/>
      <c r="N18" s="2636"/>
      <c r="O18" s="2637"/>
      <c r="P18" s="2638">
        <v>365</v>
      </c>
      <c r="Q18" s="2612"/>
      <c r="R18" s="2659">
        <f>ROUND(M18*N18*O18*P18/10000,0)</f>
        <v>0</v>
      </c>
      <c r="S18" s="2593"/>
      <c r="T18" s="2593"/>
      <c r="U18" s="2593"/>
      <c r="V18" s="2601"/>
    </row>
    <row r="19" spans="1:22" s="2605" customFormat="1" ht="13.2" customHeight="1" thickBot="1">
      <c r="A19" s="2669" t="s">
        <v>2388</v>
      </c>
      <c r="B19" s="2623"/>
      <c r="C19" s="2623"/>
      <c r="D19" s="2623"/>
      <c r="E19" s="2623"/>
      <c r="F19" s="2624"/>
      <c r="G19" s="2644"/>
      <c r="H19" s="2600"/>
      <c r="I19" s="2601"/>
      <c r="J19" s="3386"/>
      <c r="K19" s="3389"/>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86">
        <v>3</v>
      </c>
      <c r="K20" s="3387"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2" customHeight="1">
      <c r="A21" s="2628"/>
      <c r="B21" s="2629"/>
      <c r="C21" s="2674" t="s">
        <v>2397</v>
      </c>
      <c r="D21" s="2675" t="s">
        <v>2398</v>
      </c>
      <c r="E21" s="2676" t="s">
        <v>2399</v>
      </c>
      <c r="F21" s="2672"/>
      <c r="G21" s="2644"/>
      <c r="H21" s="2600"/>
      <c r="I21" s="2601"/>
      <c r="J21" s="3386"/>
      <c r="K21" s="3388"/>
      <c r="L21" s="2635" t="s">
        <v>2400</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2401</v>
      </c>
      <c r="D22" s="2679" t="s">
        <v>2402</v>
      </c>
      <c r="E22" s="2680" t="s">
        <v>2403</v>
      </c>
      <c r="F22" s="2672"/>
      <c r="G22" s="2593"/>
      <c r="H22" s="2600"/>
      <c r="I22" s="2601"/>
      <c r="J22" s="3386"/>
      <c r="K22" s="3388"/>
      <c r="L22" s="2635" t="s">
        <v>2404</v>
      </c>
      <c r="M22" s="2636"/>
      <c r="N22" s="2636"/>
      <c r="O22" s="2637"/>
      <c r="P22" s="2638">
        <v>365</v>
      </c>
      <c r="Q22" s="2612"/>
      <c r="R22" s="2677">
        <f>ROUND(M22*N22*O22*P22/10000,0)</f>
        <v>0</v>
      </c>
      <c r="S22" s="2593"/>
      <c r="T22" s="2593"/>
      <c r="U22" s="2593"/>
      <c r="V22" s="2601"/>
    </row>
    <row r="23" spans="1:22" s="2605" customFormat="1" ht="13.2" customHeight="1">
      <c r="A23" s="2681">
        <v>1</v>
      </c>
      <c r="B23" s="2682" t="s">
        <v>2405</v>
      </c>
      <c r="C23" s="2683">
        <f>D6</f>
        <v>0</v>
      </c>
      <c r="D23" s="2684">
        <f>C23*(1+D24)</f>
        <v>0</v>
      </c>
      <c r="E23" s="2685">
        <f>D23*(1+E24)</f>
        <v>0</v>
      </c>
      <c r="F23" s="2686"/>
      <c r="G23" s="2687"/>
      <c r="H23" s="2600"/>
      <c r="I23" s="2601"/>
      <c r="J23" s="3386"/>
      <c r="K23" s="3388"/>
      <c r="L23" s="2635" t="s">
        <v>2406</v>
      </c>
      <c r="M23" s="2636"/>
      <c r="N23" s="2636"/>
      <c r="O23" s="2637"/>
      <c r="P23" s="2638">
        <v>365</v>
      </c>
      <c r="Q23" s="2612"/>
      <c r="R23" s="2677">
        <f>ROUND(M23*N23*O23*P23/10000,0)</f>
        <v>0</v>
      </c>
      <c r="S23" s="2593"/>
      <c r="T23" s="2593"/>
      <c r="U23" s="2593"/>
      <c r="V23" s="2601"/>
    </row>
    <row r="24" spans="1:22" s="2605" customFormat="1" ht="13.2" customHeight="1">
      <c r="A24" s="2688"/>
      <c r="B24" s="2689" t="s">
        <v>2407</v>
      </c>
      <c r="C24" s="2690"/>
      <c r="D24" s="2691"/>
      <c r="E24" s="2692"/>
      <c r="F24" s="2693"/>
      <c r="G24" s="2687"/>
      <c r="H24" s="2600"/>
      <c r="I24" s="2601"/>
      <c r="J24" s="3386"/>
      <c r="K24" s="3389"/>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2" customHeight="1">
      <c r="A26" s="2681">
        <v>2</v>
      </c>
      <c r="B26" s="2682" t="s">
        <v>2409</v>
      </c>
      <c r="C26" s="2683">
        <f>D7</f>
        <v>0</v>
      </c>
      <c r="D26" s="2684">
        <f>D23*D27</f>
        <v>0</v>
      </c>
      <c r="E26" s="2685">
        <f>E23*E27</f>
        <v>0</v>
      </c>
      <c r="F26" s="2686"/>
      <c r="G26" s="2687"/>
      <c r="H26" s="2600"/>
      <c r="I26" s="2601"/>
      <c r="J26" s="3390">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2" customHeight="1">
      <c r="A27" s="2688"/>
      <c r="B27" s="2689" t="s">
        <v>2415</v>
      </c>
      <c r="C27" s="2706" t="e">
        <f>E7</f>
        <v>#DIV/0!</v>
      </c>
      <c r="D27" s="2691"/>
      <c r="E27" s="2692"/>
      <c r="F27" s="2693"/>
      <c r="G27" s="2687"/>
      <c r="H27" s="2707"/>
      <c r="I27" s="2699"/>
      <c r="J27" s="339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2"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2" customHeight="1">
      <c r="A32" s="2681">
        <v>4</v>
      </c>
      <c r="B32" s="2682" t="s">
        <v>2423</v>
      </c>
      <c r="C32" s="2683">
        <f>C23-C26-C29</f>
        <v>0</v>
      </c>
      <c r="D32" s="2684">
        <f>D23-D26-D29</f>
        <v>0</v>
      </c>
      <c r="E32" s="2685">
        <f>E23-E26-E29</f>
        <v>0</v>
      </c>
      <c r="F32" s="2686"/>
      <c r="G32" s="2593"/>
      <c r="H32" s="2600"/>
      <c r="I32" s="2601"/>
      <c r="J32" s="3392" t="s">
        <v>2315</v>
      </c>
      <c r="K32" s="3393"/>
      <c r="L32" s="2602" t="s">
        <v>2316</v>
      </c>
      <c r="M32" s="2602" t="s">
        <v>2317</v>
      </c>
      <c r="N32" s="2602" t="s">
        <v>2318</v>
      </c>
      <c r="O32" s="2602" t="s">
        <v>2319</v>
      </c>
      <c r="P32" s="2602" t="s">
        <v>2320</v>
      </c>
      <c r="Q32" s="2603" t="s">
        <v>2321</v>
      </c>
      <c r="R32" s="2722" t="s">
        <v>2322</v>
      </c>
      <c r="S32" s="2593"/>
      <c r="T32" s="2593"/>
      <c r="U32" s="2593"/>
      <c r="V32" s="2699"/>
    </row>
    <row r="33" spans="1:23" s="2605" customFormat="1" ht="13.2" customHeight="1">
      <c r="A33" s="2681"/>
      <c r="B33" s="2682"/>
      <c r="C33" s="2683"/>
      <c r="D33" s="2723"/>
      <c r="E33" s="2724"/>
      <c r="F33" s="2686"/>
      <c r="G33" s="2593"/>
      <c r="H33" s="2707"/>
      <c r="I33" s="2699"/>
      <c r="J33" s="3394" t="s">
        <v>2325</v>
      </c>
      <c r="K33" s="3395"/>
      <c r="L33" s="2608"/>
      <c r="M33" s="2608"/>
      <c r="N33" s="2608"/>
      <c r="O33" s="2608"/>
      <c r="P33" s="2608"/>
      <c r="Q33" s="2609"/>
      <c r="R33" s="2725">
        <f>SUM(L33:Q33)</f>
        <v>0</v>
      </c>
      <c r="S33" s="2593"/>
      <c r="T33" s="2593"/>
      <c r="U33" s="2593"/>
      <c r="V33" s="2601"/>
    </row>
    <row r="34" spans="1:23" s="2605" customFormat="1" ht="13.2" customHeight="1">
      <c r="A34" s="2681">
        <v>5</v>
      </c>
      <c r="B34" s="2682" t="s">
        <v>2424</v>
      </c>
      <c r="C34" s="2726"/>
      <c r="D34" s="2727"/>
      <c r="E34" s="2728"/>
      <c r="F34" s="2686"/>
      <c r="G34" s="2593"/>
      <c r="H34" s="2707"/>
      <c r="I34" s="2699"/>
      <c r="J34" s="3394" t="s">
        <v>2327</v>
      </c>
      <c r="K34" s="3395"/>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2" customHeight="1" thickBot="1">
      <c r="A36" s="2681">
        <v>7</v>
      </c>
      <c r="B36" s="2735" t="s">
        <v>2426</v>
      </c>
      <c r="C36" s="2736"/>
      <c r="D36" s="2737"/>
      <c r="E36" s="2738"/>
      <c r="F36" s="2739">
        <f>C36+D36+E36</f>
        <v>0</v>
      </c>
      <c r="G36" s="2593"/>
      <c r="H36" s="2600"/>
      <c r="I36" s="2601"/>
      <c r="J36" s="3386">
        <v>1</v>
      </c>
      <c r="K36" s="3387" t="s">
        <v>2427</v>
      </c>
      <c r="L36" s="2626"/>
      <c r="M36" s="2627"/>
      <c r="N36" s="2627"/>
      <c r="O36" s="2627"/>
      <c r="P36" s="2627"/>
      <c r="Q36" s="2627"/>
      <c r="R36" s="2610" t="s">
        <v>2339</v>
      </c>
      <c r="S36" s="2593"/>
      <c r="T36" s="2593" t="s">
        <v>2340</v>
      </c>
      <c r="U36" s="2593"/>
      <c r="V36" s="2601"/>
    </row>
    <row r="37" spans="1:23" s="2605" customFormat="1" ht="13.2" customHeight="1">
      <c r="A37" s="2681"/>
      <c r="B37" s="2682"/>
      <c r="C37" s="2682"/>
      <c r="D37" s="2682"/>
      <c r="E37" s="2682"/>
      <c r="F37" s="2686"/>
      <c r="G37" s="2593"/>
      <c r="H37" s="2600"/>
      <c r="I37" s="2601"/>
      <c r="J37" s="3386"/>
      <c r="K37" s="3388"/>
      <c r="L37" s="2635"/>
      <c r="M37" s="2636"/>
      <c r="N37" s="2612"/>
      <c r="O37" s="2637"/>
      <c r="P37" s="2637"/>
      <c r="Q37" s="2638"/>
      <c r="R37" s="2639"/>
      <c r="S37" s="2593"/>
      <c r="T37" s="2593" t="s">
        <v>2343</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86"/>
      <c r="K38" s="3388"/>
      <c r="L38" s="2635"/>
      <c r="M38" s="2636"/>
      <c r="N38" s="2612"/>
      <c r="O38" s="2637"/>
      <c r="P38" s="2637"/>
      <c r="Q38" s="2638"/>
      <c r="R38" s="2639"/>
      <c r="S38" s="2593"/>
      <c r="T38" s="2593" t="s">
        <v>2350</v>
      </c>
      <c r="U38" s="2593"/>
      <c r="V38" s="2601"/>
    </row>
    <row r="39" spans="1:23" s="2605" customFormat="1" ht="13.2" customHeight="1">
      <c r="A39" s="2681">
        <v>9</v>
      </c>
      <c r="B39" s="2682" t="s">
        <v>2428</v>
      </c>
      <c r="C39" s="2649" t="e">
        <f>C38</f>
        <v>#DIV/0!</v>
      </c>
      <c r="D39" s="2682">
        <f>D38/(1+D34)^C36</f>
        <v>0</v>
      </c>
      <c r="E39" s="2682">
        <f>E38/(1+E34)^(C36+D36)</f>
        <v>0</v>
      </c>
      <c r="F39" s="2686"/>
      <c r="G39" s="2601"/>
      <c r="H39" s="2600"/>
      <c r="I39" s="2601"/>
      <c r="J39" s="3386"/>
      <c r="K39" s="3388"/>
      <c r="L39" s="2635"/>
      <c r="M39" s="2636"/>
      <c r="N39" s="2612"/>
      <c r="O39" s="2637"/>
      <c r="P39" s="2637"/>
      <c r="Q39" s="2638"/>
      <c r="R39" s="2639"/>
      <c r="S39" s="2593"/>
      <c r="T39" s="2593"/>
      <c r="U39" s="2593"/>
      <c r="V39" s="2601"/>
    </row>
    <row r="40" spans="1:23" s="2605" customFormat="1" ht="13.2" customHeight="1">
      <c r="A40" s="2740">
        <v>10</v>
      </c>
      <c r="B40" s="2682" t="s">
        <v>2429</v>
      </c>
      <c r="C40" s="2741" t="e">
        <f>C39+D39+E39</f>
        <v>#DIV/0!</v>
      </c>
      <c r="D40" s="2742"/>
      <c r="E40" s="2742"/>
      <c r="F40" s="2743"/>
      <c r="G40" s="2593"/>
      <c r="H40" s="2600"/>
      <c r="I40" s="2601"/>
      <c r="J40" s="3386"/>
      <c r="K40" s="3389"/>
      <c r="L40" s="2655" t="s">
        <v>2368</v>
      </c>
      <c r="M40" s="2656"/>
      <c r="N40" s="2656"/>
      <c r="O40" s="2657"/>
      <c r="P40" s="2657"/>
      <c r="Q40" s="2658"/>
      <c r="R40" s="2604">
        <f>SUM(R37:R39)</f>
        <v>0</v>
      </c>
      <c r="S40" s="2593"/>
      <c r="T40" s="2593"/>
      <c r="U40" s="2593"/>
      <c r="V40" s="2601"/>
    </row>
    <row r="41" spans="1:23" s="2605" customFormat="1" ht="13.2"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2" customHeight="1">
      <c r="G42" s="2600"/>
      <c r="H42" s="2600"/>
      <c r="I42" s="2601"/>
      <c r="J42" s="3390">
        <v>3</v>
      </c>
      <c r="K42" s="2701" t="s">
        <v>2410</v>
      </c>
      <c r="L42" s="2702"/>
      <c r="M42" s="2703"/>
      <c r="N42" s="2704" t="s">
        <v>2411</v>
      </c>
      <c r="O42" s="2704" t="s">
        <v>2412</v>
      </c>
      <c r="P42" s="2705" t="s">
        <v>2413</v>
      </c>
      <c r="Q42" s="2705" t="s">
        <v>2414</v>
      </c>
      <c r="R42" s="2610" t="s">
        <v>2339</v>
      </c>
      <c r="S42" s="2644"/>
      <c r="T42" s="2644"/>
      <c r="U42" s="2593"/>
      <c r="V42" s="2601"/>
    </row>
    <row r="43" spans="1:23" ht="13.2" customHeight="1">
      <c r="A43" s="2605"/>
      <c r="B43" s="2605"/>
      <c r="C43" s="2605"/>
      <c r="D43" s="2605"/>
      <c r="E43" s="2605"/>
      <c r="F43" s="2605"/>
      <c r="I43" s="2588"/>
      <c r="J43" s="339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3132</v>
      </c>
      <c r="C2" s="1729" t="s">
        <v>1651</v>
      </c>
      <c r="D2" s="1730" t="s">
        <v>1652</v>
      </c>
      <c r="E2" s="2393">
        <f>SUM(E6:E13)</f>
        <v>1476.21</v>
      </c>
      <c r="F2" s="2480"/>
      <c r="G2" s="459"/>
      <c r="H2" s="459"/>
      <c r="I2" s="459"/>
      <c r="J2" s="459"/>
      <c r="K2" s="459"/>
      <c r="L2" s="459"/>
      <c r="M2" s="459"/>
      <c r="N2" s="459"/>
      <c r="O2" s="459"/>
      <c r="P2" s="459"/>
      <c r="Q2" s="459"/>
      <c r="R2" s="459"/>
      <c r="S2" s="459"/>
    </row>
    <row r="3" spans="1:22" ht="15.6">
      <c r="A3" s="1728" t="s">
        <v>686</v>
      </c>
      <c r="B3" s="2387">
        <f ca="1">ROUND(B2*10000/E2,0)</f>
        <v>21216</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05" t="s">
        <v>1654</v>
      </c>
      <c r="C5" s="3406"/>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3132</v>
      </c>
      <c r="C6" s="1729" t="s">
        <v>1651</v>
      </c>
      <c r="D6" s="2480"/>
      <c r="E6" s="2392">
        <f>IF(OR(A6=0,F6="否"),0,'数据-取费表'!K6+'数据-取费表'!S6)</f>
        <v>1476.21</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1476.21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25" t="s">
        <v>1667</v>
      </c>
      <c r="D4" s="3426"/>
      <c r="E4" s="3427" t="s">
        <v>1668</v>
      </c>
      <c r="F4" s="3428"/>
      <c r="G4" s="3425" t="s">
        <v>1669</v>
      </c>
      <c r="H4" s="3426"/>
      <c r="I4" s="3425" t="s">
        <v>1670</v>
      </c>
      <c r="J4" s="3426"/>
      <c r="K4" s="1744" t="s">
        <v>1671</v>
      </c>
      <c r="L4" s="2487"/>
      <c r="M4" s="2488"/>
      <c r="N4" s="2488"/>
      <c r="O4" s="2488"/>
      <c r="P4" s="3429" t="s">
        <v>1672</v>
      </c>
      <c r="Q4" s="3430"/>
      <c r="R4" s="3435" t="s">
        <v>1668</v>
      </c>
      <c r="S4" s="3436"/>
      <c r="T4" s="3435" t="s">
        <v>1669</v>
      </c>
      <c r="U4" s="3436"/>
      <c r="V4" s="3411" t="s">
        <v>1670</v>
      </c>
      <c r="W4" s="3411"/>
      <c r="X4" s="1265"/>
      <c r="Y4" s="3435" t="s">
        <v>1672</v>
      </c>
      <c r="Z4" s="3436"/>
      <c r="AA4" s="3422" t="s">
        <v>1668</v>
      </c>
      <c r="AB4" s="3422" t="s">
        <v>1669</v>
      </c>
      <c r="AC4" s="3422" t="s">
        <v>1670</v>
      </c>
    </row>
    <row r="5" spans="1:29">
      <c r="A5" s="348"/>
      <c r="B5" s="349"/>
      <c r="C5" s="3443" t="s">
        <v>1673</v>
      </c>
      <c r="D5" s="3444"/>
      <c r="E5" s="3450" t="s">
        <v>1674</v>
      </c>
      <c r="F5" s="3451"/>
      <c r="G5" s="3443" t="s">
        <v>1675</v>
      </c>
      <c r="H5" s="3444"/>
      <c r="I5" s="3443" t="s">
        <v>1676</v>
      </c>
      <c r="J5" s="3444"/>
      <c r="K5" s="1745"/>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1745" t="s">
        <v>1678</v>
      </c>
      <c r="L6" s="2487"/>
      <c r="M6" s="2488"/>
      <c r="N6" s="2488"/>
      <c r="O6" s="2488"/>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45764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5" t="s">
        <v>1680</v>
      </c>
      <c r="Q7" s="3447"/>
      <c r="R7" s="664" t="s">
        <v>20</v>
      </c>
      <c r="S7" s="665">
        <f t="shared" ref="S7:S15" si="0">F7</f>
        <v>0</v>
      </c>
      <c r="T7" s="664" t="s">
        <v>20</v>
      </c>
      <c r="U7" s="665">
        <f t="shared" ref="U7:U15" si="1">H7</f>
        <v>0</v>
      </c>
      <c r="V7" s="664" t="s">
        <v>20</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5" t="s">
        <v>1683</v>
      </c>
      <c r="Q8" s="3446"/>
      <c r="R8" s="664" t="s">
        <v>20</v>
      </c>
      <c r="S8" s="665">
        <f t="shared" si="0"/>
        <v>100</v>
      </c>
      <c r="T8" s="664" t="s">
        <v>20</v>
      </c>
      <c r="U8" s="665">
        <f t="shared" si="1"/>
        <v>100</v>
      </c>
      <c r="V8" s="664" t="s">
        <v>20</v>
      </c>
      <c r="W8" s="665">
        <f t="shared" si="2"/>
        <v>100</v>
      </c>
      <c r="X8" s="666"/>
      <c r="Y8" s="3445" t="s">
        <v>1683</v>
      </c>
      <c r="Z8" s="344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1"/>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1"/>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1"/>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1"/>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0"/>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0"/>
      <c r="Q18" s="1263"/>
      <c r="R18" s="667"/>
      <c r="S18" s="668"/>
      <c r="T18" s="667"/>
      <c r="U18" s="668"/>
      <c r="V18" s="667"/>
      <c r="W18" s="668"/>
      <c r="X18" s="1265"/>
      <c r="Y18" s="341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0"/>
      <c r="Q20" s="1263"/>
      <c r="R20" s="667"/>
      <c r="S20" s="668"/>
      <c r="T20" s="667"/>
      <c r="U20" s="668"/>
      <c r="V20" s="667"/>
      <c r="W20" s="668"/>
      <c r="X20" s="1265"/>
      <c r="Y20" s="341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0"/>
      <c r="Q22" s="1263"/>
      <c r="R22" s="667"/>
      <c r="S22" s="668"/>
      <c r="T22" s="667"/>
      <c r="U22" s="668"/>
      <c r="V22" s="667"/>
      <c r="W22" s="668"/>
      <c r="X22" s="1265"/>
      <c r="Y22" s="341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0"/>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1476.21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11"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11"/>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11"/>
      <c r="AC6" s="3424"/>
    </row>
    <row r="7" spans="1:29" s="102" customFormat="1" ht="15" thickBot="1">
      <c r="A7" s="352" t="s">
        <v>1679</v>
      </c>
      <c r="B7" s="353"/>
      <c r="C7" s="354">
        <f>'数据-取费表'!B2</f>
        <v>45764</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1"/>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0"/>
      <c r="Q18" s="1263"/>
      <c r="R18" s="667"/>
      <c r="S18" s="668"/>
      <c r="T18" s="667"/>
      <c r="U18" s="668"/>
      <c r="V18" s="667"/>
      <c r="W18" s="668"/>
      <c r="X18" s="1265"/>
      <c r="Y18" s="341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0"/>
      <c r="Q20" s="1263"/>
      <c r="R20" s="667"/>
      <c r="S20" s="668"/>
      <c r="T20" s="667"/>
      <c r="U20" s="668"/>
      <c r="V20" s="667"/>
      <c r="W20" s="668"/>
      <c r="X20" s="1265"/>
      <c r="Y20" s="341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0"/>
      <c r="Q22" s="1263"/>
      <c r="R22" s="667"/>
      <c r="S22" s="668"/>
      <c r="T22" s="667"/>
      <c r="U22" s="668"/>
      <c r="V22" s="667"/>
      <c r="W22" s="668"/>
      <c r="X22" s="1265"/>
      <c r="Y22" s="341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0"/>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5"/>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10" t="str">
        <f>A47</f>
        <v>成交单价（元/平方米）</v>
      </c>
      <c r="Q47" s="3410"/>
      <c r="R47" s="3411">
        <f>E47</f>
        <v>0</v>
      </c>
      <c r="S47" s="3411"/>
      <c r="T47" s="3411">
        <f>G47</f>
        <v>0</v>
      </c>
      <c r="U47" s="3411"/>
      <c r="V47" s="3411">
        <f>I47</f>
        <v>0</v>
      </c>
      <c r="W47" s="3411"/>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估价对象为北京市房地产，为所有。根据《国有土地使用证》[]，估价对象（分摊）出让国有建设用地使用权面积为0平方米，建筑面积为1476.21平方米。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估价对象为北京市房地产,属开发建设的，该项目尚在开发建设中。根据《国有土地使用证》[]，估价对象（分摊）出让国有建设用地使用权面积为0平方米，规划建筑面积为1476.21平方米。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1476.21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860"/>
      <c r="M5" s="861"/>
      <c r="N5" s="861"/>
      <c r="O5" s="861"/>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860"/>
      <c r="M6" s="861"/>
      <c r="N6" s="861"/>
      <c r="O6" s="861"/>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45764</v>
      </c>
      <c r="D7" s="355">
        <v>100</v>
      </c>
      <c r="E7" s="356"/>
      <c r="F7" s="357">
        <f>SUMIF(52:52,YEAR(E7)&amp;"-"&amp;MONTH(E7),53:53)</f>
        <v>0</v>
      </c>
      <c r="G7" s="356"/>
      <c r="H7" s="355">
        <f>SUMIF(52:52,YEAR(G7)&amp;"-"&amp;MONTH(G7),53:53)</f>
        <v>0</v>
      </c>
      <c r="I7" s="356"/>
      <c r="J7" s="355">
        <f>SUMIF(52:52,YEAR(I7)&amp;"-"&amp;MONTH(I7),53:53)</f>
        <v>0</v>
      </c>
      <c r="K7" s="38"/>
      <c r="L7" s="862"/>
      <c r="M7" s="863"/>
      <c r="N7" s="863"/>
      <c r="O7" s="863"/>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5" t="s">
        <v>1683</v>
      </c>
      <c r="Q8" s="3446"/>
      <c r="R8" s="664" t="s">
        <v>14</v>
      </c>
      <c r="S8" s="665">
        <f t="shared" si="0"/>
        <v>100</v>
      </c>
      <c r="T8" s="664" t="s">
        <v>14</v>
      </c>
      <c r="U8" s="665">
        <f t="shared" si="1"/>
        <v>100</v>
      </c>
      <c r="V8" s="664" t="s">
        <v>14</v>
      </c>
      <c r="W8" s="665">
        <f t="shared" si="2"/>
        <v>100</v>
      </c>
      <c r="X8" s="666"/>
      <c r="Y8" s="3445" t="s">
        <v>1683</v>
      </c>
      <c r="Z8" s="344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11">
        <f>E41</f>
        <v>0</v>
      </c>
      <c r="S41" s="3411"/>
      <c r="T41" s="3411">
        <f>G41</f>
        <v>0</v>
      </c>
      <c r="U41" s="3411"/>
      <c r="V41" s="3411">
        <f>I41</f>
        <v>0</v>
      </c>
      <c r="W41" s="3411"/>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F7:F40 H7:H40 J7:J40">
    <cfRule type="cellIs" dxfId="82" priority="1" operator="notEqual">
      <formula>100</formula>
    </cfRule>
  </conditionalFormatting>
  <conditionalFormatting sqref="F42">
    <cfRule type="expression" dxfId="81" priority="4">
      <formula>$D$42="简单平均"</formula>
    </cfRule>
  </conditionalFormatting>
  <conditionalFormatting sqref="F46:F48 H46:H48">
    <cfRule type="containsText" dxfId="80" priority="17" stopIfTrue="1" operator="containsText" text="超过">
      <formula>NOT(ISERROR(SEARCH("超过",F46)))</formula>
    </cfRule>
  </conditionalFormatting>
  <conditionalFormatting sqref="G46">
    <cfRule type="expression" dxfId="79" priority="12" stopIfTrue="1">
      <formula>$H$46="超过30%"</formula>
    </cfRule>
  </conditionalFormatting>
  <conditionalFormatting sqref="G47">
    <cfRule type="expression" dxfId="78" priority="11" stopIfTrue="1">
      <formula>$H$47="超过20%"</formula>
    </cfRule>
  </conditionalFormatting>
  <conditionalFormatting sqref="G48">
    <cfRule type="expression" dxfId="77" priority="13" stopIfTrue="1">
      <formula>$H$48="超过30%"</formula>
    </cfRule>
  </conditionalFormatting>
  <conditionalFormatting sqref="H42">
    <cfRule type="expression" dxfId="76" priority="3">
      <formula>$D$42="简单平均"</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J42">
    <cfRule type="expression" dxfId="72" priority="2">
      <formula>$D$42="简单平均"</formula>
    </cfRule>
  </conditionalFormatting>
  <conditionalFormatting sqref="J46:J48">
    <cfRule type="containsText" dxfId="7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45764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3"/>
      <c r="Q15" s="1263"/>
      <c r="R15" s="667"/>
      <c r="S15" s="668"/>
      <c r="T15" s="667"/>
      <c r="U15" s="668"/>
      <c r="V15" s="667"/>
      <c r="W15" s="668"/>
      <c r="X15" s="1265"/>
      <c r="Y15" s="341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3"/>
      <c r="Q17" s="1263"/>
      <c r="R17" s="667"/>
      <c r="S17" s="668"/>
      <c r="T17" s="667"/>
      <c r="U17" s="668"/>
      <c r="V17" s="667"/>
      <c r="W17" s="668"/>
      <c r="X17" s="1265"/>
      <c r="Y17" s="341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3"/>
      <c r="Q19" s="1263"/>
      <c r="R19" s="667"/>
      <c r="S19" s="668"/>
      <c r="T19" s="667"/>
      <c r="U19" s="668"/>
      <c r="V19" s="667"/>
      <c r="W19" s="668"/>
      <c r="X19" s="1265"/>
      <c r="Y19" s="341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5"/>
      <c r="M37" s="2488"/>
      <c r="N37" s="2488"/>
      <c r="O37" s="2488"/>
      <c r="P37" s="3410" t="str">
        <f>A37</f>
        <v>成交单价</v>
      </c>
      <c r="Q37" s="3410"/>
      <c r="R37" s="3411">
        <f>E37</f>
        <v>0</v>
      </c>
      <c r="S37" s="3411"/>
      <c r="T37" s="3411">
        <f>G37</f>
        <v>0</v>
      </c>
      <c r="U37" s="3411"/>
      <c r="V37" s="3411">
        <f>I37</f>
        <v>0</v>
      </c>
      <c r="W37" s="3411"/>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07" t="str">
        <f>A39</f>
        <v>估价对象XX用房的比较价值（楼面单价，元/平方米）</v>
      </c>
      <c r="Q39" s="3408"/>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0" priority="13" stopIfTrue="1">
      <formula>$F$42="超过30%"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F7:F36 H7:H36 J7:J36">
    <cfRule type="cellIs" dxfId="67" priority="1" operator="notEqual">
      <formula>100</formula>
    </cfRule>
  </conditionalFormatting>
  <conditionalFormatting sqref="F38">
    <cfRule type="expression" dxfId="66" priority="4">
      <formula>$D$38="简单平均"</formula>
    </cfRule>
  </conditionalFormatting>
  <conditionalFormatting sqref="F42:F44 H42:H44 J42:J44">
    <cfRule type="containsText" dxfId="65" priority="14" stopIfTrue="1" operator="containsText" text="超过">
      <formula>NOT(ISERROR(SEARCH("超过",F42)))</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G44">
    <cfRule type="expression" dxfId="62" priority="12" stopIfTrue="1">
      <formula>$H$54+$H$44="超过30%"</formula>
    </cfRule>
  </conditionalFormatting>
  <conditionalFormatting sqref="H38">
    <cfRule type="expression" dxfId="61" priority="3">
      <formula>$D$38="简单平均"</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J38">
    <cfRule type="expression" dxfId="5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45764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5" t="s">
        <v>1680</v>
      </c>
      <c r="Q7" s="3447"/>
      <c r="R7" s="664" t="s">
        <v>14</v>
      </c>
      <c r="S7" s="665">
        <f t="shared" ref="S7:S14" si="0">F7</f>
        <v>0</v>
      </c>
      <c r="T7" s="664" t="s">
        <v>14</v>
      </c>
      <c r="U7" s="665">
        <f t="shared" ref="U7:U14" si="1">H7</f>
        <v>0</v>
      </c>
      <c r="V7" s="664" t="s">
        <v>14</v>
      </c>
      <c r="W7" s="665">
        <f t="shared" ref="W7:W14" si="2">J7</f>
        <v>0</v>
      </c>
      <c r="X7" s="666"/>
      <c r="Y7" s="3445" t="s">
        <v>1680</v>
      </c>
      <c r="Z7" s="344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5" t="s">
        <v>1683</v>
      </c>
      <c r="Q8" s="3446"/>
      <c r="R8" s="664" t="s">
        <v>14</v>
      </c>
      <c r="S8" s="665">
        <f t="shared" si="0"/>
        <v>100</v>
      </c>
      <c r="T8" s="664" t="s">
        <v>14</v>
      </c>
      <c r="U8" s="665">
        <f t="shared" si="1"/>
        <v>100</v>
      </c>
      <c r="V8" s="664" t="s">
        <v>14</v>
      </c>
      <c r="W8" s="665">
        <f t="shared" si="2"/>
        <v>100</v>
      </c>
      <c r="X8" s="666"/>
      <c r="Y8" s="3445" t="s">
        <v>1683</v>
      </c>
      <c r="Z8" s="344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3"/>
      <c r="Q15" s="1263"/>
      <c r="R15" s="667"/>
      <c r="S15" s="668"/>
      <c r="T15" s="667"/>
      <c r="U15" s="668"/>
      <c r="V15" s="667"/>
      <c r="W15" s="668"/>
      <c r="X15" s="1265"/>
      <c r="Y15" s="341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3"/>
      <c r="Q17" s="1263"/>
      <c r="R17" s="667"/>
      <c r="S17" s="668"/>
      <c r="T17" s="667"/>
      <c r="U17" s="668"/>
      <c r="V17" s="667"/>
      <c r="W17" s="668"/>
      <c r="X17" s="1265"/>
      <c r="Y17" s="341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3"/>
      <c r="Q19" s="1263"/>
      <c r="R19" s="667"/>
      <c r="S19" s="668"/>
      <c r="T19" s="667"/>
      <c r="U19" s="668"/>
      <c r="V19" s="667"/>
      <c r="W19" s="668"/>
      <c r="X19" s="1265"/>
      <c r="Y19" s="341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411">
        <f>E35</f>
        <v>0</v>
      </c>
      <c r="S35" s="3411"/>
      <c r="T35" s="3411">
        <f>G35</f>
        <v>0</v>
      </c>
      <c r="U35" s="3411"/>
      <c r="V35" s="3411">
        <f>I35</f>
        <v>0</v>
      </c>
      <c r="W35" s="3411"/>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07" t="str">
        <f>A37</f>
        <v>估价对象XX用房的比较价值（楼面单价，元/平方米）</v>
      </c>
      <c r="Q37" s="3408"/>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6" priority="13" stopIfTrue="1">
      <formula>$F$40="超过30%"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F7:F34 H7:H34 J7:J34">
    <cfRule type="cellIs" dxfId="53" priority="1" operator="notEqual">
      <formula>100</formula>
    </cfRule>
  </conditionalFormatting>
  <conditionalFormatting sqref="F36">
    <cfRule type="expression" dxfId="52" priority="4">
      <formula>$D$36="简单平均"</formula>
    </cfRule>
  </conditionalFormatting>
  <conditionalFormatting sqref="F40:F42 H40:H42 J40:J42">
    <cfRule type="containsText" dxfId="51" priority="14" stopIfTrue="1" operator="containsText" text="超过">
      <formula>NOT(ISERROR(SEARCH("超过",F40)))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G42">
    <cfRule type="expression" dxfId="48" priority="12" stopIfTrue="1">
      <formula>$H$54+$H$42="超过30%"</formula>
    </cfRule>
  </conditionalFormatting>
  <conditionalFormatting sqref="H36">
    <cfRule type="expression" dxfId="47" priority="3">
      <formula>$D$36="简单平均"</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J36">
    <cfRule type="expression" dxfId="4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45764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5" t="s">
        <v>1683</v>
      </c>
      <c r="Q8" s="3446"/>
      <c r="R8" s="664" t="s">
        <v>14</v>
      </c>
      <c r="S8" s="665">
        <f t="shared" si="0"/>
        <v>0</v>
      </c>
      <c r="T8" s="664" t="s">
        <v>14</v>
      </c>
      <c r="U8" s="665">
        <f t="shared" si="1"/>
        <v>0</v>
      </c>
      <c r="V8" s="664" t="s">
        <v>14</v>
      </c>
      <c r="W8" s="665">
        <f t="shared" si="2"/>
        <v>0</v>
      </c>
      <c r="X8" s="666"/>
      <c r="Y8" s="3445" t="s">
        <v>1683</v>
      </c>
      <c r="Z8" s="344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90"/>
      <c r="M10" s="2491"/>
      <c r="N10" s="2491"/>
      <c r="O10" s="2542"/>
      <c r="P10" s="3410"/>
      <c r="Q10" s="530" t="str">
        <f t="shared" si="6"/>
        <v>土地使用年限（年）</v>
      </c>
      <c r="R10" s="664" t="s">
        <v>14</v>
      </c>
      <c r="S10" s="665">
        <f t="shared" si="0"/>
        <v>113</v>
      </c>
      <c r="T10" s="664" t="s">
        <v>14</v>
      </c>
      <c r="U10" s="665">
        <f t="shared" si="1"/>
        <v>113</v>
      </c>
      <c r="V10" s="664" t="s">
        <v>14</v>
      </c>
      <c r="W10" s="665">
        <f t="shared" si="2"/>
        <v>113</v>
      </c>
      <c r="X10" s="666"/>
      <c r="Y10" s="3266"/>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3"/>
      <c r="Q20" s="1263"/>
      <c r="R20" s="667"/>
      <c r="S20" s="668"/>
      <c r="T20" s="667"/>
      <c r="U20" s="668"/>
      <c r="V20" s="667"/>
      <c r="W20" s="668"/>
      <c r="X20" s="1265"/>
      <c r="Y20" s="341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3"/>
      <c r="Q24" s="1263"/>
      <c r="R24" s="667"/>
      <c r="S24" s="668"/>
      <c r="T24" s="667"/>
      <c r="U24" s="668"/>
      <c r="V24" s="667"/>
      <c r="W24" s="668"/>
      <c r="X24" s="1265"/>
      <c r="Y24" s="341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3"/>
      <c r="Q26" s="1263"/>
      <c r="R26" s="667"/>
      <c r="S26" s="668"/>
      <c r="T26" s="667"/>
      <c r="U26" s="668"/>
      <c r="V26" s="667"/>
      <c r="W26" s="668"/>
      <c r="X26" s="1265"/>
      <c r="Y26" s="341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3"/>
      <c r="Q28" s="530"/>
      <c r="R28" s="664"/>
      <c r="S28" s="665"/>
      <c r="T28" s="664"/>
      <c r="U28" s="665"/>
      <c r="V28" s="664"/>
      <c r="W28" s="665"/>
      <c r="X28" s="666"/>
      <c r="Y28" s="341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2"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411">
        <f>E46</f>
        <v>0</v>
      </c>
      <c r="S46" s="3411"/>
      <c r="T46" s="3411">
        <f>G46</f>
        <v>0</v>
      </c>
      <c r="U46" s="3411"/>
      <c r="V46" s="3411">
        <f>I46</f>
        <v>0</v>
      </c>
      <c r="W46" s="3411"/>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07" t="str">
        <f>A48</f>
        <v>估价对象XX用房的比较价值（楼面单价，元/平方米）</v>
      </c>
      <c r="Q48" s="3408"/>
      <c r="R48" s="3455" t="e">
        <f>ROUND(IF(D47="简单平均",AVERAGE(R47:W47),R47*F47+T47*H47+V47*J47),0)</f>
        <v>#DIV/0!</v>
      </c>
      <c r="S48" s="3455"/>
      <c r="T48" s="3455"/>
      <c r="U48" s="3455"/>
      <c r="V48" s="3455"/>
      <c r="W48" s="345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5" t="s">
        <v>1887</v>
      </c>
      <c r="H55" s="345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1476.21</v>
      </c>
      <c r="F56" s="833" t="e">
        <f t="shared" ref="F56:F64" si="15">ROUND(B56*E56/10000,0)</f>
        <v>#DIV/0!</v>
      </c>
      <c r="G56" s="3421"/>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五级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五级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五级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1476.21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47">
    <cfRule type="expression" dxfId="38" priority="4">
      <formula>$D$47="简单平均"</formula>
    </cfRule>
  </conditionalFormatting>
  <conditionalFormatting sqref="F51:F53 H51:H53 J51:J53">
    <cfRule type="containsText" dxfId="37" priority="14" stopIfTrue="1" operator="containsText" text="超过">
      <formula>NOT(ISERROR(SEARCH("超过",F51)))</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G53">
    <cfRule type="expression" dxfId="34" priority="12" stopIfTrue="1">
      <formula>$H$53="超过30%"</formula>
    </cfRule>
  </conditionalFormatting>
  <conditionalFormatting sqref="H47">
    <cfRule type="expression" dxfId="33" priority="3">
      <formula>$D$47="简单平均"</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J47">
    <cfRule type="expression" dxfId="2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7"/>
      <c r="M4" s="2488"/>
      <c r="N4" s="2488"/>
      <c r="O4" s="2488"/>
      <c r="P4" s="3429" t="s">
        <v>1775</v>
      </c>
      <c r="Q4" s="3430"/>
      <c r="R4" s="3435" t="s">
        <v>1771</v>
      </c>
      <c r="S4" s="3436"/>
      <c r="T4" s="3435" t="s">
        <v>1772</v>
      </c>
      <c r="U4" s="3436"/>
      <c r="V4" s="3411" t="s">
        <v>1773</v>
      </c>
      <c r="W4" s="3411"/>
      <c r="X4" s="1265"/>
      <c r="Y4" s="3435" t="s">
        <v>1775</v>
      </c>
      <c r="Z4" s="3436"/>
      <c r="AA4" s="3422" t="s">
        <v>1771</v>
      </c>
      <c r="AB4" s="3423" t="s">
        <v>1772</v>
      </c>
      <c r="AC4" s="3422" t="s">
        <v>1773</v>
      </c>
    </row>
    <row r="5" spans="1:29">
      <c r="A5" s="348"/>
      <c r="B5" s="349"/>
      <c r="C5" s="3443" t="s">
        <v>1673</v>
      </c>
      <c r="D5" s="3444"/>
      <c r="E5" s="3450" t="s">
        <v>1674</v>
      </c>
      <c r="F5" s="3451"/>
      <c r="G5" s="3443" t="s">
        <v>1675</v>
      </c>
      <c r="H5" s="3444"/>
      <c r="I5" s="3443" t="s">
        <v>1676</v>
      </c>
      <c r="J5" s="3444"/>
      <c r="K5" s="537"/>
      <c r="L5" s="2487"/>
      <c r="M5" s="2488"/>
      <c r="N5" s="2488"/>
      <c r="O5" s="2488"/>
      <c r="P5" s="3431"/>
      <c r="Q5" s="3432"/>
      <c r="R5" s="3437"/>
      <c r="S5" s="3438"/>
      <c r="T5" s="3437"/>
      <c r="U5" s="3438"/>
      <c r="V5" s="3411"/>
      <c r="W5" s="3411"/>
      <c r="X5" s="1265"/>
      <c r="Y5" s="3437"/>
      <c r="Z5" s="3438"/>
      <c r="AA5" s="3423"/>
      <c r="AB5" s="3423"/>
      <c r="AC5" s="3423"/>
    </row>
    <row r="6" spans="1:29" ht="15" thickBot="1">
      <c r="A6" s="350"/>
      <c r="B6" s="351"/>
      <c r="C6" s="3457" t="s">
        <v>1919</v>
      </c>
      <c r="D6" s="3458"/>
      <c r="E6" s="3459" t="s">
        <v>1919</v>
      </c>
      <c r="F6" s="3460"/>
      <c r="G6" s="3457" t="s">
        <v>1919</v>
      </c>
      <c r="H6" s="3458"/>
      <c r="I6" s="3457" t="s">
        <v>1919</v>
      </c>
      <c r="J6" s="3458"/>
      <c r="K6" s="537" t="s">
        <v>1678</v>
      </c>
      <c r="L6" s="2487"/>
      <c r="M6" s="2488"/>
      <c r="N6" s="2488"/>
      <c r="O6" s="2488"/>
      <c r="P6" s="3433"/>
      <c r="Q6" s="3434"/>
      <c r="R6" s="3437"/>
      <c r="S6" s="3438"/>
      <c r="T6" s="3439"/>
      <c r="U6" s="3440"/>
      <c r="V6" s="3411"/>
      <c r="W6" s="3411"/>
      <c r="X6" s="1265"/>
      <c r="Y6" s="3439"/>
      <c r="Z6" s="3440"/>
      <c r="AA6" s="3424"/>
      <c r="AB6" s="3424"/>
      <c r="AC6" s="3424"/>
    </row>
    <row r="7" spans="1:29" s="102" customFormat="1" ht="15" thickBot="1">
      <c r="A7" s="352" t="s">
        <v>1679</v>
      </c>
      <c r="B7" s="353"/>
      <c r="C7" s="354">
        <f>'数据-取费表'!B2</f>
        <v>45764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5"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5" t="s">
        <v>1683</v>
      </c>
      <c r="Q8" s="3446"/>
      <c r="R8" s="664" t="s">
        <v>14</v>
      </c>
      <c r="S8" s="665">
        <f t="shared" si="0"/>
        <v>0</v>
      </c>
      <c r="T8" s="664" t="s">
        <v>14</v>
      </c>
      <c r="U8" s="665">
        <f t="shared" si="1"/>
        <v>0</v>
      </c>
      <c r="V8" s="664" t="s">
        <v>14</v>
      </c>
      <c r="W8" s="665">
        <f t="shared" si="2"/>
        <v>0</v>
      </c>
      <c r="X8" s="666"/>
      <c r="Y8" s="3445" t="s">
        <v>1683</v>
      </c>
      <c r="Z8" s="344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90"/>
      <c r="M10" s="2491"/>
      <c r="N10" s="2491"/>
      <c r="O10" s="2542"/>
      <c r="P10" s="3410"/>
      <c r="Q10" s="530" t="str">
        <f t="shared" si="6"/>
        <v>土地使用年限（年）</v>
      </c>
      <c r="R10" s="664" t="s">
        <v>14</v>
      </c>
      <c r="S10" s="665">
        <f t="shared" si="0"/>
        <v>113</v>
      </c>
      <c r="T10" s="664" t="s">
        <v>14</v>
      </c>
      <c r="U10" s="665">
        <f t="shared" si="1"/>
        <v>113</v>
      </c>
      <c r="V10" s="664" t="s">
        <v>14</v>
      </c>
      <c r="W10" s="665">
        <f t="shared" si="2"/>
        <v>113</v>
      </c>
      <c r="X10" s="666"/>
      <c r="Y10" s="3266"/>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3"/>
      <c r="Q16" s="1263"/>
      <c r="R16" s="667"/>
      <c r="S16" s="668"/>
      <c r="T16" s="667"/>
      <c r="U16" s="668"/>
      <c r="V16" s="667"/>
      <c r="W16" s="668"/>
      <c r="X16" s="1265"/>
      <c r="Y16" s="341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3"/>
      <c r="Q18" s="1263"/>
      <c r="R18" s="667"/>
      <c r="S18" s="668"/>
      <c r="T18" s="667"/>
      <c r="U18" s="668"/>
      <c r="V18" s="667"/>
      <c r="W18" s="668"/>
      <c r="X18" s="1265"/>
      <c r="Y18" s="341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3"/>
      <c r="Q20" s="1263"/>
      <c r="R20" s="667"/>
      <c r="S20" s="668"/>
      <c r="T20" s="667"/>
      <c r="U20" s="668"/>
      <c r="V20" s="667"/>
      <c r="W20" s="668"/>
      <c r="X20" s="1265"/>
      <c r="Y20" s="341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3"/>
      <c r="Q22" s="1263"/>
      <c r="R22" s="667"/>
      <c r="S22" s="668"/>
      <c r="T22" s="667"/>
      <c r="U22" s="668"/>
      <c r="V22" s="667"/>
      <c r="W22" s="668"/>
      <c r="X22" s="1265"/>
      <c r="Y22" s="341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3"/>
      <c r="Q24" s="530"/>
      <c r="R24" s="664"/>
      <c r="S24" s="665"/>
      <c r="T24" s="664"/>
      <c r="U24" s="665"/>
      <c r="V24" s="664"/>
      <c r="W24" s="665"/>
      <c r="X24" s="666"/>
      <c r="Y24" s="341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2"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411">
        <f>E41</f>
        <v>0</v>
      </c>
      <c r="S41" s="3411"/>
      <c r="T41" s="3411">
        <f>G41</f>
        <v>0</v>
      </c>
      <c r="U41" s="3411"/>
      <c r="V41" s="3411">
        <f>I41</f>
        <v>0</v>
      </c>
      <c r="W41" s="3411"/>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07" t="str">
        <f>A43</f>
        <v>估价对象XX用房的比较价值（楼面单价，元/平方米）</v>
      </c>
      <c r="Q43" s="3408"/>
      <c r="R43" s="3455" t="e">
        <f>ROUND(IF(D42="简单平均",AVERAGE(R42:W42),R42*F42+T42*H42+V42*J42),0)</f>
        <v>#DIV/0!</v>
      </c>
      <c r="S43" s="3455"/>
      <c r="T43" s="3455"/>
      <c r="U43" s="3455"/>
      <c r="V43" s="3455"/>
      <c r="W43" s="345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25" t="s">
        <v>1887</v>
      </c>
      <c r="H50" s="345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1476.21</v>
      </c>
      <c r="F51" s="611" t="e">
        <f t="shared" ref="F51:F60" si="15">ROUND(B51*E51/10000,0)</f>
        <v>#DIV/0!</v>
      </c>
      <c r="G51" s="3421"/>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五级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五级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五级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8" priority="13" stopIfTrue="1">
      <formula>$F$46="超过30%"</formula>
    </cfRule>
  </conditionalFormatting>
  <conditionalFormatting sqref="E47">
    <cfRule type="expression" dxfId="27" priority="53" stopIfTrue="1">
      <formula>#REF!+$F$47="超过20%"</formula>
    </cfRule>
  </conditionalFormatting>
  <conditionalFormatting sqref="E48">
    <cfRule type="expression" dxfId="26" priority="10" stopIfTrue="1">
      <formula>$F$48="超过30%"</formula>
    </cfRule>
  </conditionalFormatting>
  <conditionalFormatting sqref="F7:F40 H7:H40 J7:J40">
    <cfRule type="cellIs" dxfId="25" priority="1" operator="notEqual">
      <formula>100</formula>
    </cfRule>
  </conditionalFormatting>
  <conditionalFormatting sqref="F42">
    <cfRule type="expression" dxfId="24" priority="4">
      <formula>$D$42="简单平均"</formula>
    </cfRule>
  </conditionalFormatting>
  <conditionalFormatting sqref="F46:F48 H46:H48 J46:J48">
    <cfRule type="containsText" dxfId="23" priority="14" stopIfTrue="1" operator="containsText" text="超过">
      <formula>NOT(ISERROR(SEARCH("超过",F46)))</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G48">
    <cfRule type="expression" dxfId="20" priority="12" stopIfTrue="1">
      <formula>$H$48="超过30%"</formula>
    </cfRule>
  </conditionalFormatting>
  <conditionalFormatting sqref="H42">
    <cfRule type="expression" dxfId="19" priority="3">
      <formula>$D$42="简单平均"</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J42">
    <cfRule type="expression" dxfId="1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67B74-69B1-4B11-B250-F4FC903F16B0}">
  <sheetPr>
    <tabColor rgb="FF7030A0"/>
  </sheetPr>
  <dimension ref="A1:I10"/>
  <sheetViews>
    <sheetView workbookViewId="0">
      <selection activeCell="G9" sqref="G9"/>
    </sheetView>
  </sheetViews>
  <sheetFormatPr defaultRowHeight="14.4"/>
  <cols>
    <col min="1" max="1" width="22.33203125" customWidth="1"/>
    <col min="2" max="2" width="18.88671875" customWidth="1"/>
    <col min="3" max="3" width="22.6640625" customWidth="1"/>
    <col min="4" max="4" width="4.33203125" customWidth="1"/>
  </cols>
  <sheetData>
    <row r="1" spans="1:9">
      <c r="A1" s="1405" t="s">
        <v>3415</v>
      </c>
      <c r="B1" s="1405" t="s">
        <v>3416</v>
      </c>
      <c r="C1" s="1405" t="s">
        <v>3417</v>
      </c>
      <c r="D1" s="1405" t="s">
        <v>3426</v>
      </c>
      <c r="E1" s="1405" t="s">
        <v>3418</v>
      </c>
      <c r="F1" s="1405" t="s">
        <v>3422</v>
      </c>
      <c r="G1" s="1405" t="s">
        <v>3423</v>
      </c>
      <c r="H1" s="1405" t="s">
        <v>2541</v>
      </c>
      <c r="I1" s="1405" t="s">
        <v>3419</v>
      </c>
    </row>
    <row r="2" spans="1:9" ht="28.8">
      <c r="A2" s="3163" t="s">
        <v>3414</v>
      </c>
      <c r="B2" s="3163" t="s">
        <v>3420</v>
      </c>
      <c r="C2" s="3163" t="s">
        <v>3421</v>
      </c>
      <c r="D2" s="1405">
        <v>204</v>
      </c>
      <c r="E2">
        <v>1476.21</v>
      </c>
      <c r="F2" s="1405" t="s">
        <v>3425</v>
      </c>
      <c r="G2">
        <v>2</v>
      </c>
      <c r="H2" s="1405" t="s">
        <v>3424</v>
      </c>
      <c r="I2">
        <v>2011</v>
      </c>
    </row>
    <row r="3" spans="1:9" ht="28.8">
      <c r="A3" s="3163" t="s">
        <v>3427</v>
      </c>
      <c r="B3" s="3163" t="s">
        <v>3420</v>
      </c>
      <c r="C3" s="3163" t="s">
        <v>3428</v>
      </c>
      <c r="D3">
        <v>304</v>
      </c>
      <c r="E3">
        <v>1476.21</v>
      </c>
      <c r="F3" s="1405" t="s">
        <v>3425</v>
      </c>
      <c r="G3">
        <v>3</v>
      </c>
      <c r="H3" s="1405" t="s">
        <v>3424</v>
      </c>
    </row>
    <row r="4" spans="1:9" ht="28.8">
      <c r="A4" s="3163" t="s">
        <v>3429</v>
      </c>
      <c r="B4" s="3163" t="s">
        <v>3420</v>
      </c>
      <c r="C4" s="3163" t="s">
        <v>3430</v>
      </c>
      <c r="D4">
        <v>404</v>
      </c>
      <c r="E4">
        <v>1475.12</v>
      </c>
      <c r="F4" s="1405" t="s">
        <v>3425</v>
      </c>
      <c r="G4">
        <v>4</v>
      </c>
      <c r="H4" s="1405" t="s">
        <v>3424</v>
      </c>
    </row>
    <row r="5" spans="1:9">
      <c r="E5">
        <f>SUM(E2:E4)</f>
        <v>4427.54</v>
      </c>
    </row>
    <row r="8" spans="1:9">
      <c r="E8" s="1405" t="s">
        <v>3441</v>
      </c>
    </row>
    <row r="9" spans="1:9">
      <c r="A9" s="3163" t="s">
        <v>3437</v>
      </c>
      <c r="B9" s="3163" t="s">
        <v>3440</v>
      </c>
      <c r="E9">
        <f>ROUND(7270000/E5/365,2)</f>
        <v>4.5</v>
      </c>
    </row>
    <row r="10" spans="1:9">
      <c r="B10" s="3163" t="s">
        <v>3438</v>
      </c>
      <c r="C10" s="1405" t="s">
        <v>3439</v>
      </c>
      <c r="E10">
        <f>ROUND(107000000/E5/(365*15),2)</f>
        <v>4.41</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8CB5-BC4C-4F9D-8E73-7900FCED1BCA}">
  <sheetPr>
    <tabColor rgb="FF7030A0"/>
  </sheetPr>
  <dimension ref="A1"/>
  <sheetViews>
    <sheetView topLeftCell="B58" workbookViewId="0">
      <selection activeCell="N71" sqref="N71"/>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83D0-ADF5-4CA4-B7E3-430A588ADC83}">
  <sheetPr>
    <tabColor rgb="FF7030A0"/>
  </sheetPr>
  <dimension ref="A1"/>
  <sheetViews>
    <sheetView topLeftCell="A163" workbookViewId="0">
      <selection activeCell="A181" sqref="A181"/>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2197</v>
      </c>
      <c r="C2" s="1984" t="s">
        <v>2074</v>
      </c>
      <c r="D2" s="1984" t="s">
        <v>2075</v>
      </c>
      <c r="E2" s="2398">
        <f ca="1">SUMIF(E6:E13,"&lt;&gt;#ref!",E6:E13)</f>
        <v>1476.21</v>
      </c>
      <c r="F2" s="2545"/>
      <c r="G2" s="2545"/>
      <c r="H2" s="2545"/>
      <c r="I2" s="2545"/>
      <c r="J2" s="2545"/>
      <c r="K2" s="2545"/>
      <c r="L2" s="2545"/>
      <c r="M2" s="2545"/>
      <c r="N2" s="2545"/>
      <c r="O2" s="2545"/>
      <c r="P2" s="2545"/>
    </row>
    <row r="3" spans="1:16" ht="15.6">
      <c r="A3" s="1984" t="s">
        <v>2076</v>
      </c>
      <c r="B3" s="2388">
        <f ca="1">ROUND(B2*10000/E2,0)</f>
        <v>14883</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2197</v>
      </c>
      <c r="C6" s="1984" t="s">
        <v>2074</v>
      </c>
      <c r="D6" s="2545"/>
      <c r="E6" s="2398">
        <f ca="1">SUMIF(INDIRECT("'"&amp;A6&amp;"'"&amp;"!C:C"),"建筑面积",INDIRECT("'"&amp;A6&amp;"'"&amp;"!D:D"))</f>
        <v>1476.21</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470" t="s">
        <v>2605</v>
      </c>
      <c r="B20" s="3465" t="s">
        <v>2626</v>
      </c>
      <c r="C20" s="2843" t="s">
        <v>2437</v>
      </c>
      <c r="D20" s="2844"/>
      <c r="E20" s="2845">
        <v>1</v>
      </c>
      <c r="F20" s="2846" t="s">
        <v>2438</v>
      </c>
      <c r="G20" s="2846"/>
    </row>
    <row r="21" spans="1:13" ht="19.5" customHeight="1">
      <c r="A21" s="3471"/>
      <c r="B21" s="3464"/>
      <c r="C21" s="2847" t="s">
        <v>2439</v>
      </c>
      <c r="D21" s="2848"/>
      <c r="E21" s="2849">
        <v>1</v>
      </c>
      <c r="F21" s="2846" t="s">
        <v>2440</v>
      </c>
      <c r="G21" s="2846"/>
    </row>
    <row r="22" spans="1:13" ht="19.5" customHeight="1">
      <c r="A22" s="3471"/>
      <c r="B22" s="3464"/>
      <c r="C22" s="2847" t="s">
        <v>2441</v>
      </c>
      <c r="D22" s="2848"/>
      <c r="E22" s="2849">
        <v>0.9</v>
      </c>
      <c r="F22" s="2846" t="s">
        <v>2442</v>
      </c>
      <c r="G22" s="2846"/>
    </row>
    <row r="23" spans="1:13" ht="19.5" customHeight="1">
      <c r="A23" s="3471"/>
      <c r="B23" s="3464"/>
      <c r="C23" s="2847" t="s">
        <v>2443</v>
      </c>
      <c r="D23" s="2848"/>
      <c r="E23" s="2849">
        <v>0.9</v>
      </c>
      <c r="F23" s="2846" t="s">
        <v>2444</v>
      </c>
      <c r="G23" s="2846"/>
    </row>
    <row r="24" spans="1:13" ht="19.5" customHeight="1">
      <c r="A24" s="3471"/>
      <c r="B24" s="3464"/>
      <c r="C24" s="2847" t="s">
        <v>2445</v>
      </c>
      <c r="D24" s="2848"/>
      <c r="E24" s="2849">
        <v>0.8</v>
      </c>
      <c r="F24" s="2846" t="s">
        <v>2446</v>
      </c>
      <c r="G24" s="2846"/>
    </row>
    <row r="25" spans="1:13" ht="19.5" customHeight="1" thickBot="1">
      <c r="A25" s="3472"/>
      <c r="B25" s="3466"/>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67" t="s">
        <v>2629</v>
      </c>
      <c r="B27" s="3465" t="s">
        <v>2610</v>
      </c>
      <c r="C27" s="2843" t="s">
        <v>2450</v>
      </c>
      <c r="D27" s="2844"/>
      <c r="E27" s="2845">
        <v>1</v>
      </c>
      <c r="F27" s="2846" t="s">
        <v>2451</v>
      </c>
      <c r="G27" s="2846"/>
    </row>
    <row r="28" spans="1:13" ht="19.5" customHeight="1">
      <c r="A28" s="3468"/>
      <c r="B28" s="3464"/>
      <c r="C28" s="2847" t="s">
        <v>2452</v>
      </c>
      <c r="D28" s="2848"/>
      <c r="E28" s="2849">
        <v>1</v>
      </c>
      <c r="F28" s="2846" t="s">
        <v>2453</v>
      </c>
      <c r="G28" s="2846"/>
    </row>
    <row r="29" spans="1:13" ht="19.5" customHeight="1">
      <c r="A29" s="3468"/>
      <c r="B29" s="3464"/>
      <c r="C29" s="2847" t="s">
        <v>2454</v>
      </c>
      <c r="D29" s="2848"/>
      <c r="E29" s="2849">
        <v>0.8</v>
      </c>
      <c r="F29" s="2846" t="s">
        <v>2455</v>
      </c>
      <c r="G29" s="2846"/>
    </row>
    <row r="30" spans="1:13" ht="19.5" customHeight="1">
      <c r="A30" s="3468"/>
      <c r="B30" s="3464"/>
      <c r="C30" s="2847" t="s">
        <v>2456</v>
      </c>
      <c r="D30" s="2848"/>
      <c r="E30" s="2849">
        <v>0.8</v>
      </c>
      <c r="F30" s="2846" t="s">
        <v>2457</v>
      </c>
      <c r="G30" s="2846"/>
    </row>
    <row r="31" spans="1:13" ht="19.5" customHeight="1">
      <c r="A31" s="3468"/>
      <c r="B31" s="3464"/>
      <c r="C31" s="2847" t="s">
        <v>2458</v>
      </c>
      <c r="D31" s="2848"/>
      <c r="E31" s="2849">
        <v>0.8</v>
      </c>
      <c r="F31" s="2846" t="s">
        <v>2459</v>
      </c>
      <c r="G31" s="2846"/>
    </row>
    <row r="32" spans="1:13" ht="19.5" customHeight="1">
      <c r="A32" s="3468"/>
      <c r="B32" s="3464"/>
      <c r="C32" s="2847" t="s">
        <v>2460</v>
      </c>
      <c r="D32" s="2848"/>
      <c r="E32" s="2849">
        <v>0.7</v>
      </c>
      <c r="F32" s="2846" t="s">
        <v>2461</v>
      </c>
      <c r="G32" s="2846"/>
    </row>
    <row r="33" spans="1:7" ht="19.5" customHeight="1">
      <c r="A33" s="3468"/>
      <c r="B33" s="3464"/>
      <c r="C33" s="2847" t="s">
        <v>2462</v>
      </c>
      <c r="D33" s="2848"/>
      <c r="E33" s="2849">
        <v>0.8</v>
      </c>
      <c r="F33" s="2846" t="s">
        <v>2463</v>
      </c>
      <c r="G33" s="2846"/>
    </row>
    <row r="34" spans="1:7" ht="19.5" customHeight="1">
      <c r="A34" s="3468"/>
      <c r="B34" s="3464"/>
      <c r="C34" s="2847" t="s">
        <v>2464</v>
      </c>
      <c r="D34" s="2848"/>
      <c r="E34" s="2849">
        <v>0.6</v>
      </c>
      <c r="F34" s="2846" t="s">
        <v>2465</v>
      </c>
      <c r="G34" s="2846"/>
    </row>
    <row r="35" spans="1:7" ht="19.5" customHeight="1">
      <c r="A35" s="3468"/>
      <c r="B35" s="3464"/>
      <c r="C35" s="2847" t="s">
        <v>2466</v>
      </c>
      <c r="D35" s="2848"/>
      <c r="E35" s="2849">
        <v>0.2</v>
      </c>
      <c r="F35" s="2846" t="s">
        <v>2467</v>
      </c>
      <c r="G35" s="2846"/>
    </row>
    <row r="36" spans="1:7" ht="19.5" customHeight="1">
      <c r="A36" s="3468"/>
      <c r="B36" s="3464"/>
      <c r="C36" s="2847" t="s">
        <v>2468</v>
      </c>
      <c r="D36" s="2848"/>
      <c r="E36" s="2849">
        <v>0.2</v>
      </c>
      <c r="F36" s="2846" t="s">
        <v>2469</v>
      </c>
      <c r="G36" s="2846"/>
    </row>
    <row r="37" spans="1:7" ht="19.5" customHeight="1">
      <c r="A37" s="3468"/>
      <c r="B37" s="3462" t="s">
        <v>2630</v>
      </c>
      <c r="C37" s="2847" t="s">
        <v>2470</v>
      </c>
      <c r="D37" s="2848"/>
      <c r="E37" s="2849">
        <v>0.6</v>
      </c>
      <c r="F37" s="2846" t="s">
        <v>2471</v>
      </c>
      <c r="G37" s="2846"/>
    </row>
    <row r="38" spans="1:7" ht="19.5" customHeight="1">
      <c r="A38" s="3468"/>
      <c r="B38" s="3464"/>
      <c r="C38" s="2847" t="s">
        <v>2472</v>
      </c>
      <c r="D38" s="2848"/>
      <c r="E38" s="2849">
        <v>0.6</v>
      </c>
      <c r="F38" s="2846" t="s">
        <v>2473</v>
      </c>
      <c r="G38" s="2846"/>
    </row>
    <row r="39" spans="1:7" ht="19.5" customHeight="1" thickBot="1">
      <c r="A39" s="3469"/>
      <c r="B39" s="3466"/>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470" t="s">
        <v>2608</v>
      </c>
      <c r="B41" s="3465" t="s">
        <v>2632</v>
      </c>
      <c r="C41" s="2843" t="s">
        <v>2477</v>
      </c>
      <c r="D41" s="2844"/>
      <c r="E41" s="2845">
        <v>1</v>
      </c>
      <c r="F41" s="2846" t="s">
        <v>2478</v>
      </c>
      <c r="G41" s="2846"/>
    </row>
    <row r="42" spans="1:7" ht="19.5" customHeight="1">
      <c r="A42" s="3471"/>
      <c r="B42" s="3464"/>
      <c r="C42" s="2847" t="s">
        <v>2479</v>
      </c>
      <c r="D42" s="2848"/>
      <c r="E42" s="2849">
        <v>1</v>
      </c>
      <c r="F42" s="2846" t="s">
        <v>2480</v>
      </c>
      <c r="G42" s="2846"/>
    </row>
    <row r="43" spans="1:7" ht="19.5" customHeight="1">
      <c r="A43" s="3471"/>
      <c r="B43" s="3463"/>
      <c r="C43" s="2847" t="s">
        <v>2481</v>
      </c>
      <c r="D43" s="2848"/>
      <c r="E43" s="2849">
        <v>1.5</v>
      </c>
      <c r="F43" s="2846" t="s">
        <v>2482</v>
      </c>
      <c r="G43" s="2846"/>
    </row>
    <row r="44" spans="1:7" ht="19.5" customHeight="1">
      <c r="A44" s="3471"/>
      <c r="B44" s="2858" t="s">
        <v>2633</v>
      </c>
      <c r="C44" s="2847" t="s">
        <v>2634</v>
      </c>
      <c r="D44" s="2848"/>
      <c r="E44" s="2849">
        <v>2</v>
      </c>
      <c r="F44" s="2846" t="s">
        <v>2483</v>
      </c>
      <c r="G44" s="2846"/>
    </row>
    <row r="45" spans="1:7" ht="19.5" customHeight="1">
      <c r="A45" s="3471"/>
      <c r="B45" s="3462" t="s">
        <v>2635</v>
      </c>
      <c r="C45" s="2847" t="s">
        <v>2484</v>
      </c>
      <c r="D45" s="2848"/>
      <c r="E45" s="2849">
        <v>1</v>
      </c>
      <c r="F45" s="2846" t="s">
        <v>2485</v>
      </c>
      <c r="G45" s="2846"/>
    </row>
    <row r="46" spans="1:7" ht="19.5" customHeight="1">
      <c r="A46" s="3471"/>
      <c r="B46" s="3464"/>
      <c r="C46" s="2847" t="s">
        <v>2486</v>
      </c>
      <c r="D46" s="2848"/>
      <c r="E46" s="2849">
        <v>1</v>
      </c>
      <c r="F46" s="2846" t="s">
        <v>2487</v>
      </c>
      <c r="G46" s="2846"/>
    </row>
    <row r="47" spans="1:7" ht="19.5" customHeight="1">
      <c r="A47" s="3471"/>
      <c r="B47" s="3464"/>
      <c r="C47" s="2847" t="s">
        <v>2488</v>
      </c>
      <c r="D47" s="2848"/>
      <c r="E47" s="2849">
        <v>1</v>
      </c>
      <c r="F47" s="2846" t="s">
        <v>2489</v>
      </c>
      <c r="G47" s="2846"/>
    </row>
    <row r="48" spans="1:7" ht="19.5" customHeight="1">
      <c r="A48" s="3471"/>
      <c r="B48" s="3464"/>
      <c r="C48" s="2847" t="s">
        <v>2490</v>
      </c>
      <c r="D48" s="2848"/>
      <c r="E48" s="2849">
        <v>1</v>
      </c>
      <c r="F48" s="2846" t="s">
        <v>2491</v>
      </c>
      <c r="G48" s="2846"/>
    </row>
    <row r="49" spans="1:7" ht="19.5" customHeight="1">
      <c r="A49" s="3471"/>
      <c r="B49" s="3464"/>
      <c r="C49" s="2847" t="s">
        <v>2492</v>
      </c>
      <c r="D49" s="2848"/>
      <c r="E49" s="2849">
        <v>1</v>
      </c>
      <c r="F49" s="2846" t="s">
        <v>2493</v>
      </c>
      <c r="G49" s="2846"/>
    </row>
    <row r="50" spans="1:7" ht="19.5" customHeight="1">
      <c r="A50" s="3471"/>
      <c r="B50" s="3464"/>
      <c r="C50" s="2847" t="s">
        <v>2494</v>
      </c>
      <c r="D50" s="2848"/>
      <c r="E50" s="2849">
        <v>1</v>
      </c>
      <c r="F50" s="2846" t="s">
        <v>2495</v>
      </c>
      <c r="G50" s="2846"/>
    </row>
    <row r="51" spans="1:7" ht="19.5" customHeight="1" thickBot="1">
      <c r="A51" s="3472"/>
      <c r="B51" s="3466"/>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4.4">
      <c r="A72" s="2858"/>
      <c r="B72" s="2858"/>
      <c r="C72" s="2858" t="s">
        <v>2648</v>
      </c>
      <c r="D72" s="2858"/>
      <c r="E72" s="2858" t="s">
        <v>2619</v>
      </c>
      <c r="F72" s="2858" t="s">
        <v>2619</v>
      </c>
    </row>
    <row r="73" spans="1:7" ht="14.4">
      <c r="A73" s="2858">
        <v>1</v>
      </c>
      <c r="B73" s="3462" t="s">
        <v>2649</v>
      </c>
      <c r="C73" s="2832" t="s">
        <v>2650</v>
      </c>
      <c r="D73" s="2832" t="s">
        <v>2651</v>
      </c>
      <c r="E73" s="2858">
        <v>0.2</v>
      </c>
      <c r="F73" s="2858">
        <v>25</v>
      </c>
    </row>
    <row r="74" spans="1:7" ht="24">
      <c r="A74" s="2858">
        <v>2</v>
      </c>
      <c r="B74" s="3464"/>
      <c r="C74" s="2832" t="s">
        <v>2652</v>
      </c>
      <c r="D74" s="2832" t="s">
        <v>2653</v>
      </c>
      <c r="E74" s="2858">
        <v>0.2</v>
      </c>
      <c r="F74" s="2858">
        <v>25</v>
      </c>
    </row>
    <row r="75" spans="1:7" ht="24">
      <c r="A75" s="2858">
        <v>3</v>
      </c>
      <c r="B75" s="3464"/>
      <c r="C75" s="2832" t="s">
        <v>2654</v>
      </c>
      <c r="D75" s="2832" t="s">
        <v>2655</v>
      </c>
      <c r="E75" s="2858">
        <v>0.2</v>
      </c>
      <c r="F75" s="2858">
        <v>25</v>
      </c>
    </row>
    <row r="76" spans="1:7" ht="14.4">
      <c r="A76" s="2858">
        <v>4</v>
      </c>
      <c r="B76" s="3464"/>
      <c r="C76" s="2832" t="s">
        <v>2656</v>
      </c>
      <c r="D76" s="2832" t="s">
        <v>2657</v>
      </c>
      <c r="E76" s="2858">
        <v>0.15</v>
      </c>
      <c r="F76" s="2858">
        <v>20</v>
      </c>
    </row>
    <row r="77" spans="1:7" ht="24">
      <c r="A77" s="2858">
        <v>5</v>
      </c>
      <c r="B77" s="3464"/>
      <c r="C77" s="2832" t="s">
        <v>2658</v>
      </c>
      <c r="D77" s="2832" t="s">
        <v>2659</v>
      </c>
      <c r="E77" s="2858">
        <v>0.15</v>
      </c>
      <c r="F77" s="2858">
        <v>20</v>
      </c>
    </row>
    <row r="78" spans="1:7" ht="24">
      <c r="A78" s="2858">
        <v>6</v>
      </c>
      <c r="B78" s="3464"/>
      <c r="C78" s="2832" t="s">
        <v>2660</v>
      </c>
      <c r="D78" s="2832" t="s">
        <v>2661</v>
      </c>
      <c r="E78" s="2858">
        <v>0.15</v>
      </c>
      <c r="F78" s="2858">
        <v>20</v>
      </c>
    </row>
    <row r="79" spans="1:7" ht="24">
      <c r="A79" s="2858">
        <v>7</v>
      </c>
      <c r="B79" s="3464"/>
      <c r="C79" s="2832" t="s">
        <v>2662</v>
      </c>
      <c r="D79" s="2832" t="s">
        <v>2663</v>
      </c>
      <c r="E79" s="2858">
        <v>0.15</v>
      </c>
      <c r="F79" s="2858">
        <v>20</v>
      </c>
    </row>
    <row r="80" spans="1:7" ht="24">
      <c r="A80" s="2858">
        <v>8</v>
      </c>
      <c r="B80" s="3464"/>
      <c r="C80" s="2832" t="s">
        <v>2664</v>
      </c>
      <c r="D80" s="2832" t="s">
        <v>2665</v>
      </c>
      <c r="E80" s="2858">
        <v>0.1</v>
      </c>
      <c r="F80" s="2858">
        <v>15</v>
      </c>
    </row>
    <row r="81" spans="1:6" ht="24">
      <c r="A81" s="2858">
        <v>9</v>
      </c>
      <c r="B81" s="3464"/>
      <c r="C81" s="2832" t="s">
        <v>2666</v>
      </c>
      <c r="D81" s="2832" t="s">
        <v>2667</v>
      </c>
      <c r="E81" s="2858">
        <v>0.1</v>
      </c>
      <c r="F81" s="2858">
        <v>15</v>
      </c>
    </row>
    <row r="82" spans="1:6" ht="24">
      <c r="A82" s="2858">
        <v>10</v>
      </c>
      <c r="B82" s="3464"/>
      <c r="C82" s="2832" t="s">
        <v>2668</v>
      </c>
      <c r="D82" s="2832" t="s">
        <v>2669</v>
      </c>
      <c r="E82" s="2858">
        <v>0.1</v>
      </c>
      <c r="F82" s="2858">
        <v>15</v>
      </c>
    </row>
    <row r="83" spans="1:6" ht="24">
      <c r="A83" s="2858">
        <v>11</v>
      </c>
      <c r="B83" s="3464"/>
      <c r="C83" s="2832" t="s">
        <v>2670</v>
      </c>
      <c r="D83" s="2832" t="s">
        <v>2671</v>
      </c>
      <c r="E83" s="2858">
        <v>0.1</v>
      </c>
      <c r="F83" s="2858">
        <v>15</v>
      </c>
    </row>
    <row r="84" spans="1:6" ht="24">
      <c r="A84" s="2858">
        <v>12</v>
      </c>
      <c r="B84" s="3464"/>
      <c r="C84" s="2832" t="s">
        <v>2672</v>
      </c>
      <c r="D84" s="2832" t="s">
        <v>2673</v>
      </c>
      <c r="E84" s="2858">
        <v>0.1</v>
      </c>
      <c r="F84" s="2858">
        <v>15</v>
      </c>
    </row>
    <row r="85" spans="1:6" ht="24">
      <c r="A85" s="2858">
        <v>13</v>
      </c>
      <c r="B85" s="3464"/>
      <c r="C85" s="2832" t="s">
        <v>2674</v>
      </c>
      <c r="D85" s="2832" t="s">
        <v>2675</v>
      </c>
      <c r="E85" s="2858">
        <v>0.1</v>
      </c>
      <c r="F85" s="2858">
        <v>15</v>
      </c>
    </row>
    <row r="86" spans="1:6" ht="24">
      <c r="A86" s="2858">
        <v>14</v>
      </c>
      <c r="B86" s="3464"/>
      <c r="C86" s="2832" t="s">
        <v>2676</v>
      </c>
      <c r="D86" s="2832" t="s">
        <v>2677</v>
      </c>
      <c r="E86" s="2858">
        <v>0.1</v>
      </c>
      <c r="F86" s="2858">
        <v>15</v>
      </c>
    </row>
    <row r="87" spans="1:6" ht="24">
      <c r="A87" s="2858">
        <v>15</v>
      </c>
      <c r="B87" s="3464"/>
      <c r="C87" s="2832" t="s">
        <v>2678</v>
      </c>
      <c r="D87" s="2832" t="s">
        <v>2679</v>
      </c>
      <c r="E87" s="2858">
        <v>0.1</v>
      </c>
      <c r="F87" s="2858">
        <v>15</v>
      </c>
    </row>
    <row r="88" spans="1:6" ht="24">
      <c r="A88" s="2858">
        <v>16</v>
      </c>
      <c r="B88" s="3464"/>
      <c r="C88" s="2832" t="s">
        <v>2680</v>
      </c>
      <c r="D88" s="2832" t="s">
        <v>2681</v>
      </c>
      <c r="E88" s="2858">
        <v>0.1</v>
      </c>
      <c r="F88" s="2858">
        <v>15</v>
      </c>
    </row>
    <row r="89" spans="1:6" ht="24">
      <c r="A89" s="2858">
        <v>17</v>
      </c>
      <c r="B89" s="3463"/>
      <c r="C89" s="2832" t="s">
        <v>2682</v>
      </c>
      <c r="D89" s="2832" t="s">
        <v>2683</v>
      </c>
      <c r="E89" s="2858">
        <v>0.1</v>
      </c>
      <c r="F89" s="2858">
        <v>15</v>
      </c>
    </row>
    <row r="90" spans="1:6" ht="14.4">
      <c r="A90" s="2858">
        <v>18</v>
      </c>
      <c r="B90" s="3462" t="s">
        <v>2684</v>
      </c>
      <c r="C90" s="2832" t="s">
        <v>2685</v>
      </c>
      <c r="D90" s="2832" t="s">
        <v>2686</v>
      </c>
      <c r="E90" s="2858">
        <v>0.2</v>
      </c>
      <c r="F90" s="2858">
        <v>25</v>
      </c>
    </row>
    <row r="91" spans="1:6" ht="24">
      <c r="A91" s="2858">
        <v>19</v>
      </c>
      <c r="B91" s="3464"/>
      <c r="C91" s="2832" t="s">
        <v>2687</v>
      </c>
      <c r="D91" s="2832" t="s">
        <v>2688</v>
      </c>
      <c r="E91" s="2858">
        <v>0.2</v>
      </c>
      <c r="F91" s="2858">
        <v>25</v>
      </c>
    </row>
    <row r="92" spans="1:6" ht="14.4">
      <c r="A92" s="2858">
        <v>20</v>
      </c>
      <c r="B92" s="3464"/>
      <c r="C92" s="2832" t="s">
        <v>2689</v>
      </c>
      <c r="D92" s="2832" t="s">
        <v>2690</v>
      </c>
      <c r="E92" s="2858">
        <v>0.15</v>
      </c>
      <c r="F92" s="2858">
        <v>20</v>
      </c>
    </row>
    <row r="93" spans="1:6" ht="24">
      <c r="A93" s="2858">
        <v>21</v>
      </c>
      <c r="B93" s="3464"/>
      <c r="C93" s="2832" t="s">
        <v>2691</v>
      </c>
      <c r="D93" s="2832" t="s">
        <v>2692</v>
      </c>
      <c r="E93" s="2858">
        <v>0.15</v>
      </c>
      <c r="F93" s="2858">
        <v>20</v>
      </c>
    </row>
    <row r="94" spans="1:6" ht="24">
      <c r="A94" s="2858">
        <v>22</v>
      </c>
      <c r="B94" s="3464"/>
      <c r="C94" s="2832" t="s">
        <v>2693</v>
      </c>
      <c r="D94" s="2832" t="s">
        <v>2694</v>
      </c>
      <c r="E94" s="2858">
        <v>0.15</v>
      </c>
      <c r="F94" s="2858">
        <v>20</v>
      </c>
    </row>
    <row r="95" spans="1:6" ht="36">
      <c r="A95" s="2858">
        <v>23</v>
      </c>
      <c r="B95" s="3464"/>
      <c r="C95" s="2832" t="s">
        <v>2695</v>
      </c>
      <c r="D95" s="2832" t="s">
        <v>2696</v>
      </c>
      <c r="E95" s="2858">
        <v>0.15</v>
      </c>
      <c r="F95" s="2858">
        <v>20</v>
      </c>
    </row>
    <row r="96" spans="1:6" ht="24">
      <c r="A96" s="2858">
        <v>24</v>
      </c>
      <c r="B96" s="3464"/>
      <c r="C96" s="2832" t="s">
        <v>2697</v>
      </c>
      <c r="D96" s="2832" t="s">
        <v>2698</v>
      </c>
      <c r="E96" s="2858">
        <v>0.1</v>
      </c>
      <c r="F96" s="2858">
        <v>15</v>
      </c>
    </row>
    <row r="97" spans="1:6" ht="24">
      <c r="A97" s="2858">
        <v>25</v>
      </c>
      <c r="B97" s="3464"/>
      <c r="C97" s="2832" t="s">
        <v>2699</v>
      </c>
      <c r="D97" s="2832" t="s">
        <v>2700</v>
      </c>
      <c r="E97" s="2858">
        <v>0.1</v>
      </c>
      <c r="F97" s="2858">
        <v>15</v>
      </c>
    </row>
    <row r="98" spans="1:6" ht="24">
      <c r="A98" s="2858">
        <v>26</v>
      </c>
      <c r="B98" s="3464"/>
      <c r="C98" s="2832" t="s">
        <v>2701</v>
      </c>
      <c r="D98" s="2832" t="s">
        <v>2702</v>
      </c>
      <c r="E98" s="2858">
        <v>0.1</v>
      </c>
      <c r="F98" s="2858">
        <v>15</v>
      </c>
    </row>
    <row r="99" spans="1:6" ht="24">
      <c r="A99" s="2858">
        <v>27</v>
      </c>
      <c r="B99" s="3464"/>
      <c r="C99" s="2832" t="s">
        <v>2703</v>
      </c>
      <c r="D99" s="2832" t="s">
        <v>2704</v>
      </c>
      <c r="E99" s="2858">
        <v>0.1</v>
      </c>
      <c r="F99" s="2858">
        <v>15</v>
      </c>
    </row>
    <row r="100" spans="1:6" ht="24">
      <c r="A100" s="2858">
        <v>28</v>
      </c>
      <c r="B100" s="3464"/>
      <c r="C100" s="2832" t="s">
        <v>2705</v>
      </c>
      <c r="D100" s="2832" t="s">
        <v>2706</v>
      </c>
      <c r="E100" s="2858">
        <v>0.1</v>
      </c>
      <c r="F100" s="2858">
        <v>15</v>
      </c>
    </row>
    <row r="101" spans="1:6" ht="24">
      <c r="A101" s="2858">
        <v>29</v>
      </c>
      <c r="B101" s="3464"/>
      <c r="C101" s="2832" t="s">
        <v>2707</v>
      </c>
      <c r="D101" s="2832" t="s">
        <v>2708</v>
      </c>
      <c r="E101" s="2858">
        <v>0.1</v>
      </c>
      <c r="F101" s="2858">
        <v>15</v>
      </c>
    </row>
    <row r="102" spans="1:6" ht="24">
      <c r="A102" s="2858">
        <v>30</v>
      </c>
      <c r="B102" s="3464"/>
      <c r="C102" s="2832" t="s">
        <v>2709</v>
      </c>
      <c r="D102" s="2832" t="s">
        <v>2710</v>
      </c>
      <c r="E102" s="2858">
        <v>0.1</v>
      </c>
      <c r="F102" s="2858">
        <v>15</v>
      </c>
    </row>
    <row r="103" spans="1:6" ht="24">
      <c r="A103" s="2858">
        <v>31</v>
      </c>
      <c r="B103" s="3464"/>
      <c r="C103" s="2832" t="s">
        <v>2711</v>
      </c>
      <c r="D103" s="2832" t="s">
        <v>2712</v>
      </c>
      <c r="E103" s="2858">
        <v>0.1</v>
      </c>
      <c r="F103" s="2858">
        <v>15</v>
      </c>
    </row>
    <row r="104" spans="1:6" ht="24">
      <c r="A104" s="2858">
        <v>32</v>
      </c>
      <c r="B104" s="3464"/>
      <c r="C104" s="2832" t="s">
        <v>2713</v>
      </c>
      <c r="D104" s="2832" t="s">
        <v>2714</v>
      </c>
      <c r="E104" s="2858">
        <v>0.1</v>
      </c>
      <c r="F104" s="2858">
        <v>15</v>
      </c>
    </row>
    <row r="105" spans="1:6" ht="24">
      <c r="A105" s="2858">
        <v>33</v>
      </c>
      <c r="B105" s="3464"/>
      <c r="C105" s="2832" t="s">
        <v>2715</v>
      </c>
      <c r="D105" s="2832" t="s">
        <v>2716</v>
      </c>
      <c r="E105" s="2858">
        <v>0.1</v>
      </c>
      <c r="F105" s="2858">
        <v>15</v>
      </c>
    </row>
    <row r="106" spans="1:6" ht="24">
      <c r="A106" s="2858">
        <v>34</v>
      </c>
      <c r="B106" s="3463"/>
      <c r="C106" s="2832" t="s">
        <v>2717</v>
      </c>
      <c r="D106" s="2832" t="s">
        <v>2718</v>
      </c>
      <c r="E106" s="2858">
        <v>0.1</v>
      </c>
      <c r="F106" s="2858">
        <v>15</v>
      </c>
    </row>
    <row r="107" spans="1:6" ht="36">
      <c r="A107" s="2858">
        <v>35</v>
      </c>
      <c r="B107" s="3462" t="s">
        <v>2719</v>
      </c>
      <c r="C107" s="2858" t="s">
        <v>2720</v>
      </c>
      <c r="D107" s="2832" t="s">
        <v>2721</v>
      </c>
      <c r="E107" s="2858">
        <v>0.15</v>
      </c>
      <c r="F107" s="2858">
        <v>20</v>
      </c>
    </row>
    <row r="108" spans="1:6" ht="24">
      <c r="A108" s="2858">
        <v>36</v>
      </c>
      <c r="B108" s="3464"/>
      <c r="C108" s="2858" t="s">
        <v>2722</v>
      </c>
      <c r="D108" s="2832" t="s">
        <v>2723</v>
      </c>
      <c r="E108" s="2858">
        <v>0.15</v>
      </c>
      <c r="F108" s="2858">
        <v>20</v>
      </c>
    </row>
    <row r="109" spans="1:6" ht="24">
      <c r="A109" s="2858">
        <v>37</v>
      </c>
      <c r="B109" s="3464"/>
      <c r="C109" s="2858" t="s">
        <v>2724</v>
      </c>
      <c r="D109" s="2832" t="s">
        <v>2725</v>
      </c>
      <c r="E109" s="2858">
        <v>0.15</v>
      </c>
      <c r="F109" s="2858">
        <v>20</v>
      </c>
    </row>
    <row r="110" spans="1:6" ht="24">
      <c r="A110" s="2858">
        <v>38</v>
      </c>
      <c r="B110" s="3464"/>
      <c r="C110" s="2858" t="s">
        <v>2726</v>
      </c>
      <c r="D110" s="2832" t="s">
        <v>2727</v>
      </c>
      <c r="E110" s="2858">
        <v>0.1</v>
      </c>
      <c r="F110" s="2858">
        <v>15</v>
      </c>
    </row>
    <row r="111" spans="1:6" ht="24">
      <c r="A111" s="2858">
        <v>39</v>
      </c>
      <c r="B111" s="3464"/>
      <c r="C111" s="2858" t="s">
        <v>2728</v>
      </c>
      <c r="D111" s="2832" t="s">
        <v>2729</v>
      </c>
      <c r="E111" s="2858">
        <v>0.1</v>
      </c>
      <c r="F111" s="2858">
        <v>15</v>
      </c>
    </row>
    <row r="112" spans="1:6" ht="24">
      <c r="A112" s="2858">
        <v>40</v>
      </c>
      <c r="B112" s="3463"/>
      <c r="C112" s="2858" t="s">
        <v>2730</v>
      </c>
      <c r="D112" s="2832" t="s">
        <v>2731</v>
      </c>
      <c r="E112" s="2858">
        <v>0.1</v>
      </c>
      <c r="F112" s="2858">
        <v>15</v>
      </c>
    </row>
    <row r="113" spans="1:6" ht="24">
      <c r="A113" s="2858">
        <v>41</v>
      </c>
      <c r="B113" s="3461" t="s">
        <v>2732</v>
      </c>
      <c r="C113" s="2858" t="s">
        <v>2733</v>
      </c>
      <c r="D113" s="2832" t="s">
        <v>2734</v>
      </c>
      <c r="E113" s="2858">
        <v>0.1</v>
      </c>
      <c r="F113" s="2858">
        <v>15</v>
      </c>
    </row>
    <row r="114" spans="1:6" ht="24">
      <c r="A114" s="2858">
        <v>42</v>
      </c>
      <c r="B114" s="3461"/>
      <c r="C114" s="2858" t="s">
        <v>2735</v>
      </c>
      <c r="D114" s="2832" t="s">
        <v>2736</v>
      </c>
      <c r="E114" s="2858">
        <v>0.1</v>
      </c>
      <c r="F114" s="2858">
        <v>15</v>
      </c>
    </row>
    <row r="115" spans="1:6" ht="24">
      <c r="A115" s="2858">
        <v>43</v>
      </c>
      <c r="B115" s="3461"/>
      <c r="C115" s="2858" t="s">
        <v>2737</v>
      </c>
      <c r="D115" s="2832" t="s">
        <v>2738</v>
      </c>
      <c r="E115" s="2858">
        <v>0.1</v>
      </c>
      <c r="F115" s="2858">
        <v>15</v>
      </c>
    </row>
    <row r="116" spans="1:6" ht="24">
      <c r="A116" s="2858">
        <v>44</v>
      </c>
      <c r="B116" s="3462" t="s">
        <v>2739</v>
      </c>
      <c r="C116" s="2858" t="s">
        <v>2740</v>
      </c>
      <c r="D116" s="2832" t="s">
        <v>2741</v>
      </c>
      <c r="E116" s="2858">
        <v>0.1</v>
      </c>
      <c r="F116" s="2858">
        <v>15</v>
      </c>
    </row>
    <row r="117" spans="1:6" ht="24">
      <c r="A117" s="2858">
        <v>45</v>
      </c>
      <c r="B117" s="3463"/>
      <c r="C117" s="2832" t="s">
        <v>2742</v>
      </c>
      <c r="D117" s="2832" t="s">
        <v>2743</v>
      </c>
      <c r="E117" s="2858">
        <v>0.1</v>
      </c>
      <c r="F117" s="2858">
        <v>15</v>
      </c>
    </row>
    <row r="118" spans="1:6" ht="24">
      <c r="A118" s="2858">
        <v>46</v>
      </c>
      <c r="B118" s="3462" t="s">
        <v>2744</v>
      </c>
      <c r="C118" s="2858" t="s">
        <v>2745</v>
      </c>
      <c r="D118" s="2832" t="s">
        <v>2746</v>
      </c>
      <c r="E118" s="2858">
        <v>0.1</v>
      </c>
      <c r="F118" s="2858">
        <v>15</v>
      </c>
    </row>
    <row r="119" spans="1:6" ht="24">
      <c r="A119" s="2858">
        <v>47</v>
      </c>
      <c r="B119" s="3463"/>
      <c r="C119" s="2858" t="s">
        <v>2747</v>
      </c>
      <c r="D119" s="2832" t="s">
        <v>2748</v>
      </c>
      <c r="E119" s="2858">
        <v>0.1</v>
      </c>
      <c r="F119" s="2858">
        <v>15</v>
      </c>
    </row>
    <row r="120" spans="1:6" ht="24">
      <c r="A120" s="2858">
        <v>48</v>
      </c>
      <c r="B120" s="3462" t="s">
        <v>2749</v>
      </c>
      <c r="C120" s="2858" t="s">
        <v>2750</v>
      </c>
      <c r="D120" s="2832" t="s">
        <v>2751</v>
      </c>
      <c r="E120" s="2858">
        <v>0.1</v>
      </c>
      <c r="F120" s="2858">
        <v>15</v>
      </c>
    </row>
    <row r="121" spans="1:6" ht="24">
      <c r="A121" s="2858">
        <v>49</v>
      </c>
      <c r="B121" s="3463"/>
      <c r="C121" s="2858" t="s">
        <v>2752</v>
      </c>
      <c r="D121" s="2832" t="s">
        <v>2753</v>
      </c>
      <c r="E121" s="2858">
        <v>0.1</v>
      </c>
      <c r="F121" s="2858">
        <v>15</v>
      </c>
    </row>
    <row r="122" spans="1:6" ht="24">
      <c r="A122" s="2858">
        <v>50</v>
      </c>
      <c r="B122" s="3461" t="s">
        <v>2754</v>
      </c>
      <c r="C122" s="2858" t="s">
        <v>2755</v>
      </c>
      <c r="D122" s="2832" t="s">
        <v>2756</v>
      </c>
      <c r="E122" s="2858">
        <v>0.1</v>
      </c>
      <c r="F122" s="2858">
        <v>15</v>
      </c>
    </row>
    <row r="123" spans="1:6" ht="24">
      <c r="A123" s="2858">
        <v>51</v>
      </c>
      <c r="B123" s="3461"/>
      <c r="C123" s="2858" t="s">
        <v>2757</v>
      </c>
      <c r="D123" s="2832" t="s">
        <v>2758</v>
      </c>
      <c r="E123" s="2858">
        <v>0.1</v>
      </c>
      <c r="F123" s="2858">
        <v>15</v>
      </c>
    </row>
    <row r="124" spans="1:6" ht="24">
      <c r="A124" s="2858">
        <v>52</v>
      </c>
      <c r="B124" s="3461" t="s">
        <v>2759</v>
      </c>
      <c r="C124" s="2858" t="s">
        <v>2760</v>
      </c>
      <c r="D124" s="2832" t="s">
        <v>2761</v>
      </c>
      <c r="E124" s="2858">
        <v>0.1</v>
      </c>
      <c r="F124" s="2858">
        <v>15</v>
      </c>
    </row>
    <row r="125" spans="1:6" ht="24">
      <c r="A125" s="2858">
        <v>53</v>
      </c>
      <c r="B125" s="3461"/>
      <c r="C125" s="2858" t="s">
        <v>2762</v>
      </c>
      <c r="D125" s="2832" t="s">
        <v>2763</v>
      </c>
      <c r="E125" s="2858">
        <v>0.1</v>
      </c>
      <c r="F125" s="2858">
        <v>15</v>
      </c>
    </row>
    <row r="126" spans="1:6" ht="24">
      <c r="A126" s="2858">
        <v>54</v>
      </c>
      <c r="B126" s="2858" t="s">
        <v>2764</v>
      </c>
      <c r="C126" s="2858" t="s">
        <v>2765</v>
      </c>
      <c r="D126" s="2832" t="s">
        <v>2766</v>
      </c>
      <c r="E126" s="2858">
        <v>0.1</v>
      </c>
      <c r="F126" s="2858">
        <v>15</v>
      </c>
    </row>
    <row r="127" spans="1:6" ht="24">
      <c r="A127" s="2858">
        <v>55</v>
      </c>
      <c r="B127" s="3461" t="s">
        <v>2767</v>
      </c>
      <c r="C127" s="2858" t="s">
        <v>2768</v>
      </c>
      <c r="D127" s="2832" t="s">
        <v>2769</v>
      </c>
      <c r="E127" s="2858">
        <v>0.1</v>
      </c>
      <c r="F127" s="2858">
        <v>15</v>
      </c>
    </row>
    <row r="128" spans="1:6" ht="24">
      <c r="A128" s="2858">
        <v>56</v>
      </c>
      <c r="B128" s="3461"/>
      <c r="C128" s="2858" t="s">
        <v>2770</v>
      </c>
      <c r="D128" s="2832" t="s">
        <v>2771</v>
      </c>
      <c r="E128" s="2858">
        <v>0.1</v>
      </c>
      <c r="F128" s="2858">
        <v>15</v>
      </c>
    </row>
    <row r="129" spans="1:6" ht="24">
      <c r="A129" s="2858">
        <v>57</v>
      </c>
      <c r="B129" s="3461"/>
      <c r="C129" s="2858" t="s">
        <v>2772</v>
      </c>
      <c r="D129" s="2832" t="s">
        <v>2773</v>
      </c>
      <c r="E129" s="2858">
        <v>0.1</v>
      </c>
      <c r="F129" s="2858">
        <v>15</v>
      </c>
    </row>
    <row r="130" spans="1:6" ht="24">
      <c r="A130" s="2858">
        <v>58</v>
      </c>
      <c r="B130" s="3461" t="s">
        <v>2774</v>
      </c>
      <c r="C130" s="2858" t="s">
        <v>2775</v>
      </c>
      <c r="D130" s="2832" t="s">
        <v>2776</v>
      </c>
      <c r="E130" s="2858">
        <v>0.1</v>
      </c>
      <c r="F130" s="2858">
        <v>15</v>
      </c>
    </row>
    <row r="131" spans="1:6" ht="24">
      <c r="A131" s="2858">
        <v>59</v>
      </c>
      <c r="B131" s="3461"/>
      <c r="C131" s="2858" t="s">
        <v>2777</v>
      </c>
      <c r="D131" s="2832" t="s">
        <v>2778</v>
      </c>
      <c r="E131" s="2858">
        <v>0.1</v>
      </c>
      <c r="F131" s="2858">
        <v>15</v>
      </c>
    </row>
    <row r="132" spans="1:6" ht="24">
      <c r="A132" s="2858">
        <v>60</v>
      </c>
      <c r="B132" s="3462" t="s">
        <v>2779</v>
      </c>
      <c r="C132" s="2858" t="s">
        <v>2780</v>
      </c>
      <c r="D132" s="2832" t="s">
        <v>2781</v>
      </c>
      <c r="E132" s="2858">
        <v>0.1</v>
      </c>
      <c r="F132" s="2858">
        <v>15</v>
      </c>
    </row>
    <row r="133" spans="1:6" ht="24">
      <c r="A133" s="2858">
        <v>61</v>
      </c>
      <c r="B133" s="3463"/>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24">
      <c r="A135" s="2858">
        <v>63</v>
      </c>
      <c r="B135" s="3461" t="s">
        <v>2787</v>
      </c>
      <c r="C135" s="2858" t="s">
        <v>2788</v>
      </c>
      <c r="D135" s="2832" t="s">
        <v>2789</v>
      </c>
      <c r="E135" s="2858">
        <v>0.1</v>
      </c>
      <c r="F135" s="2858">
        <v>15</v>
      </c>
    </row>
    <row r="136" spans="1:6" ht="24">
      <c r="A136" s="2858">
        <v>64</v>
      </c>
      <c r="B136" s="3461"/>
      <c r="C136" s="2858" t="s">
        <v>2790</v>
      </c>
      <c r="D136" s="2832" t="s">
        <v>2791</v>
      </c>
      <c r="E136" s="2858">
        <v>0.1</v>
      </c>
      <c r="F136" s="2858">
        <v>15</v>
      </c>
    </row>
    <row r="137" spans="1:6" ht="24">
      <c r="A137" s="2858">
        <v>65</v>
      </c>
      <c r="B137" s="2858" t="s">
        <v>2792</v>
      </c>
      <c r="C137" s="2858" t="s">
        <v>2793</v>
      </c>
      <c r="D137" s="2832" t="s">
        <v>2794</v>
      </c>
      <c r="E137" s="2858">
        <v>0.1</v>
      </c>
      <c r="F137" s="2858">
        <v>15</v>
      </c>
    </row>
    <row r="138" spans="1:6" ht="14.4">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f ca="1">结果表!H101</f>
        <v>3474</v>
      </c>
    </row>
    <row r="6" spans="1:5" ht="15.6">
      <c r="B6" s="3173"/>
      <c r="C6" s="1392" t="s">
        <v>911</v>
      </c>
      <c r="D6" s="797" t="str">
        <f ca="1">NUMBERSTRING(INT(D5*10000),2)&amp;"元整"</f>
        <v>叁仟肆佰柒拾肆万元整</v>
      </c>
    </row>
    <row r="7" spans="1:5" ht="15.6">
      <c r="B7" s="3178"/>
      <c r="C7" s="1393" t="s">
        <v>912</v>
      </c>
      <c r="D7" s="798">
        <f ca="1">结果表!H102</f>
        <v>23530</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f ca="1">结果表!H107</f>
        <v>3474</v>
      </c>
    </row>
    <row r="14" spans="1:5" ht="15.6">
      <c r="B14" s="3173"/>
      <c r="C14" s="1392" t="s">
        <v>911</v>
      </c>
      <c r="D14" s="797" t="str">
        <f ca="1">NUMBERSTRING(INT(D13*10000),2)&amp;"元整"</f>
        <v>叁仟肆佰柒拾肆万元整</v>
      </c>
    </row>
    <row r="15" spans="1:5" ht="15.6">
      <c r="B15" s="3178"/>
      <c r="C15" s="1393" t="s">
        <v>921</v>
      </c>
      <c r="D15" s="806">
        <f ca="1">结果表!H108</f>
        <v>23530</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1</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0.95120000000000005</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28394</v>
      </c>
      <c r="C2" s="2" t="s">
        <v>106</v>
      </c>
      <c r="D2" s="191"/>
      <c r="E2" s="191"/>
      <c r="F2" s="191"/>
      <c r="G2" s="191"/>
    </row>
    <row r="3" spans="1:7" s="192" customFormat="1" ht="18" customHeight="1" thickBot="1">
      <c r="A3" s="195" t="s">
        <v>58</v>
      </c>
      <c r="B3" s="196">
        <f ca="1">ROUND(B2*10000/'数据-汇总表'!E3,0)</f>
        <v>192344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v>
      </c>
      <c r="D10" s="795">
        <f>'数据-汇总表'!E6</f>
        <v>1476.21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v>
      </c>
      <c r="D19" s="204">
        <f>'数据-汇总表'!E3</f>
        <v>1476.21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27651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664</v>
      </c>
      <c r="D34" s="209"/>
      <c r="E34" s="212"/>
      <c r="F34" s="249">
        <f>IF('数据-取费表'!B24=0,1,'数据-取费表'!N16)</f>
        <v>1</v>
      </c>
      <c r="G34" s="211" t="s">
        <v>89</v>
      </c>
    </row>
    <row r="35" spans="1:7" ht="13.5" customHeight="1">
      <c r="A35" s="734" t="s">
        <v>351</v>
      </c>
      <c r="B35" s="207" t="s">
        <v>33</v>
      </c>
      <c r="C35" s="212">
        <f>ROUND(C34*F35,0)</f>
        <v>33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v>
      </c>
      <c r="D37" s="209">
        <f>'数据-汇总表'!E3</f>
        <v>1476.21</v>
      </c>
      <c r="E37" s="241">
        <f>'数据-取费表'!B35</f>
        <v>200</v>
      </c>
      <c r="F37" s="251"/>
      <c r="G37" s="253" t="s">
        <v>92</v>
      </c>
    </row>
    <row r="38" spans="1:7" ht="13.5" customHeight="1">
      <c r="A38" s="734" t="s">
        <v>354</v>
      </c>
      <c r="B38" s="207" t="s">
        <v>36</v>
      </c>
      <c r="C38" s="212">
        <f>ROUND(C34*F38,0)</f>
        <v>13</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113</v>
      </c>
      <c r="D45" s="227">
        <f>C47</f>
        <v>3.0000000000000001E-3</v>
      </c>
      <c r="E45" s="228" t="s">
        <v>102</v>
      </c>
      <c r="F45" s="238"/>
      <c r="G45" s="239" t="s">
        <v>434</v>
      </c>
    </row>
    <row r="46" spans="1:7" s="206" customFormat="1" ht="13.5" customHeight="1">
      <c r="A46" s="734" t="s">
        <v>349</v>
      </c>
      <c r="B46" s="240" t="s">
        <v>427</v>
      </c>
      <c r="C46" s="241">
        <f>ROUND((C33+C39)*F27,0)</f>
        <v>113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965</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743</v>
      </c>
      <c r="D51" s="224"/>
      <c r="E51" s="224"/>
      <c r="F51" s="256"/>
      <c r="G51" s="226" t="s">
        <v>37</v>
      </c>
    </row>
    <row r="52" spans="1:7" s="200" customFormat="1" ht="16.8" thickBot="1">
      <c r="A52" s="257" t="s">
        <v>38</v>
      </c>
      <c r="B52" s="258"/>
      <c r="C52" s="259">
        <f ca="1">C31+C51</f>
        <v>28394</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73" t="s">
        <v>3179</v>
      </c>
      <c r="B1" s="3473"/>
    </row>
    <row r="2" spans="1:7" ht="15" thickBot="1">
      <c r="A2" s="2969"/>
      <c r="B2" s="2969"/>
    </row>
    <row r="3" spans="1:7" ht="15" thickBot="1">
      <c r="A3" s="2969"/>
      <c r="B3" s="2969"/>
      <c r="C3" s="2970" t="s">
        <v>2809</v>
      </c>
      <c r="D3" s="2970" t="s">
        <v>2865</v>
      </c>
      <c r="E3" s="2970" t="s">
        <v>2811</v>
      </c>
      <c r="F3" s="2970" t="s">
        <v>2866</v>
      </c>
      <c r="G3" s="2970" t="s">
        <v>2629</v>
      </c>
    </row>
    <row r="4" spans="1:7" ht="1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74" t="s">
        <v>3230</v>
      </c>
      <c r="B1" s="3474"/>
      <c r="C1" s="3474"/>
      <c r="D1" s="3474"/>
      <c r="E1" s="3474"/>
      <c r="F1" s="3475"/>
    </row>
    <row r="2" spans="1:6">
      <c r="A2" s="3003" t="s">
        <v>3231</v>
      </c>
    </row>
    <row r="3" spans="1:6">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2" sqref="C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204</v>
      </c>
      <c r="E1" s="3132" t="s">
        <v>3470</v>
      </c>
      <c r="F1" s="1735" t="s">
        <v>3471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1476.21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25" t="s">
        <v>1770</v>
      </c>
      <c r="D4" s="3426"/>
      <c r="E4" s="3427" t="s">
        <v>1771</v>
      </c>
      <c r="F4" s="3428"/>
      <c r="G4" s="3425" t="s">
        <v>1772</v>
      </c>
      <c r="H4" s="3426"/>
      <c r="I4" s="3425" t="s">
        <v>1773</v>
      </c>
      <c r="J4" s="3426"/>
      <c r="K4" s="537" t="s">
        <v>1774</v>
      </c>
      <c r="L4" s="2487"/>
      <c r="M4" s="2488"/>
      <c r="N4" s="2488"/>
      <c r="O4" s="2488"/>
      <c r="P4" s="3482" t="s">
        <v>1775</v>
      </c>
      <c r="Q4" s="3483"/>
      <c r="R4" s="3486" t="s">
        <v>1771</v>
      </c>
      <c r="S4" s="3487"/>
      <c r="T4" s="3486" t="s">
        <v>1772</v>
      </c>
      <c r="U4" s="3487"/>
      <c r="V4" s="3488" t="s">
        <v>1773</v>
      </c>
      <c r="W4" s="3488"/>
      <c r="X4" s="1809"/>
      <c r="Y4" s="3486" t="s">
        <v>1775</v>
      </c>
      <c r="Z4" s="3487"/>
      <c r="AA4" s="3490" t="s">
        <v>1771</v>
      </c>
      <c r="AB4" s="3490" t="s">
        <v>1772</v>
      </c>
      <c r="AC4" s="3479" t="s">
        <v>1773</v>
      </c>
    </row>
    <row r="5" spans="1:29">
      <c r="A5" s="348"/>
      <c r="B5" s="349"/>
      <c r="C5" s="3443" t="s">
        <v>1673</v>
      </c>
      <c r="D5" s="3444"/>
      <c r="E5" s="3450" t="s">
        <v>1674</v>
      </c>
      <c r="F5" s="3451"/>
      <c r="G5" s="3443" t="s">
        <v>1675</v>
      </c>
      <c r="H5" s="3444"/>
      <c r="I5" s="3443" t="s">
        <v>1676</v>
      </c>
      <c r="J5" s="3444"/>
      <c r="K5" s="537"/>
      <c r="L5" s="2487"/>
      <c r="M5" s="2488"/>
      <c r="N5" s="2488"/>
      <c r="O5" s="2488"/>
      <c r="P5" s="3484"/>
      <c r="Q5" s="3432"/>
      <c r="R5" s="3437"/>
      <c r="S5" s="3438"/>
      <c r="T5" s="3437"/>
      <c r="U5" s="3438"/>
      <c r="V5" s="3411"/>
      <c r="W5" s="3411"/>
      <c r="X5" s="1265"/>
      <c r="Y5" s="3437"/>
      <c r="Z5" s="3438"/>
      <c r="AA5" s="3423"/>
      <c r="AB5" s="3423"/>
      <c r="AC5" s="3480"/>
    </row>
    <row r="6" spans="1:29" ht="15" thickBot="1">
      <c r="A6" s="350"/>
      <c r="B6" s="351"/>
      <c r="C6" s="3441" t="s">
        <v>1677</v>
      </c>
      <c r="D6" s="3442"/>
      <c r="E6" s="3448" t="s">
        <v>1677</v>
      </c>
      <c r="F6" s="3449"/>
      <c r="G6" s="3441" t="s">
        <v>1677</v>
      </c>
      <c r="H6" s="3442"/>
      <c r="I6" s="3441" t="s">
        <v>1677</v>
      </c>
      <c r="J6" s="3442"/>
      <c r="K6" s="537" t="s">
        <v>1678</v>
      </c>
      <c r="L6" s="2487"/>
      <c r="M6" s="2488"/>
      <c r="N6" s="2488"/>
      <c r="O6" s="2488"/>
      <c r="P6" s="3485"/>
      <c r="Q6" s="3434"/>
      <c r="R6" s="3437"/>
      <c r="S6" s="3438"/>
      <c r="T6" s="3439"/>
      <c r="U6" s="3440"/>
      <c r="V6" s="3411"/>
      <c r="W6" s="3411"/>
      <c r="X6" s="1265"/>
      <c r="Y6" s="3439"/>
      <c r="Z6" s="3440"/>
      <c r="AA6" s="3424"/>
      <c r="AB6" s="3424"/>
      <c r="AC6" s="3481"/>
    </row>
    <row r="7" spans="1:29" s="102" customFormat="1" ht="15" thickBot="1">
      <c r="A7" s="352" t="s">
        <v>1679</v>
      </c>
      <c r="B7" s="353"/>
      <c r="C7" s="354">
        <f>'数据-取费表'!B2</f>
        <v>45764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9" t="s">
        <v>1680</v>
      </c>
      <c r="Q7" s="3447"/>
      <c r="R7" s="664" t="s">
        <v>14</v>
      </c>
      <c r="S7" s="665">
        <f t="shared" ref="S7:S15" si="0">F7</f>
        <v>0</v>
      </c>
      <c r="T7" s="664" t="s">
        <v>14</v>
      </c>
      <c r="U7" s="665">
        <f t="shared" ref="U7:U15" si="1">H7</f>
        <v>0</v>
      </c>
      <c r="V7" s="664" t="s">
        <v>14</v>
      </c>
      <c r="W7" s="665">
        <f t="shared" ref="W7:W15" si="2">J7</f>
        <v>0</v>
      </c>
      <c r="X7" s="666"/>
      <c r="Y7" s="3445" t="s">
        <v>1680</v>
      </c>
      <c r="Z7" s="344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9" t="s">
        <v>1683</v>
      </c>
      <c r="Q8" s="3446"/>
      <c r="R8" s="664" t="s">
        <v>14</v>
      </c>
      <c r="S8" s="665">
        <f t="shared" si="0"/>
        <v>100</v>
      </c>
      <c r="T8" s="664" t="s">
        <v>14</v>
      </c>
      <c r="U8" s="665">
        <f t="shared" si="1"/>
        <v>100</v>
      </c>
      <c r="V8" s="664" t="s">
        <v>14</v>
      </c>
      <c r="W8" s="665">
        <f t="shared" si="2"/>
        <v>100</v>
      </c>
      <c r="X8" s="666"/>
      <c r="Y8" s="3445" t="s">
        <v>1683</v>
      </c>
      <c r="Z8" s="344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1"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1"/>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1"/>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0"/>
      <c r="Q16" s="1263"/>
      <c r="R16" s="667"/>
      <c r="S16" s="668"/>
      <c r="T16" s="667"/>
      <c r="U16" s="668"/>
      <c r="V16" s="667"/>
      <c r="W16" s="668"/>
      <c r="X16" s="1265"/>
      <c r="Y16" s="341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0"/>
      <c r="Q18" s="1263"/>
      <c r="R18" s="667"/>
      <c r="S18" s="668"/>
      <c r="T18" s="667"/>
      <c r="U18" s="668"/>
      <c r="V18" s="667"/>
      <c r="W18" s="668"/>
      <c r="X18" s="1265"/>
      <c r="Y18" s="341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0"/>
      <c r="Q20" s="1263"/>
      <c r="R20" s="667"/>
      <c r="S20" s="668"/>
      <c r="T20" s="667"/>
      <c r="U20" s="668"/>
      <c r="V20" s="667"/>
      <c r="W20" s="668"/>
      <c r="X20" s="1265"/>
      <c r="Y20" s="341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0"/>
      <c r="Q22" s="1263"/>
      <c r="R22" s="667"/>
      <c r="S22" s="668"/>
      <c r="T22" s="667"/>
      <c r="U22" s="668"/>
      <c r="V22" s="667"/>
      <c r="W22" s="668"/>
      <c r="X22" s="1265"/>
      <c r="Y22" s="341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0"/>
      <c r="Q24" s="1263"/>
      <c r="R24" s="667"/>
      <c r="S24" s="668"/>
      <c r="T24" s="667"/>
      <c r="U24" s="668"/>
      <c r="V24" s="667"/>
      <c r="W24" s="668"/>
      <c r="X24" s="1265"/>
      <c r="Y24" s="341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21" t="str">
        <f>A48</f>
        <v>成交单价（元/平方米）</v>
      </c>
      <c r="Q48" s="3410"/>
      <c r="R48" s="3411">
        <f>E48</f>
        <v>0</v>
      </c>
      <c r="S48" s="3411"/>
      <c r="T48" s="3411">
        <f>G48</f>
        <v>0</v>
      </c>
      <c r="U48" s="3411"/>
      <c r="V48" s="3411">
        <f>I48</f>
        <v>0</v>
      </c>
      <c r="W48" s="3411"/>
      <c r="X48" s="385"/>
      <c r="Y48" s="673"/>
      <c r="Z48" s="385"/>
      <c r="AA48" s="385"/>
      <c r="AB48" s="385"/>
      <c r="AC48" s="555"/>
    </row>
    <row r="49" spans="1:29" ht="15" thickBot="1">
      <c r="A49" s="423" t="s">
        <v>1793</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21" t="str">
        <f>A49</f>
        <v>比较价值（元/平方米）</v>
      </c>
      <c r="Q49" s="3410"/>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45764</v>
      </c>
      <c r="B1" s="2930" t="s">
        <v>3376</v>
      </c>
      <c r="C1" s="2931"/>
      <c r="D1" s="2931"/>
      <c r="E1" s="2931"/>
      <c r="F1" s="2931"/>
      <c r="G1" s="2931"/>
      <c r="H1" s="2931"/>
      <c r="I1" s="2931"/>
      <c r="J1" s="2897"/>
      <c r="K1" s="2931" t="s">
        <v>454</v>
      </c>
      <c r="L1" s="2931"/>
      <c r="M1" s="2931"/>
      <c r="N1" s="2931"/>
      <c r="O1" s="2931"/>
      <c r="P1" s="2931"/>
      <c r="Q1" s="2897"/>
      <c r="R1" s="3491" t="s">
        <v>456</v>
      </c>
      <c r="S1" s="3492"/>
      <c r="T1" s="3492"/>
      <c r="U1" s="3492"/>
      <c r="V1" s="3492"/>
      <c r="W1" s="3492"/>
      <c r="X1" s="2897"/>
      <c r="Y1" s="3491" t="s">
        <v>457</v>
      </c>
      <c r="Z1" s="3492"/>
      <c r="AA1" s="3492"/>
      <c r="AB1" s="3492"/>
      <c r="AC1" s="3492"/>
      <c r="AD1" s="3492"/>
    </row>
    <row r="2" spans="1:44" s="2010" customFormat="1" ht="1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3.2">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3379</v>
      </c>
    </row>
    <row r="27" spans="1:44">
      <c r="I27" s="1405" t="s">
        <v>2823</v>
      </c>
    </row>
    <row r="29" spans="1:44" s="2009" customFormat="1" ht="13.2">
      <c r="B29" s="2930" t="s">
        <v>3377</v>
      </c>
      <c r="C29" s="2931"/>
      <c r="D29" s="2931"/>
      <c r="E29" s="2931"/>
      <c r="F29" s="2931"/>
      <c r="G29" s="2931"/>
      <c r="H29" s="2931"/>
      <c r="I29" s="2931"/>
      <c r="J29" s="2897"/>
      <c r="K29" s="2931" t="s">
        <v>2824</v>
      </c>
      <c r="L29" s="2931"/>
      <c r="M29" s="2931"/>
      <c r="N29" s="2931"/>
      <c r="O29" s="2931"/>
      <c r="P29" s="2931"/>
      <c r="Q29" s="2897"/>
      <c r="R29" s="3491" t="s">
        <v>2825</v>
      </c>
      <c r="S29" s="3492"/>
      <c r="T29" s="3492"/>
      <c r="U29" s="3492"/>
      <c r="V29" s="3492"/>
      <c r="W29" s="3492"/>
      <c r="X29" s="2897"/>
      <c r="Y29" s="3491" t="s">
        <v>2826</v>
      </c>
      <c r="Z29" s="3492"/>
      <c r="AA29" s="3492"/>
      <c r="AB29" s="3492"/>
      <c r="AC29" s="3492"/>
      <c r="AD29" s="3492"/>
    </row>
    <row r="30" spans="1:44" s="2010" customFormat="1" ht="1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3.2">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4" t="s">
        <v>2837</v>
      </c>
      <c r="B1" s="3504"/>
      <c r="C1" s="3504"/>
      <c r="D1" s="3504"/>
      <c r="E1" s="3504"/>
      <c r="F1" s="3504"/>
      <c r="G1" s="3505"/>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1.4"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02"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1.4" thickBot="1">
      <c r="A4" s="3503"/>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1.4"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1.4"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1.4"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1.4"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1476.21</v>
      </c>
      <c r="C4" s="801">
        <f>项目基本情况!C18</f>
        <v>0</v>
      </c>
      <c r="D4" s="801">
        <f>结果表!D118</f>
        <v>0</v>
      </c>
      <c r="E4" s="801">
        <f>结果表!E118</f>
        <v>0</v>
      </c>
      <c r="F4" s="801">
        <f>结果表!F118</f>
        <v>0</v>
      </c>
      <c r="G4" s="801">
        <f>结果表!G118</f>
        <v>0</v>
      </c>
      <c r="H4" s="801">
        <f ca="1">结果表!H118</f>
        <v>3474</v>
      </c>
      <c r="I4" s="801">
        <f ca="1">结果表!I118</f>
        <v>23530</v>
      </c>
    </row>
    <row r="5" spans="1:9" ht="30" customHeight="1">
      <c r="A5" s="3185" t="s">
        <v>927</v>
      </c>
      <c r="B5" s="3185"/>
      <c r="C5" s="3185"/>
      <c r="D5" s="3185" t="str">
        <f>结果表!D119</f>
        <v>零元整</v>
      </c>
      <c r="E5" s="3185"/>
      <c r="F5" s="3185" t="str">
        <f>结果表!F119</f>
        <v>零元整</v>
      </c>
      <c r="G5" s="3185"/>
      <c r="H5" s="3185" t="str">
        <f ca="1">结果表!H119</f>
        <v>叁仟肆佰柒拾肆万元整</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f ca="1">结果表!D122</f>
        <v>3474</v>
      </c>
      <c r="E8" s="3184"/>
      <c r="F8" s="3184"/>
      <c r="G8" s="3184"/>
      <c r="H8" s="3184"/>
      <c r="I8" s="3184"/>
    </row>
    <row r="9" spans="1:9" ht="15">
      <c r="A9" s="3185" t="s">
        <v>927</v>
      </c>
      <c r="B9" s="3185"/>
      <c r="C9" s="3185"/>
      <c r="D9" s="3185" t="str">
        <f ca="1">结果表!D123</f>
        <v>叁仟肆佰柒拾肆万元整</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45765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2158</v>
      </c>
      <c r="B17" s="3208"/>
      <c r="C17" s="3208"/>
      <c r="D17" s="3208"/>
      <c r="E17" s="3208"/>
      <c r="F17" s="3208"/>
      <c r="G17" s="3208"/>
      <c r="H17" s="3208"/>
    </row>
    <row r="18" spans="1:8" ht="24" customHeight="1">
      <c r="A18" s="3209" t="s">
        <v>2159</v>
      </c>
      <c r="B18" s="3209"/>
      <c r="C18" s="3209"/>
      <c r="D18" s="2160"/>
      <c r="E18" s="3210" t="s">
        <v>2160</v>
      </c>
      <c r="F18" s="3209"/>
      <c r="G18" s="3209"/>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面积信息及租约</vt:lpstr>
      <vt:lpstr>售价案例</vt:lpstr>
      <vt:lpstr>租金案例</vt:lpstr>
      <vt:lpstr>基准地价（汇总）</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2025-04-18T05:34:26Z</dcterms:modified>
</cp:coreProperties>
</file>