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不动产收益法-公寓" sheetId="15" state="hidden" r:id="rId31"/>
    <sheet name="不动产收益法-车库" sheetId="68"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13" i="3" l="1"/>
  <c r="F19" i="6" l="1"/>
  <c r="Q73" i="68"/>
  <c r="Q60" i="68"/>
  <c r="D60" i="68"/>
  <c r="Q59" i="68"/>
  <c r="K59" i="68"/>
  <c r="P75" i="68" s="1"/>
  <c r="F58" i="68"/>
  <c r="Q52" i="68"/>
  <c r="J50" i="68"/>
  <c r="M47" i="68"/>
  <c r="F33" i="68"/>
  <c r="F60" i="68" s="1"/>
  <c r="F31" i="68"/>
  <c r="F23" i="68"/>
  <c r="D24" i="68" s="1"/>
  <c r="F21" i="68"/>
  <c r="F20" i="68"/>
  <c r="M19" i="68"/>
  <c r="F18" i="68"/>
  <c r="M17" i="68"/>
  <c r="F17" i="68"/>
  <c r="F15" i="68"/>
  <c r="C19" i="6"/>
  <c r="D22" i="68" l="1"/>
  <c r="D23" i="68"/>
  <c r="P62" i="68"/>
  <c r="J51" i="68"/>
  <c r="AH5" i="59"/>
  <c r="AG5" i="59"/>
  <c r="AE5" i="59"/>
  <c r="AF5" i="59"/>
  <c r="AD5" i="59"/>
  <c r="Q5" i="59"/>
  <c r="Q6" i="59"/>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F9" i="59"/>
  <c r="AE9" i="59"/>
  <c r="AD9" i="59"/>
  <c r="Q9" i="59"/>
  <c r="P9" i="59"/>
  <c r="O9" i="59"/>
  <c r="N9" i="59"/>
  <c r="L3" i="59"/>
  <c r="AH3" i="59" s="1"/>
  <c r="K3" i="59"/>
  <c r="AG3" i="59" s="1"/>
  <c r="J3" i="59"/>
  <c r="AE3" i="59" s="1"/>
  <c r="AF3" i="59" s="1"/>
  <c r="I3" i="59"/>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J51" i="15" s="1"/>
  <c r="D14" i="59"/>
  <c r="AH12" i="59"/>
  <c r="AG12" i="59"/>
  <c r="AE12" i="59"/>
  <c r="AF12" i="59" s="1"/>
  <c r="AD12" i="59"/>
  <c r="AE13" i="59"/>
  <c r="AF13" i="59"/>
  <c r="AG13" i="59"/>
  <c r="AH13" i="59"/>
  <c r="AD13" i="59"/>
  <c r="Q13" i="59"/>
  <c r="P13" i="59"/>
  <c r="O13" i="59"/>
  <c r="N13" i="59"/>
  <c r="B13" i="59" s="1"/>
  <c r="N14" i="59"/>
  <c r="Q14" i="59"/>
  <c r="P14" i="59"/>
  <c r="O14" i="59"/>
  <c r="K59" i="15"/>
  <c r="P62" i="15" s="1"/>
  <c r="P75" i="15"/>
  <c r="Q74" i="44"/>
  <c r="Q61" i="44"/>
  <c r="Q60" i="44"/>
  <c r="Q53" i="44"/>
  <c r="J51" i="44"/>
  <c r="J52" i="44"/>
  <c r="M48" i="44"/>
  <c r="A16" i="55"/>
  <c r="A15" i="55"/>
  <c r="B66" i="63"/>
  <c r="A10" i="55"/>
  <c r="B61" i="63" s="1"/>
  <c r="A9" i="55"/>
  <c r="B60" i="63"/>
  <c r="A8" i="55"/>
  <c r="A6" i="54"/>
  <c r="B49" i="63" s="1"/>
  <c r="A8" i="54"/>
  <c r="A7" i="54"/>
  <c r="A28" i="51"/>
  <c r="A27" i="51"/>
  <c r="B20" i="63" s="1"/>
  <c r="Q15" i="59"/>
  <c r="O15" i="59"/>
  <c r="N16" i="59"/>
  <c r="O16" i="59"/>
  <c r="P16" i="59"/>
  <c r="Q16" i="59"/>
  <c r="N15" i="59"/>
  <c r="P15" i="59"/>
  <c r="F17" i="59"/>
  <c r="K75" i="9"/>
  <c r="K6" i="4"/>
  <c r="O76" i="9"/>
  <c r="B22" i="31"/>
  <c r="E15" i="66"/>
  <c r="F15" i="66"/>
  <c r="E16" i="66"/>
  <c r="F16" i="66"/>
  <c r="E17" i="66"/>
  <c r="F17" i="66"/>
  <c r="E18" i="66"/>
  <c r="F18" i="66"/>
  <c r="E19" i="66"/>
  <c r="F19" i="66"/>
  <c r="E20" i="66"/>
  <c r="F20" i="66"/>
  <c r="E21" i="66"/>
  <c r="F21" i="66"/>
  <c r="E22" i="66"/>
  <c r="F22" i="66"/>
  <c r="E23" i="66"/>
  <c r="F23" i="66"/>
  <c r="B3" i="66"/>
  <c r="B12" i="59"/>
  <c r="F13" i="59"/>
  <c r="V13" i="59"/>
  <c r="S13" i="59"/>
  <c r="AD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H28" i="59"/>
  <c r="AG28" i="59"/>
  <c r="AE28" i="59"/>
  <c r="AF28" i="59"/>
  <c r="AD28" i="59"/>
  <c r="AD29" i="59"/>
  <c r="AE29" i="59"/>
  <c r="AF29" i="59"/>
  <c r="AG29" i="59"/>
  <c r="AH29" i="59"/>
  <c r="Y22" i="59"/>
  <c r="Z22" i="59" s="1"/>
  <c r="AA27" i="59"/>
  <c r="Y27" i="59"/>
  <c r="Z27" i="59" s="1"/>
  <c r="S2" i="31"/>
  <c r="M2" i="31"/>
  <c r="N2" i="31"/>
  <c r="O2" i="31"/>
  <c r="P2" i="31"/>
  <c r="Q2" i="31"/>
  <c r="R2" i="31"/>
  <c r="C13" i="59"/>
  <c r="D13" i="59" s="1"/>
  <c r="C12" i="59"/>
  <c r="C3" i="65"/>
  <c r="C1" i="65"/>
  <c r="N1" i="65" s="1"/>
  <c r="T13" i="59"/>
  <c r="B76" i="63"/>
  <c r="M5" i="54"/>
  <c r="B41" i="63" s="1"/>
  <c r="A23" i="51"/>
  <c r="Y12" i="46"/>
  <c r="AA9" i="46"/>
  <c r="AB9" i="46"/>
  <c r="AB10" i="46"/>
  <c r="AC9" i="46"/>
  <c r="AD9" i="46"/>
  <c r="AD10" i="46" s="1"/>
  <c r="AE9" i="46"/>
  <c r="AE10" i="46" s="1"/>
  <c r="AF9" i="46"/>
  <c r="AF10" i="46" s="1"/>
  <c r="AG9" i="46"/>
  <c r="AH9" i="46"/>
  <c r="AH10" i="46" s="1"/>
  <c r="AI9" i="46"/>
  <c r="AI10" i="46" s="1"/>
  <c r="AJ9" i="46"/>
  <c r="AJ10" i="46"/>
  <c r="Z9" i="46"/>
  <c r="AG10" i="46"/>
  <c r="AC10" i="46"/>
  <c r="Y10" i="46"/>
  <c r="AG12" i="46"/>
  <c r="AC12" i="46"/>
  <c r="B73" i="63"/>
  <c r="A21" i="64"/>
  <c r="B75" i="63" s="1"/>
  <c r="A28" i="64"/>
  <c r="A27" i="64"/>
  <c r="A15" i="64"/>
  <c r="A14" i="64"/>
  <c r="A11" i="64"/>
  <c r="A3" i="64"/>
  <c r="A45" i="9"/>
  <c r="K40" i="9" s="1"/>
  <c r="A44" i="9"/>
  <c r="K39" i="9" s="1"/>
  <c r="C57" i="10"/>
  <c r="C56" i="10"/>
  <c r="C55" i="10"/>
  <c r="C54" i="10"/>
  <c r="B44" i="63"/>
  <c r="B40" i="63"/>
  <c r="B30" i="63"/>
  <c r="B27" i="63"/>
  <c r="B25" i="63"/>
  <c r="A11" i="51"/>
  <c r="B10" i="63" s="1"/>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s="1"/>
  <c r="E5" i="54"/>
  <c r="B32" i="63" s="1"/>
  <c r="R2" i="54"/>
  <c r="B24" i="63"/>
  <c r="B49" i="50"/>
  <c r="B5" i="63" s="1"/>
  <c r="B40" i="50"/>
  <c r="B3" i="63" s="1"/>
  <c r="N4" i="63"/>
  <c r="B21" i="63"/>
  <c r="B67" i="63"/>
  <c r="I19" i="46"/>
  <c r="Q17" i="59"/>
  <c r="P17" i="59"/>
  <c r="E17" i="59" s="1"/>
  <c r="U17" i="59" s="1"/>
  <c r="O17" i="59"/>
  <c r="N17" i="59"/>
  <c r="D78" i="59"/>
  <c r="F77" i="59"/>
  <c r="F76" i="59" s="1"/>
  <c r="F75" i="59" s="1"/>
  <c r="E77" i="59"/>
  <c r="E76" i="59" s="1"/>
  <c r="E75" i="59"/>
  <c r="C77" i="59"/>
  <c r="C76" i="59" s="1"/>
  <c r="D77" i="59"/>
  <c r="B77" i="59"/>
  <c r="B76" i="59"/>
  <c r="B75" i="59" s="1"/>
  <c r="D74" i="59"/>
  <c r="F73" i="59"/>
  <c r="F72" i="59" s="1"/>
  <c r="F71" i="59" s="1"/>
  <c r="E73" i="59"/>
  <c r="E72" i="59" s="1"/>
  <c r="E71" i="59" s="1"/>
  <c r="C73" i="59"/>
  <c r="D73" i="59" s="1"/>
  <c r="B73" i="59"/>
  <c r="B72" i="59"/>
  <c r="B71" i="59"/>
  <c r="D70" i="59"/>
  <c r="Q69" i="59"/>
  <c r="P69" i="59"/>
  <c r="O69" i="59"/>
  <c r="N69" i="59"/>
  <c r="F69" i="59"/>
  <c r="E69" i="59"/>
  <c r="U69" i="59" s="1"/>
  <c r="C69" i="59"/>
  <c r="T69" i="59"/>
  <c r="B69" i="59"/>
  <c r="B68" i="59" s="1"/>
  <c r="B67" i="59" s="1"/>
  <c r="S69" i="59"/>
  <c r="Q68" i="59"/>
  <c r="P68" i="59"/>
  <c r="O68" i="59"/>
  <c r="N68" i="59"/>
  <c r="Q67" i="59"/>
  <c r="P67" i="59"/>
  <c r="O67" i="59"/>
  <c r="N67" i="59"/>
  <c r="Q66" i="59"/>
  <c r="P66" i="59"/>
  <c r="O66" i="59"/>
  <c r="N66" i="59"/>
  <c r="D66" i="59"/>
  <c r="Q65" i="59"/>
  <c r="P65" i="59"/>
  <c r="O65" i="59"/>
  <c r="N65" i="59"/>
  <c r="F65" i="59"/>
  <c r="V65" i="59"/>
  <c r="E65" i="59"/>
  <c r="E64" i="59" s="1"/>
  <c r="E63" i="59" s="1"/>
  <c r="U65" i="59"/>
  <c r="C65" i="59"/>
  <c r="T65" i="59" s="1"/>
  <c r="B65" i="59"/>
  <c r="S65" i="59" s="1"/>
  <c r="Q64" i="59"/>
  <c r="P64" i="59"/>
  <c r="O64" i="59"/>
  <c r="N64" i="59"/>
  <c r="F64" i="59"/>
  <c r="F63" i="59" s="1"/>
  <c r="B64" i="59"/>
  <c r="B63" i="59"/>
  <c r="Q63" i="59"/>
  <c r="P63" i="59"/>
  <c r="O63" i="59"/>
  <c r="N63" i="59"/>
  <c r="Q62" i="59"/>
  <c r="P62" i="59"/>
  <c r="O62" i="59"/>
  <c r="N62" i="59"/>
  <c r="D62" i="59"/>
  <c r="Q61" i="59"/>
  <c r="P61" i="59"/>
  <c r="O61" i="59"/>
  <c r="N61" i="59"/>
  <c r="F61" i="59"/>
  <c r="V61" i="59"/>
  <c r="E61" i="59"/>
  <c r="U61" i="59"/>
  <c r="C61" i="59"/>
  <c r="T61" i="59" s="1"/>
  <c r="B61" i="59"/>
  <c r="S61" i="59"/>
  <c r="Q60" i="59"/>
  <c r="P60" i="59"/>
  <c r="O60" i="59"/>
  <c r="N60" i="59"/>
  <c r="F60" i="59"/>
  <c r="F59" i="59"/>
  <c r="B60" i="59"/>
  <c r="B59" i="59" s="1"/>
  <c r="Q59" i="59"/>
  <c r="P59" i="59"/>
  <c r="O59" i="59"/>
  <c r="N59" i="59"/>
  <c r="Q58" i="59"/>
  <c r="P58" i="59"/>
  <c r="O58" i="59"/>
  <c r="N58" i="59"/>
  <c r="D58" i="59"/>
  <c r="F57" i="59"/>
  <c r="Q57" i="59" s="1"/>
  <c r="V57" i="59"/>
  <c r="E57" i="59"/>
  <c r="U57" i="59" s="1"/>
  <c r="E56" i="59"/>
  <c r="P56" i="59" s="1"/>
  <c r="C57" i="59"/>
  <c r="B57" i="59"/>
  <c r="F56" i="59"/>
  <c r="Q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c r="B52" i="59" s="1"/>
  <c r="B53" i="59" s="1"/>
  <c r="S53" i="59" s="1"/>
  <c r="D50" i="59"/>
  <c r="Q49" i="59"/>
  <c r="P49" i="59"/>
  <c r="O49" i="59"/>
  <c r="N49" i="59"/>
  <c r="Q48" i="59"/>
  <c r="F49" i="59" s="1"/>
  <c r="V49" i="59" s="1"/>
  <c r="P48" i="59"/>
  <c r="O48" i="59"/>
  <c r="N48" i="59"/>
  <c r="Q47" i="59"/>
  <c r="P47" i="59"/>
  <c r="O47" i="59"/>
  <c r="N47" i="59"/>
  <c r="Q46" i="59"/>
  <c r="F47" i="59"/>
  <c r="P46" i="59"/>
  <c r="E47" i="59"/>
  <c r="E48" i="59"/>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c r="F40" i="59" s="1"/>
  <c r="F41" i="59" s="1"/>
  <c r="V41" i="59" s="1"/>
  <c r="P38" i="59"/>
  <c r="E39" i="59" s="1"/>
  <c r="E40" i="59" s="1"/>
  <c r="E41" i="59" s="1"/>
  <c r="O38" i="59"/>
  <c r="C39" i="59"/>
  <c r="D39" i="59" s="1"/>
  <c r="N38" i="59"/>
  <c r="B39" i="59"/>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c r="U37" i="59"/>
  <c r="O34" i="59"/>
  <c r="C35" i="59"/>
  <c r="N34" i="59"/>
  <c r="B35" i="59" s="1"/>
  <c r="B36" i="59"/>
  <c r="B37" i="59"/>
  <c r="S37" i="59"/>
  <c r="D34" i="59"/>
  <c r="Q33" i="59"/>
  <c r="P33" i="59"/>
  <c r="O33" i="59"/>
  <c r="N33" i="59"/>
  <c r="Q32" i="59"/>
  <c r="P32" i="59"/>
  <c r="O32" i="59"/>
  <c r="N32" i="59"/>
  <c r="Q31" i="59"/>
  <c r="P31" i="59"/>
  <c r="O31" i="59"/>
  <c r="N31" i="59"/>
  <c r="Q30" i="59"/>
  <c r="F31" i="59" s="1"/>
  <c r="P30" i="59"/>
  <c r="E31" i="59"/>
  <c r="E32" i="59"/>
  <c r="E33" i="59"/>
  <c r="U33" i="59" s="1"/>
  <c r="O30" i="59"/>
  <c r="C31" i="59"/>
  <c r="N30" i="59"/>
  <c r="B31" i="59"/>
  <c r="B32" i="59"/>
  <c r="B33" i="59" s="1"/>
  <c r="S33" i="59" s="1"/>
  <c r="D30" i="59"/>
  <c r="Q29" i="59"/>
  <c r="P29" i="59"/>
  <c r="O29" i="59"/>
  <c r="N29" i="59"/>
  <c r="Q28" i="59"/>
  <c r="AB28" i="59"/>
  <c r="P28" i="59"/>
  <c r="AA28" i="59" s="1"/>
  <c r="O28" i="59"/>
  <c r="Y28" i="59" s="1"/>
  <c r="Z28" i="59" s="1"/>
  <c r="N28" i="59"/>
  <c r="X28" i="59"/>
  <c r="Q27" i="59"/>
  <c r="AB23" i="59" s="1"/>
  <c r="P27" i="59"/>
  <c r="O27" i="59"/>
  <c r="N27" i="59"/>
  <c r="X27" i="59" s="1"/>
  <c r="Q26" i="59"/>
  <c r="F27" i="59"/>
  <c r="P26" i="59"/>
  <c r="O26" i="59"/>
  <c r="Y26" i="59" s="1"/>
  <c r="Z26" i="59" s="1"/>
  <c r="C27" i="59"/>
  <c r="N26" i="59"/>
  <c r="X25" i="59" s="1"/>
  <c r="B27" i="59"/>
  <c r="B28" i="59" s="1"/>
  <c r="B29" i="59" s="1"/>
  <c r="S29" i="59" s="1"/>
  <c r="D26" i="59"/>
  <c r="Q25" i="59"/>
  <c r="AB24" i="59" s="1"/>
  <c r="P25" i="59"/>
  <c r="O25" i="59"/>
  <c r="Y25" i="59" s="1"/>
  <c r="Z25" i="59" s="1"/>
  <c r="N25" i="59"/>
  <c r="Q24" i="59"/>
  <c r="P24" i="59"/>
  <c r="O24" i="59"/>
  <c r="N24" i="59"/>
  <c r="Q23" i="59"/>
  <c r="P23" i="59"/>
  <c r="O23" i="59"/>
  <c r="N23" i="59"/>
  <c r="X22" i="59" s="1"/>
  <c r="Q22" i="59"/>
  <c r="F23" i="59"/>
  <c r="P22" i="59"/>
  <c r="E23" i="59" s="1"/>
  <c r="E24" i="59"/>
  <c r="E25" i="59" s="1"/>
  <c r="U25" i="59" s="1"/>
  <c r="O22" i="59"/>
  <c r="C23" i="59" s="1"/>
  <c r="C24" i="59" s="1"/>
  <c r="N22" i="59"/>
  <c r="B23" i="59"/>
  <c r="B24" i="59"/>
  <c r="B25" i="59" s="1"/>
  <c r="S25" i="59" s="1"/>
  <c r="D22" i="59"/>
  <c r="Q21" i="59"/>
  <c r="P21" i="59"/>
  <c r="O21" i="59"/>
  <c r="Y21" i="59" s="1"/>
  <c r="Z21" i="59" s="1"/>
  <c r="N21" i="59"/>
  <c r="Q20" i="59"/>
  <c r="P20" i="59"/>
  <c r="O20" i="59"/>
  <c r="N20" i="59"/>
  <c r="X19" i="59" s="1"/>
  <c r="Q19" i="59"/>
  <c r="P19" i="59"/>
  <c r="O19" i="59"/>
  <c r="N19" i="59"/>
  <c r="Q18" i="59"/>
  <c r="F19" i="59"/>
  <c r="F20" i="59" s="1"/>
  <c r="F21" i="59" s="1"/>
  <c r="V21" i="59" s="1"/>
  <c r="P18" i="59"/>
  <c r="O18" i="59"/>
  <c r="C19" i="59"/>
  <c r="D19" i="59" s="1"/>
  <c r="N18" i="59"/>
  <c r="D18" i="59"/>
  <c r="X14" i="59"/>
  <c r="B40" i="59"/>
  <c r="B41" i="59" s="1"/>
  <c r="S41" i="59" s="1"/>
  <c r="U41" i="59"/>
  <c r="F24" i="59"/>
  <c r="F25" i="59" s="1"/>
  <c r="V25" i="59" s="1"/>
  <c r="F32" i="59"/>
  <c r="F48" i="59"/>
  <c r="C20" i="59"/>
  <c r="C28" i="59"/>
  <c r="C29" i="59" s="1"/>
  <c r="D27" i="59"/>
  <c r="C36" i="59"/>
  <c r="D36" i="59"/>
  <c r="D35" i="59"/>
  <c r="D23" i="59"/>
  <c r="T57" i="59"/>
  <c r="O57" i="59"/>
  <c r="D57" i="59"/>
  <c r="C56" i="59"/>
  <c r="P57" i="59"/>
  <c r="E60" i="59"/>
  <c r="E59" i="59"/>
  <c r="D61" i="59"/>
  <c r="C64" i="59"/>
  <c r="D65" i="59"/>
  <c r="C68" i="59"/>
  <c r="D68" i="59" s="1"/>
  <c r="E68" i="59"/>
  <c r="E67" i="59" s="1"/>
  <c r="D69" i="59"/>
  <c r="U16" i="4"/>
  <c r="S16" i="4"/>
  <c r="Q16" i="4"/>
  <c r="O16" i="4"/>
  <c r="M16" i="4"/>
  <c r="K16" i="4"/>
  <c r="C67" i="59"/>
  <c r="D67" i="59" s="1"/>
  <c r="C55" i="59"/>
  <c r="O56" i="59"/>
  <c r="D56" i="59"/>
  <c r="D64" i="59"/>
  <c r="C63" i="59"/>
  <c r="D63" i="59" s="1"/>
  <c r="C25" i="59"/>
  <c r="D24" i="59"/>
  <c r="D28" i="59"/>
  <c r="N16" i="4"/>
  <c r="T25" i="59"/>
  <c r="D25" i="59"/>
  <c r="O27" i="6"/>
  <c r="N27" i="6"/>
  <c r="P26" i="6"/>
  <c r="L26" i="6"/>
  <c r="P25" i="6"/>
  <c r="L25" i="6"/>
  <c r="P24" i="6"/>
  <c r="L24" i="6"/>
  <c r="P23" i="6"/>
  <c r="L23" i="6"/>
  <c r="P22" i="6"/>
  <c r="L22" i="6"/>
  <c r="P21" i="6"/>
  <c r="L21" i="6"/>
  <c r="P20" i="6"/>
  <c r="P19" i="6"/>
  <c r="P27" i="6" s="1"/>
  <c r="Q18" i="36"/>
  <c r="Z18" i="36" s="1"/>
  <c r="C18" i="36"/>
  <c r="D66" i="36"/>
  <c r="F18" i="36"/>
  <c r="S18" i="36" s="1"/>
  <c r="AA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6" i="40"/>
  <c r="E96" i="40" s="1"/>
  <c r="F27" i="40"/>
  <c r="S27" i="40" s="1"/>
  <c r="Q31" i="39"/>
  <c r="Z31" i="39" s="1"/>
  <c r="D105" i="39"/>
  <c r="E105" i="39" s="1"/>
  <c r="F105" i="39" s="1"/>
  <c r="F31" i="39"/>
  <c r="AA31" i="39" s="1"/>
  <c r="G20" i="20"/>
  <c r="C22" i="20"/>
  <c r="B65" i="46" s="1"/>
  <c r="C31" i="39"/>
  <c r="E66" i="36"/>
  <c r="H18" i="35"/>
  <c r="J18" i="35"/>
  <c r="H21" i="37"/>
  <c r="J21" i="37"/>
  <c r="E84" i="34"/>
  <c r="F84" i="34"/>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c r="D1" i="46"/>
  <c r="F113" i="46"/>
  <c r="D99" i="46"/>
  <c r="D108" i="46"/>
  <c r="E99" i="46"/>
  <c r="E108" i="46"/>
  <c r="F99" i="46"/>
  <c r="F100" i="46" s="1"/>
  <c r="G99" i="46"/>
  <c r="G108" i="46"/>
  <c r="H99" i="46"/>
  <c r="H108" i="46"/>
  <c r="I99" i="46"/>
  <c r="I108" i="46" s="1"/>
  <c r="J99" i="46"/>
  <c r="J108" i="46"/>
  <c r="K99" i="46"/>
  <c r="K108" i="46"/>
  <c r="L99" i="46"/>
  <c r="L108" i="46" s="1"/>
  <c r="M99" i="46"/>
  <c r="M108" i="46"/>
  <c r="N99" i="46"/>
  <c r="N108" i="46"/>
  <c r="C99" i="46"/>
  <c r="C108" i="46" s="1"/>
  <c r="K58" i="46"/>
  <c r="J58" i="46" s="1"/>
  <c r="D58" i="46"/>
  <c r="K50" i="46"/>
  <c r="J50" i="46" s="1"/>
  <c r="D83" i="46"/>
  <c r="D77" i="46"/>
  <c r="B83" i="46"/>
  <c r="B82" i="46"/>
  <c r="B71" i="46"/>
  <c r="B60" i="46"/>
  <c r="B49" i="46"/>
  <c r="M87" i="46"/>
  <c r="N87" i="46"/>
  <c r="K87" i="46"/>
  <c r="J87" i="46" s="1"/>
  <c r="D87" i="46"/>
  <c r="M86" i="46"/>
  <c r="N86" i="46" s="1"/>
  <c r="D86" i="46"/>
  <c r="K86" i="46"/>
  <c r="J86" i="46" s="1"/>
  <c r="M85" i="46"/>
  <c r="N85" i="46"/>
  <c r="D85" i="46"/>
  <c r="K85" i="46"/>
  <c r="J85" i="46"/>
  <c r="M84" i="46"/>
  <c r="N84" i="46" s="1"/>
  <c r="K84" i="46"/>
  <c r="J84" i="46" s="1"/>
  <c r="M83" i="46"/>
  <c r="N83" i="46" s="1"/>
  <c r="K83" i="46"/>
  <c r="J83" i="46" s="1"/>
  <c r="M82" i="46"/>
  <c r="N82" i="46" s="1"/>
  <c r="K82" i="46"/>
  <c r="J82" i="46"/>
  <c r="D82" i="46"/>
  <c r="M81" i="46"/>
  <c r="N81" i="46" s="1"/>
  <c r="K81" i="46"/>
  <c r="J81" i="46"/>
  <c r="M80" i="46"/>
  <c r="N80" i="46" s="1"/>
  <c r="K80" i="46"/>
  <c r="J80" i="46" s="1"/>
  <c r="M77" i="46"/>
  <c r="N77" i="46"/>
  <c r="K77" i="46"/>
  <c r="J77" i="46" s="1"/>
  <c r="M76" i="46"/>
  <c r="N76" i="46" s="1"/>
  <c r="D76" i="46"/>
  <c r="K76" i="46"/>
  <c r="J76" i="46"/>
  <c r="M75" i="46"/>
  <c r="N75" i="46"/>
  <c r="K75" i="46"/>
  <c r="J75" i="46" s="1"/>
  <c r="M74" i="46"/>
  <c r="N74" i="46"/>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s="1"/>
  <c r="K66" i="46"/>
  <c r="M65" i="46"/>
  <c r="N65" i="46" s="1"/>
  <c r="K65" i="46"/>
  <c r="J65" i="46"/>
  <c r="D65" i="46"/>
  <c r="M64" i="46"/>
  <c r="N64" i="46"/>
  <c r="K64" i="46"/>
  <c r="J64" i="46"/>
  <c r="D64" i="46"/>
  <c r="M63" i="46"/>
  <c r="N63" i="46" s="1"/>
  <c r="K63" i="46"/>
  <c r="J63" i="46" s="1"/>
  <c r="D63" i="46"/>
  <c r="M62" i="46"/>
  <c r="N62" i="46"/>
  <c r="K62" i="46"/>
  <c r="J62" i="46"/>
  <c r="D62" i="46"/>
  <c r="M61" i="46"/>
  <c r="N61" i="46"/>
  <c r="K61" i="46"/>
  <c r="J61" i="46" s="1"/>
  <c r="D61" i="46"/>
  <c r="M60" i="46"/>
  <c r="N60" i="46" s="1"/>
  <c r="K60" i="46"/>
  <c r="J60" i="46"/>
  <c r="D60" i="46"/>
  <c r="M59" i="46"/>
  <c r="N59" i="46"/>
  <c r="K59" i="46"/>
  <c r="J59" i="46" s="1"/>
  <c r="D59" i="46"/>
  <c r="M58" i="46"/>
  <c r="N58" i="46"/>
  <c r="M55" i="46"/>
  <c r="N55" i="46" s="1"/>
  <c r="K55" i="46"/>
  <c r="J55" i="46"/>
  <c r="M54" i="46"/>
  <c r="N54" i="46"/>
  <c r="K54" i="46"/>
  <c r="J54" i="46" s="1"/>
  <c r="M53" i="46"/>
  <c r="N53" i="46" s="1"/>
  <c r="K53" i="46"/>
  <c r="J53" i="46" s="1"/>
  <c r="D53" i="46"/>
  <c r="M52" i="46"/>
  <c r="N52" i="46"/>
  <c r="K52" i="46"/>
  <c r="J52" i="46" s="1"/>
  <c r="D52" i="46"/>
  <c r="M51" i="46"/>
  <c r="N51" i="46" s="1"/>
  <c r="K51" i="46"/>
  <c r="J51" i="46" s="1"/>
  <c r="M50" i="46"/>
  <c r="N50" i="46" s="1"/>
  <c r="M49" i="46"/>
  <c r="N49" i="46"/>
  <c r="K49" i="46"/>
  <c r="J49" i="46"/>
  <c r="D49" i="46"/>
  <c r="M48" i="46"/>
  <c r="N48" i="46"/>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L112" i="3" s="1"/>
  <c r="BO112" i="3"/>
  <c r="BN112" i="3"/>
  <c r="BM112" i="3"/>
  <c r="BK112" i="3"/>
  <c r="BJ112" i="3"/>
  <c r="BI112" i="3"/>
  <c r="BH112" i="3"/>
  <c r="BG112" i="3"/>
  <c r="BF112" i="3"/>
  <c r="BE112" i="3"/>
  <c r="BD112" i="3"/>
  <c r="BC112" i="3"/>
  <c r="BA112" i="3" s="1"/>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A109" i="3" s="1"/>
  <c r="AZ109" i="3" s="1"/>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A107" i="3" s="1"/>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L98" i="3" s="1"/>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c r="BT90" i="3"/>
  <c r="BS90" i="3"/>
  <c r="BR90" i="3"/>
  <c r="BQ90" i="3"/>
  <c r="BP90" i="3"/>
  <c r="BO90" i="3"/>
  <c r="BN90" i="3"/>
  <c r="BM90" i="3"/>
  <c r="BL90" i="3"/>
  <c r="BK90" i="3"/>
  <c r="BJ90" i="3"/>
  <c r="BI90" i="3"/>
  <c r="BH90" i="3"/>
  <c r="BG90" i="3"/>
  <c r="BF90" i="3"/>
  <c r="BA90" i="3" s="1"/>
  <c r="BE90" i="3"/>
  <c r="BD90" i="3"/>
  <c r="BC90" i="3"/>
  <c r="BB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G89" i="3" s="1"/>
  <c r="H89" i="3"/>
  <c r="BT88" i="3"/>
  <c r="BS88" i="3"/>
  <c r="BR88" i="3"/>
  <c r="BQ88" i="3"/>
  <c r="BL88" i="3" s="1"/>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A83" i="3" s="1"/>
  <c r="AZ83" i="3" s="1"/>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s="1"/>
  <c r="BT81" i="3"/>
  <c r="BS81" i="3"/>
  <c r="BR81" i="3"/>
  <c r="BQ81" i="3"/>
  <c r="BL81" i="3" s="1"/>
  <c r="BP81" i="3"/>
  <c r="BO81" i="3"/>
  <c r="BN81" i="3"/>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A76" i="3" s="1"/>
  <c r="AZ76" i="3" s="1"/>
  <c r="BE76" i="3"/>
  <c r="BD76" i="3"/>
  <c r="BC76" i="3"/>
  <c r="BB76" i="3"/>
  <c r="AX76" i="3"/>
  <c r="AW76" i="3"/>
  <c r="AV76" i="3"/>
  <c r="AC76" i="3"/>
  <c r="H76" i="3"/>
  <c r="G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A74" i="3" s="1"/>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L66" i="3" s="1"/>
  <c r="BO66" i="3"/>
  <c r="BN66" i="3"/>
  <c r="BM66" i="3"/>
  <c r="BK66" i="3"/>
  <c r="BJ66" i="3"/>
  <c r="BI66" i="3"/>
  <c r="BH66" i="3"/>
  <c r="BG66" i="3"/>
  <c r="BF66" i="3"/>
  <c r="BE66" i="3"/>
  <c r="BD66" i="3"/>
  <c r="BC66" i="3"/>
  <c r="BB66" i="3"/>
  <c r="AX66" i="3"/>
  <c r="AW66" i="3"/>
  <c r="AV66" i="3"/>
  <c r="AC66" i="3"/>
  <c r="H66" i="3"/>
  <c r="BT65" i="3"/>
  <c r="BS65" i="3"/>
  <c r="BR65" i="3"/>
  <c r="BQ65" i="3"/>
  <c r="BL65" i="3" s="1"/>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K59" i="3"/>
  <c r="BJ59" i="3"/>
  <c r="BI59" i="3"/>
  <c r="BH59" i="3"/>
  <c r="BG59" i="3"/>
  <c r="BF59" i="3"/>
  <c r="BE59" i="3"/>
  <c r="BD59" i="3"/>
  <c r="BA59" i="3" s="1"/>
  <c r="BC59" i="3"/>
  <c r="BB59" i="3"/>
  <c r="AX59" i="3"/>
  <c r="AW59" i="3"/>
  <c r="AV59" i="3"/>
  <c r="AC59" i="3"/>
  <c r="H59" i="3"/>
  <c r="G59" i="3"/>
  <c r="BT58" i="3"/>
  <c r="BS58" i="3"/>
  <c r="BR58" i="3"/>
  <c r="BQ58" i="3"/>
  <c r="BP58" i="3"/>
  <c r="BO58" i="3"/>
  <c r="BN58" i="3"/>
  <c r="BM58" i="3"/>
  <c r="BL58" i="3"/>
  <c r="BK58" i="3"/>
  <c r="BJ58" i="3"/>
  <c r="BI58" i="3"/>
  <c r="BH58" i="3"/>
  <c r="BG58" i="3"/>
  <c r="BF58" i="3"/>
  <c r="BA58" i="3" s="1"/>
  <c r="BE58" i="3"/>
  <c r="BD58" i="3"/>
  <c r="BC58" i="3"/>
  <c r="BB58" i="3"/>
  <c r="AZ58" i="3"/>
  <c r="AX58" i="3"/>
  <c r="AW58" i="3"/>
  <c r="AV58" i="3"/>
  <c r="AC58" i="3"/>
  <c r="H58" i="3"/>
  <c r="G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A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A43" i="3" s="1"/>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BT36" i="3"/>
  <c r="BS36" i="3"/>
  <c r="BR36" i="3"/>
  <c r="BQ36" i="3"/>
  <c r="BP36" i="3"/>
  <c r="BO36" i="3"/>
  <c r="BN36" i="3"/>
  <c r="BM36" i="3"/>
  <c r="BL36" i="3" s="1"/>
  <c r="BK36" i="3"/>
  <c r="BJ36" i="3"/>
  <c r="BI36" i="3"/>
  <c r="BH36" i="3"/>
  <c r="BG36" i="3"/>
  <c r="BF36" i="3"/>
  <c r="BE36" i="3"/>
  <c r="BD36" i="3"/>
  <c r="BA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L34" i="3" s="1"/>
  <c r="BO34" i="3"/>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L32" i="3" s="1"/>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A131" i="3" s="1"/>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A285" i="3" s="1"/>
  <c r="AZ285" i="3" s="1"/>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A270" i="3" s="1"/>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AZ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A254" i="3" s="1"/>
  <c r="AZ254" i="3" s="1"/>
  <c r="BD254" i="3"/>
  <c r="BC254" i="3"/>
  <c r="BB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A247" i="3" s="1"/>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L245" i="3" s="1"/>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A230" i="3" s="1"/>
  <c r="AZ230" i="3" s="1"/>
  <c r="BD230" i="3"/>
  <c r="BC230" i="3"/>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A223" i="3" s="1"/>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A218" i="3" s="1"/>
  <c r="AZ218" i="3" s="1"/>
  <c r="BD218" i="3"/>
  <c r="BC218" i="3"/>
  <c r="BB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L216" i="3" s="1"/>
  <c r="BO216" i="3"/>
  <c r="BN216" i="3"/>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A206" i="3" s="1"/>
  <c r="AZ206" i="3" s="1"/>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L388" i="3" s="1"/>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L382" i="3" s="1"/>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L380" i="3" s="1"/>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A357" i="3" s="1"/>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L306" i="3" s="1"/>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A478" i="3" s="1"/>
  <c r="AZ478" i="3" s="1"/>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A477" i="3" s="1"/>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M464" i="3"/>
  <c r="BL464" i="3"/>
  <c r="BK464" i="3"/>
  <c r="BJ464" i="3"/>
  <c r="BI464" i="3"/>
  <c r="BH464" i="3"/>
  <c r="BG464" i="3"/>
  <c r="BF464" i="3"/>
  <c r="BE464" i="3"/>
  <c r="BA464" i="3" s="1"/>
  <c r="AZ464" i="3" s="1"/>
  <c r="BD464" i="3"/>
  <c r="BC464" i="3"/>
  <c r="BB464" i="3"/>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A462" i="3" s="1"/>
  <c r="AZ462" i="3" s="1"/>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AZ457" i="3" s="1"/>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A454" i="3" s="1"/>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L452" i="3" s="1"/>
  <c r="BO452" i="3"/>
  <c r="BN452" i="3"/>
  <c r="BM452" i="3"/>
  <c r="BK452" i="3"/>
  <c r="BJ452" i="3"/>
  <c r="BI452" i="3"/>
  <c r="BH452" i="3"/>
  <c r="BG452" i="3"/>
  <c r="BF452" i="3"/>
  <c r="BE452" i="3"/>
  <c r="BD452" i="3"/>
  <c r="BA452" i="3" s="1"/>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A449" i="3" s="1"/>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A442" i="3" s="1"/>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L432" i="3" s="1"/>
  <c r="BO432" i="3"/>
  <c r="BN432" i="3"/>
  <c r="BM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A429" i="3" s="1"/>
  <c r="AZ429" i="3" s="1"/>
  <c r="BD429" i="3"/>
  <c r="BC429" i="3"/>
  <c r="BB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A422" i="3" s="1"/>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A404" i="3" s="1"/>
  <c r="AZ404" i="3" s="1"/>
  <c r="BD404" i="3"/>
  <c r="BC404" i="3"/>
  <c r="BB404" i="3"/>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L402" i="3" s="1"/>
  <c r="BO402" i="3"/>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L397" i="3" s="1"/>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s="1"/>
  <c r="H61" i="40"/>
  <c r="I61" i="40" s="1"/>
  <c r="C61" i="40" s="1"/>
  <c r="H60" i="40"/>
  <c r="H59" i="40"/>
  <c r="H58" i="40"/>
  <c r="I58" i="40"/>
  <c r="C58" i="40" s="1"/>
  <c r="H57" i="40"/>
  <c r="I57" i="40"/>
  <c r="C57" i="40"/>
  <c r="H56" i="40"/>
  <c r="I56" i="40"/>
  <c r="C56" i="40" s="1"/>
  <c r="H55" i="40"/>
  <c r="I55" i="40"/>
  <c r="C55" i="40" s="1"/>
  <c r="H54" i="40"/>
  <c r="I54" i="40"/>
  <c r="C54" i="40" s="1"/>
  <c r="H63" i="39"/>
  <c r="I63" i="39"/>
  <c r="C63" i="39" s="1"/>
  <c r="H59" i="39"/>
  <c r="I59" i="39"/>
  <c r="C59" i="39" s="1"/>
  <c r="H67" i="39"/>
  <c r="I67" i="39"/>
  <c r="C67" i="39" s="1"/>
  <c r="H66" i="39"/>
  <c r="I66" i="39"/>
  <c r="C66" i="39" s="1"/>
  <c r="H65" i="39"/>
  <c r="I65" i="39"/>
  <c r="C65" i="39" s="1"/>
  <c r="H64" i="39"/>
  <c r="I64" i="39"/>
  <c r="C64" i="39" s="1"/>
  <c r="H62" i="39"/>
  <c r="I62" i="39"/>
  <c r="C62" i="39" s="1"/>
  <c r="H61" i="39"/>
  <c r="I61" i="39"/>
  <c r="C61" i="39" s="1"/>
  <c r="H60" i="39"/>
  <c r="I60" i="39"/>
  <c r="C60" i="39" s="1"/>
  <c r="L25" i="4"/>
  <c r="C109" i="9"/>
  <c r="C145" i="21"/>
  <c r="K139" i="21" s="1"/>
  <c r="J142" i="21"/>
  <c r="J140" i="21"/>
  <c r="K145" i="21" s="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K13" i="1" s="1"/>
  <c r="M13" i="1" s="1"/>
  <c r="O13" i="1" s="1"/>
  <c r="E21" i="6"/>
  <c r="K8" i="1" s="1"/>
  <c r="E22" i="6"/>
  <c r="E23" i="6"/>
  <c r="E24" i="6"/>
  <c r="E25" i="6"/>
  <c r="E26" i="6"/>
  <c r="D38" i="4"/>
  <c r="C39" i="4" s="1"/>
  <c r="C35" i="4"/>
  <c r="E16" i="12"/>
  <c r="F14" i="12"/>
  <c r="F15" i="12"/>
  <c r="F17" i="12"/>
  <c r="E19" i="12"/>
  <c r="E21" i="12"/>
  <c r="E22" i="12"/>
  <c r="F23" i="12"/>
  <c r="F24" i="12"/>
  <c r="C43" i="9"/>
  <c r="K47" i="9"/>
  <c r="A14" i="55" s="1"/>
  <c r="B65" i="63"/>
  <c r="I73" i="9"/>
  <c r="F73" i="9"/>
  <c r="P73" i="9"/>
  <c r="D107" i="9"/>
  <c r="C107" i="9"/>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s="1"/>
  <c r="I55" i="34"/>
  <c r="J55" i="34"/>
  <c r="G55" i="34"/>
  <c r="H55" i="34"/>
  <c r="E55" i="34"/>
  <c r="F55" i="34" s="1"/>
  <c r="I50" i="40"/>
  <c r="J50" i="40"/>
  <c r="G50" i="40"/>
  <c r="H50" i="40"/>
  <c r="E50" i="40"/>
  <c r="F50" i="40" s="1"/>
  <c r="I55" i="39"/>
  <c r="J55" i="39" s="1"/>
  <c r="G55" i="39"/>
  <c r="H55" i="39" s="1"/>
  <c r="E55" i="39"/>
  <c r="F55" i="39" s="1"/>
  <c r="I42" i="36"/>
  <c r="J42" i="36"/>
  <c r="G42" i="36"/>
  <c r="H42" i="36" s="1"/>
  <c r="E42" i="36"/>
  <c r="F42" i="36" s="1"/>
  <c r="I44" i="35"/>
  <c r="J44" i="35"/>
  <c r="G44" i="35"/>
  <c r="H44" i="35" s="1"/>
  <c r="E44" i="35"/>
  <c r="F44" i="35" s="1"/>
  <c r="I54" i="33"/>
  <c r="J54" i="33"/>
  <c r="G54" i="33"/>
  <c r="H54" i="33" s="1"/>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A19" i="3" s="1"/>
  <c r="BC19" i="3"/>
  <c r="BD19" i="3"/>
  <c r="BE19" i="3"/>
  <c r="BF19" i="3"/>
  <c r="BG19" i="3"/>
  <c r="BH19" i="3"/>
  <c r="BI19" i="3"/>
  <c r="BJ19" i="3"/>
  <c r="BK19" i="3"/>
  <c r="BM19" i="3"/>
  <c r="BN19" i="3"/>
  <c r="BO19" i="3"/>
  <c r="BL19" i="3" s="1"/>
  <c r="BP19" i="3"/>
  <c r="BQ19" i="3"/>
  <c r="BR19" i="3"/>
  <c r="BS19" i="3"/>
  <c r="BT19" i="3"/>
  <c r="H20" i="3"/>
  <c r="G20" i="3" s="1"/>
  <c r="AC20" i="3"/>
  <c r="BB20" i="3"/>
  <c r="BC20" i="3"/>
  <c r="BD20" i="3"/>
  <c r="BE20" i="3"/>
  <c r="BF20" i="3"/>
  <c r="BF5" i="3" s="1"/>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L488" i="3" s="1"/>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L495" i="3" s="1"/>
  <c r="BS495" i="3"/>
  <c r="BT495" i="3"/>
  <c r="H496" i="3"/>
  <c r="G496" i="3"/>
  <c r="AC496" i="3"/>
  <c r="BB496" i="3"/>
  <c r="BC496" i="3"/>
  <c r="BD496" i="3"/>
  <c r="BE496" i="3"/>
  <c r="BF496" i="3"/>
  <c r="BG496" i="3"/>
  <c r="BH496" i="3"/>
  <c r="BI496" i="3"/>
  <c r="BJ496" i="3"/>
  <c r="BK496" i="3"/>
  <c r="BM496" i="3"/>
  <c r="BN496" i="3"/>
  <c r="BO496" i="3"/>
  <c r="BL496" i="3"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A505" i="3" s="1"/>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L506" i="3" s="1"/>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L511" i="3" s="1"/>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A522" i="3" s="1"/>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c r="BB525" i="3"/>
  <c r="BC525" i="3"/>
  <c r="BD525" i="3"/>
  <c r="BA525" i="3" s="1"/>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A527" i="3" s="1"/>
  <c r="BD527" i="3"/>
  <c r="BE527" i="3"/>
  <c r="BF527" i="3"/>
  <c r="BG527" i="3"/>
  <c r="BH527" i="3"/>
  <c r="BI527" i="3"/>
  <c r="BJ527" i="3"/>
  <c r="BK527" i="3"/>
  <c r="BM527" i="3"/>
  <c r="BL527" i="3" s="1"/>
  <c r="BN527" i="3"/>
  <c r="BO527" i="3"/>
  <c r="BP527" i="3"/>
  <c r="BQ527" i="3"/>
  <c r="BR527" i="3"/>
  <c r="BS527" i="3"/>
  <c r="BT527" i="3"/>
  <c r="H528" i="3"/>
  <c r="G528" i="3"/>
  <c r="AC528" i="3"/>
  <c r="BB528" i="3"/>
  <c r="BC528" i="3"/>
  <c r="BA528" i="3" s="1"/>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L530" i="3" s="1"/>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A534" i="3" s="1"/>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L537" i="3" s="1"/>
  <c r="BP537" i="3"/>
  <c r="BQ537" i="3"/>
  <c r="BR537" i="3"/>
  <c r="BS537" i="3"/>
  <c r="BT537" i="3"/>
  <c r="H538" i="3"/>
  <c r="G538" i="3" s="1"/>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L540" i="3" s="1"/>
  <c r="BP540" i="3"/>
  <c r="BR540" i="3"/>
  <c r="BS540" i="3"/>
  <c r="BT540" i="3"/>
  <c r="H541" i="3"/>
  <c r="AC541" i="3"/>
  <c r="G541" i="3" s="1"/>
  <c r="BB541" i="3"/>
  <c r="BC541" i="3"/>
  <c r="BD541" i="3"/>
  <c r="BE541" i="3"/>
  <c r="BF541" i="3"/>
  <c r="BA541" i="3" s="1"/>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O542" i="3"/>
  <c r="BP542" i="3"/>
  <c r="BR542" i="3"/>
  <c r="BS542" i="3"/>
  <c r="BT542" i="3"/>
  <c r="H543" i="3"/>
  <c r="G543" i="3" s="1"/>
  <c r="AC543" i="3"/>
  <c r="BB543" i="3"/>
  <c r="BC543" i="3"/>
  <c r="BD543" i="3"/>
  <c r="BA543" i="3" s="1"/>
  <c r="AZ543" i="3" s="1"/>
  <c r="BE543" i="3"/>
  <c r="BF543" i="3"/>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G545" i="3" s="1"/>
  <c r="BB545" i="3"/>
  <c r="BC545" i="3"/>
  <c r="BD545" i="3"/>
  <c r="BE545" i="3"/>
  <c r="BF545" i="3"/>
  <c r="BG545" i="3"/>
  <c r="BA545" i="3" s="1"/>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L546" i="3" s="1"/>
  <c r="BT546" i="3"/>
  <c r="H547" i="3"/>
  <c r="AC547" i="3"/>
  <c r="G547" i="3" s="1"/>
  <c r="BB547" i="3"/>
  <c r="BC547" i="3"/>
  <c r="BD547" i="3"/>
  <c r="BA547" i="3" s="1"/>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L551" i="3" s="1"/>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L559" i="3" s="1"/>
  <c r="BP559" i="3"/>
  <c r="BQ559" i="3"/>
  <c r="BR559" i="3"/>
  <c r="BS559" i="3"/>
  <c r="BT559" i="3"/>
  <c r="H560" i="3"/>
  <c r="G560" i="3" s="1"/>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L561" i="3" s="1"/>
  <c r="BS561" i="3"/>
  <c r="BT561" i="3"/>
  <c r="H562" i="3"/>
  <c r="AC562" i="3"/>
  <c r="BB562" i="3"/>
  <c r="BC562" i="3"/>
  <c r="BD562" i="3"/>
  <c r="BE562" i="3"/>
  <c r="BF562" i="3"/>
  <c r="BG562" i="3"/>
  <c r="BH562" i="3"/>
  <c r="BI562" i="3"/>
  <c r="BJ562" i="3"/>
  <c r="BK562" i="3"/>
  <c r="BM562" i="3"/>
  <c r="BN562" i="3"/>
  <c r="BO562" i="3"/>
  <c r="BP562" i="3"/>
  <c r="BL562" i="3" s="1"/>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A566" i="3" s="1"/>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L569" i="3" s="1"/>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c r="F87" i="35" s="1"/>
  <c r="G87" i="35" s="1"/>
  <c r="H87" i="35"/>
  <c r="I87" i="35"/>
  <c r="J87" i="35" s="1"/>
  <c r="K87" i="35" s="1"/>
  <c r="L87" i="35" s="1"/>
  <c r="M87" i="35" s="1"/>
  <c r="H34" i="37"/>
  <c r="AB34" i="37" s="1"/>
  <c r="D101" i="37"/>
  <c r="F34" i="37"/>
  <c r="D99" i="37"/>
  <c r="E99" i="37"/>
  <c r="H42" i="34"/>
  <c r="J42" i="34"/>
  <c r="F42" i="34"/>
  <c r="J38" i="34"/>
  <c r="D114" i="34"/>
  <c r="F38" i="34"/>
  <c r="S38" i="34" s="1"/>
  <c r="D112" i="34"/>
  <c r="E112" i="34" s="1"/>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F35" i="40" s="1"/>
  <c r="B105" i="40"/>
  <c r="F34" i="40" s="1"/>
  <c r="AA34" i="40" s="1"/>
  <c r="B103" i="40"/>
  <c r="D102" i="40"/>
  <c r="E102" i="40"/>
  <c r="F102" i="40"/>
  <c r="G102" i="40"/>
  <c r="H102" i="40" s="1"/>
  <c r="I102" i="40" s="1"/>
  <c r="J102" i="40" s="1"/>
  <c r="K102" i="40" s="1"/>
  <c r="L102" i="40" s="1"/>
  <c r="M102" i="40" s="1"/>
  <c r="D100" i="40"/>
  <c r="E100" i="40"/>
  <c r="F100" i="40" s="1"/>
  <c r="D98" i="40"/>
  <c r="E98" i="40"/>
  <c r="B97" i="40"/>
  <c r="D94" i="40"/>
  <c r="D92" i="40"/>
  <c r="D90" i="40"/>
  <c r="H21" i="40"/>
  <c r="AB21" i="40"/>
  <c r="D88" i="40"/>
  <c r="E88" i="40" s="1"/>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s="1"/>
  <c r="Q37" i="40"/>
  <c r="Z37" i="40"/>
  <c r="Q36" i="40"/>
  <c r="Z36" i="40" s="1"/>
  <c r="Q35" i="40"/>
  <c r="Z35" i="40" s="1"/>
  <c r="Q34" i="40"/>
  <c r="Z34" i="40" s="1"/>
  <c r="Q33" i="40"/>
  <c r="Z33" i="40"/>
  <c r="Q32" i="40"/>
  <c r="Z32" i="40" s="1"/>
  <c r="Q30" i="40"/>
  <c r="Z30" i="40" s="1"/>
  <c r="Q29" i="40"/>
  <c r="Z29" i="40"/>
  <c r="Q25" i="40"/>
  <c r="Z25" i="40" s="1"/>
  <c r="Q23" i="40"/>
  <c r="Z23" i="40"/>
  <c r="Q21" i="40"/>
  <c r="Z21" i="40" s="1"/>
  <c r="Q19" i="40"/>
  <c r="Z19" i="40" s="1"/>
  <c r="Q17" i="40"/>
  <c r="Z17" i="40" s="1"/>
  <c r="Q16" i="40"/>
  <c r="Z16" i="40" s="1"/>
  <c r="Q15" i="40"/>
  <c r="Z15" i="40" s="1"/>
  <c r="Q14" i="40"/>
  <c r="Z14" i="40"/>
  <c r="Q13" i="40"/>
  <c r="Z13" i="40"/>
  <c r="Q12" i="40"/>
  <c r="Z12" i="40" s="1"/>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F47" i="39" s="1"/>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c r="Q29" i="39"/>
  <c r="Z29" i="39" s="1"/>
  <c r="Q27" i="39"/>
  <c r="Z27" i="39"/>
  <c r="Q25" i="39"/>
  <c r="Z25" i="39"/>
  <c r="Q23" i="39"/>
  <c r="Z23" i="39" s="1"/>
  <c r="Q21" i="39"/>
  <c r="Z21" i="39"/>
  <c r="Q19" i="39"/>
  <c r="Z19" i="39"/>
  <c r="Q17" i="39"/>
  <c r="Z17" i="39" s="1"/>
  <c r="Q16" i="39"/>
  <c r="Z16" i="39"/>
  <c r="Q15" i="39"/>
  <c r="Z15" i="39"/>
  <c r="Q14" i="39"/>
  <c r="Z14" i="39" s="1"/>
  <c r="Q13" i="39"/>
  <c r="Z13" i="39" s="1"/>
  <c r="Q12" i="39"/>
  <c r="Z12" i="39"/>
  <c r="Q11" i="39"/>
  <c r="Z11" i="39" s="1"/>
  <c r="U10" i="39"/>
  <c r="C9" i="39"/>
  <c r="C70" i="39" s="1"/>
  <c r="C20" i="36"/>
  <c r="C20" i="35"/>
  <c r="C16" i="36"/>
  <c r="C16" i="35"/>
  <c r="C14" i="36"/>
  <c r="C14" i="35"/>
  <c r="B80" i="37"/>
  <c r="J25" i="37" s="1"/>
  <c r="H25" i="37"/>
  <c r="U25" i="37" s="1"/>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D79" i="37"/>
  <c r="E79" i="37"/>
  <c r="F79" i="37" s="1"/>
  <c r="G79" i="37" s="1"/>
  <c r="D75" i="37"/>
  <c r="E75" i="37" s="1"/>
  <c r="F75" i="37" s="1"/>
  <c r="D73" i="37"/>
  <c r="E73" i="37"/>
  <c r="F73" i="37" s="1"/>
  <c r="G73" i="37" s="1"/>
  <c r="D71" i="37"/>
  <c r="E71" i="37"/>
  <c r="F71" i="37"/>
  <c r="G71" i="37" s="1"/>
  <c r="F15" i="37"/>
  <c r="AA15" i="37"/>
  <c r="B68" i="37"/>
  <c r="H14" i="37"/>
  <c r="U14" i="37"/>
  <c r="B66" i="37"/>
  <c r="B64" i="37"/>
  <c r="D63" i="37"/>
  <c r="E63" i="37" s="1"/>
  <c r="F63" i="37" s="1"/>
  <c r="G63" i="37" s="1"/>
  <c r="H63" i="37"/>
  <c r="I63" i="37"/>
  <c r="J63" i="37" s="1"/>
  <c r="K63" i="37" s="1"/>
  <c r="L63" i="37"/>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c r="J31" i="37"/>
  <c r="Q30" i="37"/>
  <c r="Z30" i="37"/>
  <c r="J30" i="37"/>
  <c r="W30" i="37" s="1"/>
  <c r="H30" i="37"/>
  <c r="F30" i="37"/>
  <c r="Q29" i="37"/>
  <c r="Z29" i="37" s="1"/>
  <c r="H29" i="37"/>
  <c r="U29" i="37"/>
  <c r="Q28" i="37"/>
  <c r="Z28" i="37" s="1"/>
  <c r="Q27" i="37"/>
  <c r="Z27" i="37"/>
  <c r="Q26" i="37"/>
  <c r="Z26" i="37"/>
  <c r="F26" i="37"/>
  <c r="AA26" i="37" s="1"/>
  <c r="Q25" i="37"/>
  <c r="Z25" i="37" s="1"/>
  <c r="W25" i="37"/>
  <c r="F25" i="37"/>
  <c r="AA25" i="37" s="1"/>
  <c r="Q23" i="37"/>
  <c r="Z23" i="37" s="1"/>
  <c r="Q19" i="37"/>
  <c r="Z19" i="37"/>
  <c r="Q17" i="37"/>
  <c r="Z17" i="37" s="1"/>
  <c r="Q15" i="37"/>
  <c r="Z15" i="37" s="1"/>
  <c r="Q14" i="37"/>
  <c r="Z14" i="37"/>
  <c r="Q13" i="37"/>
  <c r="Z13" i="37" s="1"/>
  <c r="Q12" i="37"/>
  <c r="Z12" i="37" s="1"/>
  <c r="Q11" i="37"/>
  <c r="Z11" i="37"/>
  <c r="Q10" i="37"/>
  <c r="Z10" i="37" s="1"/>
  <c r="F10" i="37"/>
  <c r="AA10" i="37" s="1"/>
  <c r="Q9" i="37"/>
  <c r="Z9" i="37"/>
  <c r="J8" i="37"/>
  <c r="W8" i="37" s="1"/>
  <c r="H8" i="37"/>
  <c r="AB8" i="37" s="1"/>
  <c r="F8" i="37"/>
  <c r="C7"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c r="H81" i="36" s="1"/>
  <c r="I81" i="36" s="1"/>
  <c r="J81" i="36" s="1"/>
  <c r="K81" i="36" s="1"/>
  <c r="L81" i="36" s="1"/>
  <c r="M81" i="36" s="1"/>
  <c r="F79" i="36"/>
  <c r="E79" i="36"/>
  <c r="D79" i="36"/>
  <c r="C79" i="36"/>
  <c r="B93" i="36"/>
  <c r="B91" i="36"/>
  <c r="B95" i="36"/>
  <c r="H34" i="36" s="1"/>
  <c r="D83" i="36"/>
  <c r="E83" i="36"/>
  <c r="F83" i="36" s="1"/>
  <c r="G83" i="36" s="1"/>
  <c r="H83" i="36"/>
  <c r="I83" i="36" s="1"/>
  <c r="J83" i="36" s="1"/>
  <c r="K83" i="36" s="1"/>
  <c r="L83" i="36" s="1"/>
  <c r="M83" i="36" s="1"/>
  <c r="D78" i="36"/>
  <c r="J26" i="36"/>
  <c r="W26" i="36" s="1"/>
  <c r="B75" i="36"/>
  <c r="B73" i="36"/>
  <c r="B71" i="36"/>
  <c r="D70" i="36"/>
  <c r="H22" i="36"/>
  <c r="AB22" i="36" s="1"/>
  <c r="D68" i="36"/>
  <c r="E68" i="36"/>
  <c r="D64" i="36"/>
  <c r="E64" i="36" s="1"/>
  <c r="F64" i="36"/>
  <c r="G64" i="36"/>
  <c r="J16" i="36"/>
  <c r="D62" i="36"/>
  <c r="E62" i="36" s="1"/>
  <c r="B59" i="36"/>
  <c r="B57" i="36"/>
  <c r="J12" i="36"/>
  <c r="B55" i="36"/>
  <c r="J11" i="36" s="1"/>
  <c r="F54" i="36"/>
  <c r="G54" i="36" s="1"/>
  <c r="H54" i="36" s="1"/>
  <c r="I54" i="36"/>
  <c r="J10" i="36"/>
  <c r="W10" i="36"/>
  <c r="C51" i="36"/>
  <c r="P37" i="36"/>
  <c r="P36" i="36"/>
  <c r="V35" i="36"/>
  <c r="T35" i="36"/>
  <c r="R35" i="36"/>
  <c r="P35" i="36"/>
  <c r="Q34" i="36"/>
  <c r="Z34" i="36" s="1"/>
  <c r="Q33" i="36"/>
  <c r="Z33" i="36"/>
  <c r="Q32" i="36"/>
  <c r="Z32" i="36"/>
  <c r="Q31" i="36"/>
  <c r="Z31" i="36" s="1"/>
  <c r="Q30" i="36"/>
  <c r="Z30" i="36" s="1"/>
  <c r="Q29" i="36"/>
  <c r="Z29" i="36" s="1"/>
  <c r="Q28" i="36"/>
  <c r="Z28" i="36" s="1"/>
  <c r="J28" i="36"/>
  <c r="AC28" i="36" s="1"/>
  <c r="Q27" i="36"/>
  <c r="Z27" i="36"/>
  <c r="Q26" i="36"/>
  <c r="Z26" i="36" s="1"/>
  <c r="H26" i="36"/>
  <c r="AB26" i="36"/>
  <c r="Q25" i="36"/>
  <c r="Z25" i="36" s="1"/>
  <c r="Q24" i="36"/>
  <c r="Z24" i="36" s="1"/>
  <c r="Q23" i="36"/>
  <c r="Z23" i="36" s="1"/>
  <c r="J23" i="36"/>
  <c r="AC23" i="36" s="1"/>
  <c r="H23" i="36"/>
  <c r="AB23" i="36" s="1"/>
  <c r="F23" i="36"/>
  <c r="AA23" i="36"/>
  <c r="Q22" i="36"/>
  <c r="Z22" i="36" s="1"/>
  <c r="J22" i="36"/>
  <c r="AC22" i="36"/>
  <c r="Q20" i="36"/>
  <c r="Z20" i="36"/>
  <c r="Q16" i="36"/>
  <c r="Z16" i="36" s="1"/>
  <c r="Q14" i="36"/>
  <c r="Z14" i="36" s="1"/>
  <c r="Q13" i="36"/>
  <c r="Z13" i="36" s="1"/>
  <c r="Q12" i="36"/>
  <c r="Z12" i="36" s="1"/>
  <c r="H12" i="36"/>
  <c r="AB12" i="36" s="1"/>
  <c r="Q11" i="36"/>
  <c r="Z11" i="36"/>
  <c r="Q10" i="36"/>
  <c r="Z10" i="36" s="1"/>
  <c r="F10" i="36"/>
  <c r="AA10" i="36"/>
  <c r="Q9" i="36"/>
  <c r="Z9" i="36" s="1"/>
  <c r="H9" i="36"/>
  <c r="AB9" i="36" s="1"/>
  <c r="J8" i="36"/>
  <c r="AC8" i="36" s="1"/>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F27" i="35"/>
  <c r="AA27" i="35" s="1"/>
  <c r="J22" i="35"/>
  <c r="AC22" i="35"/>
  <c r="B101" i="35"/>
  <c r="H36" i="35"/>
  <c r="B99" i="35"/>
  <c r="B97" i="35"/>
  <c r="H34" i="35" s="1"/>
  <c r="B77" i="35"/>
  <c r="B75" i="35"/>
  <c r="J24" i="35" s="1"/>
  <c r="W24" i="35" s="1"/>
  <c r="B73" i="35"/>
  <c r="B57" i="35"/>
  <c r="B61" i="35"/>
  <c r="B59" i="35"/>
  <c r="B131" i="34"/>
  <c r="B129" i="34"/>
  <c r="B127" i="34"/>
  <c r="B99" i="34"/>
  <c r="B97" i="34"/>
  <c r="B95" i="34"/>
  <c r="B93" i="34"/>
  <c r="B75" i="34"/>
  <c r="B73" i="34"/>
  <c r="B71" i="34"/>
  <c r="B130" i="33"/>
  <c r="B128" i="33"/>
  <c r="H45" i="33"/>
  <c r="B126" i="33"/>
  <c r="B98" i="33"/>
  <c r="F31" i="33"/>
  <c r="B96" i="33"/>
  <c r="H30" i="33" s="1"/>
  <c r="U30" i="33" s="1"/>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c r="F70" i="35"/>
  <c r="G70" i="35" s="1"/>
  <c r="D66" i="35"/>
  <c r="E66" i="35" s="1"/>
  <c r="F66" i="35"/>
  <c r="G66" i="35" s="1"/>
  <c r="D64" i="35"/>
  <c r="E64" i="35"/>
  <c r="F64" i="35" s="1"/>
  <c r="G64" i="35" s="1"/>
  <c r="F56" i="35"/>
  <c r="G56" i="35" s="1"/>
  <c r="H56" i="35" s="1"/>
  <c r="I56" i="35" s="1"/>
  <c r="C53" i="35"/>
  <c r="H9" i="35" s="1"/>
  <c r="AB9" i="35"/>
  <c r="P39" i="35"/>
  <c r="P38" i="35"/>
  <c r="V37" i="35"/>
  <c r="T37" i="35"/>
  <c r="R37" i="35"/>
  <c r="P37" i="35"/>
  <c r="Q36" i="35"/>
  <c r="Z36" i="35" s="1"/>
  <c r="J36" i="35"/>
  <c r="AC36" i="35" s="1"/>
  <c r="Q35" i="35"/>
  <c r="Z35" i="35"/>
  <c r="Q34" i="35"/>
  <c r="Z34" i="35"/>
  <c r="J34" i="35"/>
  <c r="AC34" i="35" s="1"/>
  <c r="AB34" i="35"/>
  <c r="F34" i="35"/>
  <c r="AA34" i="35"/>
  <c r="Q33" i="35"/>
  <c r="Z33" i="35" s="1"/>
  <c r="Q32" i="35"/>
  <c r="Z32" i="35"/>
  <c r="H32" i="35"/>
  <c r="AB32" i="35" s="1"/>
  <c r="F32" i="35"/>
  <c r="AA32" i="35" s="1"/>
  <c r="Q31" i="35"/>
  <c r="Z31" i="35"/>
  <c r="AB31" i="35"/>
  <c r="AA31" i="35"/>
  <c r="Q30" i="35"/>
  <c r="Z30" i="35" s="1"/>
  <c r="Q29" i="35"/>
  <c r="Z29" i="35" s="1"/>
  <c r="Q28" i="35"/>
  <c r="Z28" i="35"/>
  <c r="J28" i="35"/>
  <c r="H28" i="35"/>
  <c r="F28" i="35"/>
  <c r="S28" i="35" s="1"/>
  <c r="Q27" i="35"/>
  <c r="Z27" i="35"/>
  <c r="Q26" i="35"/>
  <c r="Z26" i="35" s="1"/>
  <c r="Q25" i="35"/>
  <c r="Z25" i="35"/>
  <c r="Q24" i="35"/>
  <c r="Z24" i="35" s="1"/>
  <c r="Q23" i="35"/>
  <c r="Z23" i="35" s="1"/>
  <c r="J23" i="35"/>
  <c r="AC23" i="35"/>
  <c r="Q22" i="35"/>
  <c r="Z22" i="35"/>
  <c r="Q20" i="35"/>
  <c r="Z20" i="35" s="1"/>
  <c r="Q16" i="35"/>
  <c r="Z16" i="35" s="1"/>
  <c r="Q14" i="35"/>
  <c r="Z14" i="35"/>
  <c r="Q13" i="35"/>
  <c r="Z13" i="35" s="1"/>
  <c r="Q12" i="35"/>
  <c r="Z12" i="35"/>
  <c r="F12" i="35"/>
  <c r="AA12" i="35" s="1"/>
  <c r="Q11" i="35"/>
  <c r="Z11" i="35" s="1"/>
  <c r="Q10" i="35"/>
  <c r="Z10" i="35" s="1"/>
  <c r="Q9" i="35"/>
  <c r="Z9" i="35" s="1"/>
  <c r="J9" i="35"/>
  <c r="W9" i="35" s="1"/>
  <c r="F9" i="35"/>
  <c r="AA9" i="35"/>
  <c r="J8" i="35"/>
  <c r="H8" i="35"/>
  <c r="F8" i="35"/>
  <c r="S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c r="H92" i="34" s="1"/>
  <c r="I92" i="34" s="1"/>
  <c r="J92" i="34" s="1"/>
  <c r="K92" i="34" s="1"/>
  <c r="L92" i="34" s="1"/>
  <c r="M92" i="34" s="1"/>
  <c r="B91" i="34"/>
  <c r="H28" i="34" s="1"/>
  <c r="AB28" i="34" s="1"/>
  <c r="B89" i="34"/>
  <c r="J27" i="34" s="1"/>
  <c r="D88" i="34"/>
  <c r="E88" i="34"/>
  <c r="F88" i="34"/>
  <c r="G88" i="34"/>
  <c r="H88" i="34" s="1"/>
  <c r="I88" i="34" s="1"/>
  <c r="J88" i="34" s="1"/>
  <c r="K88" i="34" s="1"/>
  <c r="L88" i="34" s="1"/>
  <c r="M88" i="34" s="1"/>
  <c r="D86" i="34"/>
  <c r="E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H44" i="34"/>
  <c r="AB44" i="34"/>
  <c r="Q43" i="34"/>
  <c r="Z43" i="34" s="1"/>
  <c r="F43" i="34"/>
  <c r="AA43" i="34" s="1"/>
  <c r="Q42" i="34"/>
  <c r="Z42" i="34"/>
  <c r="Q41" i="34"/>
  <c r="Z41" i="34"/>
  <c r="Q40" i="34"/>
  <c r="Z40" i="34" s="1"/>
  <c r="F40" i="34"/>
  <c r="S40" i="34" s="1"/>
  <c r="Q39" i="34"/>
  <c r="Z39" i="34"/>
  <c r="J39" i="34"/>
  <c r="H39" i="34"/>
  <c r="U39" i="34" s="1"/>
  <c r="F39" i="34"/>
  <c r="Q38" i="34"/>
  <c r="Z38" i="34" s="1"/>
  <c r="Q37" i="34"/>
  <c r="Z37" i="34"/>
  <c r="Q36" i="34"/>
  <c r="Z36" i="34"/>
  <c r="Q35" i="34"/>
  <c r="Z35" i="34" s="1"/>
  <c r="Q34" i="34"/>
  <c r="Z34" i="34"/>
  <c r="J34" i="34"/>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c r="F81" i="33" s="1"/>
  <c r="G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c r="J42" i="33"/>
  <c r="AC42" i="33" s="1"/>
  <c r="W41" i="33"/>
  <c r="Q41" i="33"/>
  <c r="Z41" i="33"/>
  <c r="Q40" i="33"/>
  <c r="Z40" i="33"/>
  <c r="J40" i="33"/>
  <c r="AC40" i="33"/>
  <c r="H40" i="33"/>
  <c r="AA40" i="33"/>
  <c r="Q39" i="33"/>
  <c r="Z39" i="33"/>
  <c r="J39" i="33"/>
  <c r="AC39" i="33"/>
  <c r="Q38" i="33"/>
  <c r="Z38" i="33"/>
  <c r="J38" i="33"/>
  <c r="W38" i="33" s="1"/>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W8" i="33"/>
  <c r="H8" i="33"/>
  <c r="F8" i="33"/>
  <c r="C7" i="33"/>
  <c r="C58" i="33"/>
  <c r="M102" i="21"/>
  <c r="D102" i="21"/>
  <c r="E102" i="21"/>
  <c r="F102" i="21"/>
  <c r="G102" i="21"/>
  <c r="H102" i="21"/>
  <c r="I102" i="21"/>
  <c r="J102" i="21"/>
  <c r="K102" i="21"/>
  <c r="L102" i="21"/>
  <c r="C102" i="21"/>
  <c r="C63" i="21"/>
  <c r="G18" i="20"/>
  <c r="B87" i="46" s="1"/>
  <c r="C25" i="40"/>
  <c r="G16" i="20"/>
  <c r="B81" i="46"/>
  <c r="G15" i="20"/>
  <c r="B80" i="46" s="1"/>
  <c r="C24" i="20"/>
  <c r="B72" i="46" s="1"/>
  <c r="C21" i="20"/>
  <c r="B73" i="46" s="1"/>
  <c r="C20" i="20"/>
  <c r="B76" i="46" s="1"/>
  <c r="C18" i="20"/>
  <c r="C17" i="20"/>
  <c r="B58" i="46" s="1"/>
  <c r="C16" i="20"/>
  <c r="B47" i="46"/>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J44" i="21" s="1"/>
  <c r="AC44" i="21" s="1"/>
  <c r="B98" i="21"/>
  <c r="H31" i="21" s="1"/>
  <c r="B96" i="21"/>
  <c r="B94" i="21"/>
  <c r="B92" i="21"/>
  <c r="B90" i="21"/>
  <c r="B74" i="21"/>
  <c r="B72" i="21"/>
  <c r="B70" i="21"/>
  <c r="F12" i="21"/>
  <c r="C7" i="21"/>
  <c r="C58" i="21" s="1"/>
  <c r="D58" i="21" s="1"/>
  <c r="E58" i="21" s="1"/>
  <c r="F58" i="21" s="1"/>
  <c r="C19" i="21"/>
  <c r="C17" i="21"/>
  <c r="C23" i="21"/>
  <c r="Q9" i="21"/>
  <c r="Z9" i="21" s="1"/>
  <c r="Q10" i="21"/>
  <c r="Z10" i="21"/>
  <c r="Q11" i="21"/>
  <c r="Z11" i="21" s="1"/>
  <c r="Q12" i="21"/>
  <c r="Z12" i="21" s="1"/>
  <c r="Q13" i="21"/>
  <c r="Z13" i="21"/>
  <c r="Q14" i="21"/>
  <c r="Z14" i="21" s="1"/>
  <c r="Q15" i="21"/>
  <c r="Z15" i="21" s="1"/>
  <c r="Q17" i="21"/>
  <c r="Z17" i="21"/>
  <c r="Q19" i="21"/>
  <c r="Z19" i="21" s="1"/>
  <c r="Q23" i="21"/>
  <c r="Z23" i="21" s="1"/>
  <c r="Q25" i="21"/>
  <c r="Z25" i="21"/>
  <c r="Q26" i="21"/>
  <c r="Z26" i="21" s="1"/>
  <c r="Q27" i="21"/>
  <c r="Z27" i="21" s="1"/>
  <c r="Q28" i="21"/>
  <c r="Z28" i="21"/>
  <c r="Q29" i="21"/>
  <c r="Z29" i="21" s="1"/>
  <c r="Q30" i="21"/>
  <c r="Z30" i="21" s="1"/>
  <c r="Q31" i="21"/>
  <c r="Z31" i="21"/>
  <c r="Q32" i="21"/>
  <c r="Z32" i="21" s="1"/>
  <c r="Q33" i="21"/>
  <c r="Z33" i="21" s="1"/>
  <c r="Q34" i="21"/>
  <c r="Z34" i="21"/>
  <c r="J35" i="21"/>
  <c r="Q35" i="21"/>
  <c r="Z35" i="21"/>
  <c r="Q36" i="21"/>
  <c r="Z36" i="21"/>
  <c r="Q37" i="21"/>
  <c r="Z37" i="21" s="1"/>
  <c r="J38" i="21"/>
  <c r="W38" i="21" s="1"/>
  <c r="Q38" i="21"/>
  <c r="Z38" i="21" s="1"/>
  <c r="J39" i="21"/>
  <c r="AC39" i="21" s="1"/>
  <c r="Q39" i="21"/>
  <c r="Z39" i="21"/>
  <c r="Q40" i="21"/>
  <c r="Z40" i="21"/>
  <c r="Q41" i="21"/>
  <c r="Z41" i="21"/>
  <c r="Q42" i="21"/>
  <c r="Z42" i="21"/>
  <c r="J43" i="21"/>
  <c r="AC43" i="21" s="1"/>
  <c r="Q43" i="21"/>
  <c r="Z43" i="21" s="1"/>
  <c r="Q44" i="21"/>
  <c r="Z44" i="2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H35" i="21"/>
  <c r="AB35" i="21" s="1"/>
  <c r="J8" i="21"/>
  <c r="W8" i="21" s="1"/>
  <c r="AC8" i="21"/>
  <c r="H8" i="21"/>
  <c r="H39" i="21"/>
  <c r="AB39" i="21" s="1"/>
  <c r="J34" i="21"/>
  <c r="W34" i="21" s="1"/>
  <c r="H36" i="21"/>
  <c r="U36" i="21" s="1"/>
  <c r="F35" i="21"/>
  <c r="AA35" i="21" s="1"/>
  <c r="H26" i="21"/>
  <c r="U26" i="21" s="1"/>
  <c r="J12" i="21"/>
  <c r="H12" i="21"/>
  <c r="U12" i="21"/>
  <c r="J26" i="21"/>
  <c r="W26" i="21" s="1"/>
  <c r="F26" i="21"/>
  <c r="AA26" i="21"/>
  <c r="AB41" i="21"/>
  <c r="AA41" i="21"/>
  <c r="W41" i="21"/>
  <c r="S10" i="39"/>
  <c r="E103" i="37"/>
  <c r="F103" i="37" s="1"/>
  <c r="G103" i="37" s="1"/>
  <c r="H103" i="37" s="1"/>
  <c r="F39" i="37"/>
  <c r="S39" i="37"/>
  <c r="F29" i="36"/>
  <c r="AA29" i="36"/>
  <c r="F16" i="36"/>
  <c r="AA16" i="36" s="1"/>
  <c r="U22" i="36"/>
  <c r="W23" i="36"/>
  <c r="W22" i="36"/>
  <c r="U26" i="36"/>
  <c r="J33" i="36"/>
  <c r="W33" i="36"/>
  <c r="AC27" i="35"/>
  <c r="U31" i="35"/>
  <c r="S34" i="35"/>
  <c r="W36" i="35"/>
  <c r="S31" i="35"/>
  <c r="U34" i="35"/>
  <c r="F36" i="34"/>
  <c r="S36" i="34"/>
  <c r="W9" i="34"/>
  <c r="S34" i="34"/>
  <c r="H39" i="33"/>
  <c r="AB39" i="33"/>
  <c r="U33" i="33"/>
  <c r="S40" i="33"/>
  <c r="S33" i="33"/>
  <c r="U38" i="33"/>
  <c r="S8" i="21"/>
  <c r="H39" i="37"/>
  <c r="AB39" i="37" s="1"/>
  <c r="S10" i="40"/>
  <c r="W10" i="40"/>
  <c r="S11" i="40"/>
  <c r="U11" i="40"/>
  <c r="S36" i="40"/>
  <c r="U36" i="40"/>
  <c r="S36" i="39"/>
  <c r="AC40" i="21"/>
  <c r="C29" i="39"/>
  <c r="U36" i="39"/>
  <c r="S42" i="39"/>
  <c r="H32" i="33"/>
  <c r="AB32" i="33" s="1"/>
  <c r="F86" i="40"/>
  <c r="J27" i="36"/>
  <c r="W27" i="36"/>
  <c r="J34" i="36"/>
  <c r="W34" i="36"/>
  <c r="J30" i="35"/>
  <c r="W30" i="35"/>
  <c r="F22" i="35"/>
  <c r="AA22" i="35"/>
  <c r="H10" i="35"/>
  <c r="U10" i="35"/>
  <c r="U29" i="36"/>
  <c r="J29" i="36"/>
  <c r="AC29" i="36"/>
  <c r="F12" i="36"/>
  <c r="S12" i="36"/>
  <c r="F34" i="36"/>
  <c r="AA34" i="36" s="1"/>
  <c r="S10" i="36"/>
  <c r="AB8" i="36"/>
  <c r="H16" i="35"/>
  <c r="U16" i="35"/>
  <c r="H33" i="35"/>
  <c r="AB33" i="35" s="1"/>
  <c r="W8" i="35"/>
  <c r="AC8" i="35"/>
  <c r="F35" i="37"/>
  <c r="E101" i="37"/>
  <c r="F101" i="37"/>
  <c r="G101" i="37" s="1"/>
  <c r="H101" i="37" s="1"/>
  <c r="I101" i="37" s="1"/>
  <c r="J101" i="37" s="1"/>
  <c r="K101" i="37" s="1"/>
  <c r="L101" i="37" s="1"/>
  <c r="M101" i="37" s="1"/>
  <c r="J34" i="37"/>
  <c r="W34" i="37"/>
  <c r="AA39" i="37"/>
  <c r="H43" i="34"/>
  <c r="U42" i="34"/>
  <c r="E114" i="34"/>
  <c r="H36" i="34"/>
  <c r="U36" i="34"/>
  <c r="F37" i="34"/>
  <c r="AA37" i="34"/>
  <c r="F33" i="34"/>
  <c r="S33" i="34" s="1"/>
  <c r="F19" i="34"/>
  <c r="AA19" i="34" s="1"/>
  <c r="J10" i="34"/>
  <c r="AC10" i="34"/>
  <c r="U9" i="34"/>
  <c r="W8" i="34"/>
  <c r="S38" i="33"/>
  <c r="E113" i="33"/>
  <c r="F36" i="33"/>
  <c r="S36" i="33" s="1"/>
  <c r="F19" i="33"/>
  <c r="S19" i="33" s="1"/>
  <c r="J19" i="33"/>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c r="S37" i="33"/>
  <c r="W43" i="34"/>
  <c r="AC42" i="34"/>
  <c r="W42" i="34"/>
  <c r="AA42" i="34"/>
  <c r="S42" i="34"/>
  <c r="AC38" i="34"/>
  <c r="W38" i="34"/>
  <c r="AA38" i="34"/>
  <c r="J37" i="33"/>
  <c r="W37" i="33"/>
  <c r="J44" i="34"/>
  <c r="AC44" i="34" s="1"/>
  <c r="F44" i="34"/>
  <c r="S44" i="34"/>
  <c r="J10" i="35"/>
  <c r="W10" i="35" s="1"/>
  <c r="AL5" i="3"/>
  <c r="BQ13" i="3"/>
  <c r="BL572" i="3"/>
  <c r="F14" i="21"/>
  <c r="AA14" i="21" s="1"/>
  <c r="H28" i="21"/>
  <c r="AB28" i="21" s="1"/>
  <c r="F28" i="21"/>
  <c r="J28" i="21"/>
  <c r="AC28" i="21" s="1"/>
  <c r="H30" i="21"/>
  <c r="U30" i="21" s="1"/>
  <c r="F30" i="21"/>
  <c r="S30" i="21" s="1"/>
  <c r="J30" i="21"/>
  <c r="H44" i="21"/>
  <c r="U44" i="21" s="1"/>
  <c r="F44" i="21"/>
  <c r="AA44" i="21" s="1"/>
  <c r="H46" i="21"/>
  <c r="AB46" i="21" s="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AB10" i="36" s="1"/>
  <c r="F28" i="36"/>
  <c r="S28" i="36"/>
  <c r="F27" i="36"/>
  <c r="S27" i="36" s="1"/>
  <c r="H27" i="21"/>
  <c r="AB27" i="21" s="1"/>
  <c r="J27" i="21"/>
  <c r="W27" i="21" s="1"/>
  <c r="F27" i="21"/>
  <c r="AA27" i="21" s="1"/>
  <c r="J29" i="21"/>
  <c r="AC29" i="21" s="1"/>
  <c r="J31" i="21"/>
  <c r="AC31" i="21" s="1"/>
  <c r="F31" i="21"/>
  <c r="S31" i="21" s="1"/>
  <c r="J45" i="21"/>
  <c r="W45" i="21"/>
  <c r="F45" i="21"/>
  <c r="AA45" i="21" s="1"/>
  <c r="H45" i="21"/>
  <c r="U45" i="21" s="1"/>
  <c r="J27" i="33"/>
  <c r="AC27" i="33"/>
  <c r="F27" i="33"/>
  <c r="S27" i="33"/>
  <c r="F13" i="33"/>
  <c r="AA13" i="33" s="1"/>
  <c r="J29" i="33"/>
  <c r="W29" i="33"/>
  <c r="J31" i="33"/>
  <c r="AC31" i="33"/>
  <c r="H31" i="33"/>
  <c r="U31" i="33" s="1"/>
  <c r="J45" i="33"/>
  <c r="F45" i="33"/>
  <c r="S45" i="33"/>
  <c r="F11" i="35"/>
  <c r="S11" i="35" s="1"/>
  <c r="H28" i="36"/>
  <c r="U28" i="36" s="1"/>
  <c r="J32" i="36"/>
  <c r="W11" i="36"/>
  <c r="H13" i="36"/>
  <c r="AB13" i="36"/>
  <c r="J13" i="36"/>
  <c r="AC13" i="36" s="1"/>
  <c r="F13" i="36"/>
  <c r="S13" i="36"/>
  <c r="J29" i="37"/>
  <c r="W29" i="37" s="1"/>
  <c r="F29" i="37"/>
  <c r="AA29" i="37" s="1"/>
  <c r="AB36" i="37"/>
  <c r="F107" i="37"/>
  <c r="J37" i="37"/>
  <c r="AC37" i="37"/>
  <c r="H37" i="37"/>
  <c r="U37" i="37"/>
  <c r="H40" i="37"/>
  <c r="AB40" i="37" s="1"/>
  <c r="U40" i="37"/>
  <c r="J40" i="37"/>
  <c r="F40" i="37"/>
  <c r="AA40" i="37" s="1"/>
  <c r="H14" i="33"/>
  <c r="U14" i="33"/>
  <c r="F14" i="33"/>
  <c r="AA14" i="33" s="1"/>
  <c r="J14" i="33"/>
  <c r="AC14" i="33" s="1"/>
  <c r="AB30" i="33"/>
  <c r="F30" i="33"/>
  <c r="S30" i="33" s="1"/>
  <c r="H44" i="33"/>
  <c r="U44" i="33"/>
  <c r="J44" i="33"/>
  <c r="AC44" i="33"/>
  <c r="F44" i="33"/>
  <c r="S44" i="33"/>
  <c r="F46" i="33"/>
  <c r="S46" i="33" s="1"/>
  <c r="H13" i="34"/>
  <c r="U13" i="34"/>
  <c r="J13" i="34"/>
  <c r="W13" i="34"/>
  <c r="F13" i="34"/>
  <c r="AA13" i="34"/>
  <c r="F29" i="34"/>
  <c r="S29" i="34" s="1"/>
  <c r="H31" i="34"/>
  <c r="AB31" i="34" s="1"/>
  <c r="H45" i="34"/>
  <c r="U45" i="34"/>
  <c r="J45" i="34"/>
  <c r="W45" i="34"/>
  <c r="F45" i="34"/>
  <c r="AA45" i="34"/>
  <c r="F47" i="34"/>
  <c r="AA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J36" i="37"/>
  <c r="AC36" i="37" s="1"/>
  <c r="S46" i="21"/>
  <c r="AC30" i="21"/>
  <c r="W30" i="21"/>
  <c r="AB30" i="21"/>
  <c r="U36" i="37"/>
  <c r="AA27" i="33"/>
  <c r="AB27" i="33"/>
  <c r="G529" i="3"/>
  <c r="G521" i="3"/>
  <c r="G517" i="3"/>
  <c r="G513" i="3"/>
  <c r="G508" i="3"/>
  <c r="G499" i="3"/>
  <c r="G493" i="3"/>
  <c r="G485" i="3"/>
  <c r="G17" i="3"/>
  <c r="G565" i="3"/>
  <c r="G561" i="3"/>
  <c r="G557" i="3"/>
  <c r="G539" i="3"/>
  <c r="BL557" i="3"/>
  <c r="BL553" i="3"/>
  <c r="BL501" i="3"/>
  <c r="AZ501" i="3" s="1"/>
  <c r="BL491" i="3"/>
  <c r="BL483" i="3"/>
  <c r="G16" i="3"/>
  <c r="BL555" i="3"/>
  <c r="BL541" i="3"/>
  <c r="G518" i="3"/>
  <c r="G514" i="3"/>
  <c r="G510" i="3"/>
  <c r="BL503" i="3"/>
  <c r="BL485" i="3"/>
  <c r="G18" i="3"/>
  <c r="BA569" i="3"/>
  <c r="AZ569" i="3" s="1"/>
  <c r="BA561" i="3"/>
  <c r="AZ561" i="3" s="1"/>
  <c r="BA557" i="3"/>
  <c r="AZ557" i="3" s="1"/>
  <c r="BA555" i="3"/>
  <c r="AZ555" i="3"/>
  <c r="AZ541" i="3"/>
  <c r="BA509" i="3"/>
  <c r="BA501" i="3"/>
  <c r="BA493" i="3"/>
  <c r="BA572" i="3"/>
  <c r="AZ572" i="3" s="1"/>
  <c r="BA562" i="3"/>
  <c r="BA558" i="3"/>
  <c r="BA556" i="3"/>
  <c r="BA554" i="3"/>
  <c r="BA540" i="3"/>
  <c r="BA516" i="3"/>
  <c r="BA512" i="3"/>
  <c r="BA508" i="3"/>
  <c r="BA502" i="3"/>
  <c r="BA498" i="3"/>
  <c r="BA492" i="3"/>
  <c r="BA484" i="3"/>
  <c r="BA20" i="3"/>
  <c r="G562" i="3"/>
  <c r="G558" i="3"/>
  <c r="G556" i="3"/>
  <c r="G554" i="3"/>
  <c r="G550" i="3"/>
  <c r="G546" i="3"/>
  <c r="AC542" i="3"/>
  <c r="G542" i="3" s="1"/>
  <c r="BQ542" i="3"/>
  <c r="BQ568" i="3"/>
  <c r="BQ566" i="3"/>
  <c r="BQ564" i="3"/>
  <c r="BL564" i="3"/>
  <c r="BQ562" i="3"/>
  <c r="AZ562" i="3"/>
  <c r="BQ560" i="3"/>
  <c r="BQ558" i="3"/>
  <c r="BL558" i="3" s="1"/>
  <c r="AZ558" i="3" s="1"/>
  <c r="BQ556" i="3"/>
  <c r="BL556" i="3"/>
  <c r="AZ556" i="3"/>
  <c r="BQ554" i="3"/>
  <c r="BQ552" i="3"/>
  <c r="BL552" i="3" s="1"/>
  <c r="BQ550" i="3"/>
  <c r="BL550" i="3"/>
  <c r="BQ548" i="3"/>
  <c r="BQ546" i="3"/>
  <c r="BQ544" i="3"/>
  <c r="G544" i="3"/>
  <c r="G534" i="3"/>
  <c r="G526" i="3"/>
  <c r="G522" i="3"/>
  <c r="BQ540" i="3"/>
  <c r="BQ538" i="3"/>
  <c r="BQ536" i="3"/>
  <c r="BQ534" i="3"/>
  <c r="BL534" i="3"/>
  <c r="BQ532" i="3"/>
  <c r="BQ530" i="3"/>
  <c r="BQ528" i="3"/>
  <c r="BQ526" i="3"/>
  <c r="BL526" i="3"/>
  <c r="BQ524" i="3"/>
  <c r="BQ522" i="3"/>
  <c r="BQ520" i="3"/>
  <c r="BL520" i="3"/>
  <c r="BQ518" i="3"/>
  <c r="BL518" i="3" s="1"/>
  <c r="BQ516" i="3"/>
  <c r="BL516" i="3"/>
  <c r="BQ514" i="3"/>
  <c r="BL514" i="3"/>
  <c r="BQ512" i="3"/>
  <c r="BQ510" i="3"/>
  <c r="BL510" i="3" s="1"/>
  <c r="BQ508" i="3"/>
  <c r="AC506" i="3"/>
  <c r="G506" i="3"/>
  <c r="BQ506" i="3"/>
  <c r="G502" i="3"/>
  <c r="G498" i="3"/>
  <c r="BQ504" i="3"/>
  <c r="BQ502" i="3"/>
  <c r="BL502" i="3"/>
  <c r="AZ502" i="3" s="1"/>
  <c r="BQ500" i="3"/>
  <c r="BL500" i="3" s="1"/>
  <c r="BQ498" i="3"/>
  <c r="BL498" i="3" s="1"/>
  <c r="BQ496" i="3"/>
  <c r="AC494" i="3"/>
  <c r="BQ494" i="3"/>
  <c r="BL493" i="3"/>
  <c r="G492" i="3"/>
  <c r="G488" i="3"/>
  <c r="G484" i="3"/>
  <c r="BQ492" i="3"/>
  <c r="BL492" i="3" s="1"/>
  <c r="BQ490" i="3"/>
  <c r="BQ488" i="3"/>
  <c r="BQ486" i="3"/>
  <c r="BQ484" i="3"/>
  <c r="BL484" i="3" s="1"/>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c r="E125" i="33"/>
  <c r="F125" i="33"/>
  <c r="G125" i="33" s="1"/>
  <c r="H43" i="33"/>
  <c r="U43" i="33"/>
  <c r="H17" i="37"/>
  <c r="U17" i="37"/>
  <c r="F23" i="37"/>
  <c r="S23" i="37" s="1"/>
  <c r="AB27" i="37"/>
  <c r="F39" i="33"/>
  <c r="AA39" i="33" s="1"/>
  <c r="E123" i="33"/>
  <c r="F42" i="33"/>
  <c r="AA42" i="33" s="1"/>
  <c r="F22" i="36"/>
  <c r="S22" i="36"/>
  <c r="H35" i="34"/>
  <c r="U35" i="34" s="1"/>
  <c r="F41" i="34"/>
  <c r="S41" i="34"/>
  <c r="H41" i="34"/>
  <c r="U41" i="34" s="1"/>
  <c r="J41" i="34"/>
  <c r="W41" i="34" s="1"/>
  <c r="F10" i="35"/>
  <c r="S10" i="35" s="1"/>
  <c r="AA10" i="35"/>
  <c r="F24" i="35"/>
  <c r="AA24" i="35" s="1"/>
  <c r="H23" i="37"/>
  <c r="AB23" i="37" s="1"/>
  <c r="J32" i="37"/>
  <c r="AC32" i="37"/>
  <c r="F36" i="37"/>
  <c r="S36" i="37" s="1"/>
  <c r="F37" i="37"/>
  <c r="AA37" i="37"/>
  <c r="F123" i="33"/>
  <c r="G123" i="33" s="1"/>
  <c r="H123" i="33" s="1"/>
  <c r="I123" i="33" s="1"/>
  <c r="J123" i="33" s="1"/>
  <c r="K123" i="33" s="1"/>
  <c r="L123" i="33" s="1"/>
  <c r="M123" i="33" s="1"/>
  <c r="H42" i="33"/>
  <c r="U42" i="33" s="1"/>
  <c r="J43" i="33"/>
  <c r="AC43" i="33"/>
  <c r="J23" i="37"/>
  <c r="W23" i="37"/>
  <c r="F17" i="37"/>
  <c r="AA17" i="37" s="1"/>
  <c r="AB43" i="33"/>
  <c r="D3" i="21"/>
  <c r="AC33" i="36"/>
  <c r="W23" i="35"/>
  <c r="AC23" i="37"/>
  <c r="S27" i="37"/>
  <c r="AC8" i="37"/>
  <c r="S25" i="37"/>
  <c r="AB8" i="34"/>
  <c r="AC37" i="33"/>
  <c r="S39" i="33"/>
  <c r="F43" i="33"/>
  <c r="AA43" i="33" s="1"/>
  <c r="AA23" i="37"/>
  <c r="AB44" i="33"/>
  <c r="G107" i="37"/>
  <c r="H107" i="37"/>
  <c r="I107" i="37" s="1"/>
  <c r="J107" i="37" s="1"/>
  <c r="K107" i="37" s="1"/>
  <c r="L107" i="37" s="1"/>
  <c r="M107" i="37" s="1"/>
  <c r="H19" i="34"/>
  <c r="AB19" i="34"/>
  <c r="J10" i="37"/>
  <c r="W10" i="37" s="1"/>
  <c r="F36" i="35"/>
  <c r="S36" i="35"/>
  <c r="J9" i="37"/>
  <c r="W9" i="37"/>
  <c r="H9" i="37"/>
  <c r="U9" i="37" s="1"/>
  <c r="F9" i="37"/>
  <c r="S9" i="37" s="1"/>
  <c r="F11" i="37"/>
  <c r="S11" i="37" s="1"/>
  <c r="J12" i="37"/>
  <c r="AC12" i="37" s="1"/>
  <c r="H12" i="37"/>
  <c r="F12" i="37"/>
  <c r="AA12" i="37"/>
  <c r="H15" i="37"/>
  <c r="U15" i="37" s="1"/>
  <c r="E94" i="37"/>
  <c r="F94" i="37" s="1"/>
  <c r="G94" i="37" s="1"/>
  <c r="H94" i="37" s="1"/>
  <c r="I94" i="37" s="1"/>
  <c r="J94" i="37" s="1"/>
  <c r="F31" i="37"/>
  <c r="S31" i="37" s="1"/>
  <c r="K94" i="37"/>
  <c r="L94" i="37" s="1"/>
  <c r="M94" i="37" s="1"/>
  <c r="H31" i="37"/>
  <c r="AB31" i="37"/>
  <c r="J15" i="37"/>
  <c r="W15" i="37"/>
  <c r="AB10" i="37"/>
  <c r="J11" i="37"/>
  <c r="W11" i="37"/>
  <c r="U31" i="37"/>
  <c r="E90" i="40"/>
  <c r="F90" i="40" s="1"/>
  <c r="G90" i="40" s="1"/>
  <c r="F21" i="40"/>
  <c r="S21" i="40" s="1"/>
  <c r="W36" i="40"/>
  <c r="J21" i="40"/>
  <c r="AC21" i="40" s="1"/>
  <c r="S27" i="31"/>
  <c r="AZ540" i="3"/>
  <c r="G483" i="3"/>
  <c r="G515" i="3"/>
  <c r="G507" i="3"/>
  <c r="G501" i="3"/>
  <c r="BA15" i="3"/>
  <c r="BL17" i="3"/>
  <c r="BL15" i="3"/>
  <c r="BA14" i="3"/>
  <c r="AZ14" i="3" s="1"/>
  <c r="J57" i="39"/>
  <c r="H13" i="40"/>
  <c r="U13" i="40"/>
  <c r="H12" i="48"/>
  <c r="I4" i="4"/>
  <c r="K141" i="21"/>
  <c r="K143" i="21"/>
  <c r="K144" i="21"/>
  <c r="I59" i="40"/>
  <c r="C59" i="40"/>
  <c r="I60" i="40"/>
  <c r="C60" i="40" s="1"/>
  <c r="G297" i="3"/>
  <c r="BL298" i="3"/>
  <c r="G299" i="3"/>
  <c r="BL300" i="3"/>
  <c r="BA302" i="3"/>
  <c r="BA303" i="3"/>
  <c r="BL303" i="3"/>
  <c r="AZ303" i="3" s="1"/>
  <c r="G304" i="3"/>
  <c r="BA305" i="3"/>
  <c r="AZ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BL123" i="3"/>
  <c r="AZ123" i="3" s="1"/>
  <c r="G124" i="3"/>
  <c r="BA126" i="3"/>
  <c r="AZ126" i="3" s="1"/>
  <c r="BL127" i="3"/>
  <c r="G128" i="3"/>
  <c r="BA130" i="3"/>
  <c r="AZ130" i="3" s="1"/>
  <c r="BL131" i="3"/>
  <c r="AZ131" i="3" s="1"/>
  <c r="G132" i="3"/>
  <c r="BA134" i="3"/>
  <c r="AZ134" i="3" s="1"/>
  <c r="BL135" i="3"/>
  <c r="G136" i="3"/>
  <c r="BA138" i="3"/>
  <c r="AZ138" i="3"/>
  <c r="BL139" i="3"/>
  <c r="G140" i="3"/>
  <c r="BA142" i="3"/>
  <c r="AZ142" i="3" s="1"/>
  <c r="BL143" i="3"/>
  <c r="G144" i="3"/>
  <c r="BA146" i="3"/>
  <c r="AZ146" i="3" s="1"/>
  <c r="BL147" i="3"/>
  <c r="G148" i="3"/>
  <c r="BA150" i="3"/>
  <c r="AZ150" i="3"/>
  <c r="BL151" i="3"/>
  <c r="AZ151" i="3" s="1"/>
  <c r="BA153" i="3"/>
  <c r="AZ153" i="3"/>
  <c r="BL154" i="3"/>
  <c r="AZ154" i="3" s="1"/>
  <c r="G155" i="3"/>
  <c r="BA157" i="3"/>
  <c r="AZ157" i="3" s="1"/>
  <c r="BL158" i="3"/>
  <c r="G159" i="3"/>
  <c r="BA161" i="3"/>
  <c r="AZ161" i="3"/>
  <c r="BL162" i="3"/>
  <c r="G163" i="3"/>
  <c r="BA165" i="3"/>
  <c r="AZ165" i="3"/>
  <c r="BL166" i="3"/>
  <c r="G167" i="3"/>
  <c r="BA169" i="3"/>
  <c r="AZ169" i="3" s="1"/>
  <c r="BL170" i="3"/>
  <c r="G171" i="3"/>
  <c r="BA173" i="3"/>
  <c r="AZ173" i="3"/>
  <c r="BL174" i="3"/>
  <c r="G175" i="3"/>
  <c r="BA178" i="3"/>
  <c r="AZ178" i="3"/>
  <c r="BL179" i="3"/>
  <c r="G180" i="3"/>
  <c r="AZ23" i="3"/>
  <c r="AZ31" i="3"/>
  <c r="AZ35" i="3"/>
  <c r="AZ51" i="3"/>
  <c r="AZ55" i="3"/>
  <c r="G537" i="3"/>
  <c r="BL181" i="3"/>
  <c r="AZ181" i="3" s="1"/>
  <c r="G182" i="3"/>
  <c r="BA184" i="3"/>
  <c r="AZ184" i="3"/>
  <c r="BL185" i="3"/>
  <c r="G186" i="3"/>
  <c r="BA188" i="3"/>
  <c r="AZ188" i="3" s="1"/>
  <c r="BL189" i="3"/>
  <c r="AZ189" i="3"/>
  <c r="G190" i="3"/>
  <c r="BA192" i="3"/>
  <c r="AZ192" i="3" s="1"/>
  <c r="BL193" i="3"/>
  <c r="AZ193" i="3" s="1"/>
  <c r="G194" i="3"/>
  <c r="BA196" i="3"/>
  <c r="AZ196" i="3"/>
  <c r="BL197" i="3"/>
  <c r="G198" i="3"/>
  <c r="BA200" i="3"/>
  <c r="AZ200" i="3" s="1"/>
  <c r="BL201" i="3"/>
  <c r="AZ70" i="3"/>
  <c r="AZ74" i="3"/>
  <c r="AZ82" i="3"/>
  <c r="AZ185" i="3"/>
  <c r="AZ90" i="3"/>
  <c r="AZ94" i="3"/>
  <c r="AZ102" i="3"/>
  <c r="AZ106" i="3"/>
  <c r="AZ110" i="3"/>
  <c r="G491" i="3"/>
  <c r="BA298" i="3"/>
  <c r="AZ298" i="3" s="1"/>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AZ347" i="3" s="1"/>
  <c r="BL347" i="3"/>
  <c r="G348" i="3"/>
  <c r="G351" i="3"/>
  <c r="BL352" i="3"/>
  <c r="BA354" i="3"/>
  <c r="BA355" i="3"/>
  <c r="AZ355" i="3" s="1"/>
  <c r="BL355" i="3"/>
  <c r="G356"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8" i="3"/>
  <c r="AZ162" i="3"/>
  <c r="AZ170" i="3"/>
  <c r="AZ174" i="3"/>
  <c r="AZ183" i="3"/>
  <c r="AZ187" i="3"/>
  <c r="AZ191" i="3"/>
  <c r="AZ195" i="3"/>
  <c r="AZ199" i="3"/>
  <c r="G523" i="3"/>
  <c r="BL297" i="3"/>
  <c r="AZ297" i="3"/>
  <c r="G298" i="3"/>
  <c r="BA300" i="3"/>
  <c r="BL301" i="3"/>
  <c r="G302" i="3"/>
  <c r="BA304" i="3"/>
  <c r="AZ304" i="3"/>
  <c r="BL305" i="3"/>
  <c r="G306" i="3"/>
  <c r="BA308" i="3"/>
  <c r="AZ308" i="3" s="1"/>
  <c r="BL309" i="3"/>
  <c r="G310" i="3"/>
  <c r="BA310" i="3"/>
  <c r="AZ310" i="3" s="1"/>
  <c r="BL311" i="3"/>
  <c r="G312" i="3"/>
  <c r="BA312" i="3"/>
  <c r="BL313" i="3"/>
  <c r="G314" i="3"/>
  <c r="BA314" i="3"/>
  <c r="BL315" i="3"/>
  <c r="G316" i="3"/>
  <c r="BA316" i="3"/>
  <c r="AZ316" i="3" s="1"/>
  <c r="BL317" i="3"/>
  <c r="G318" i="3"/>
  <c r="BA320" i="3"/>
  <c r="AZ320" i="3" s="1"/>
  <c r="BL321" i="3"/>
  <c r="AZ321" i="3" s="1"/>
  <c r="G322" i="3"/>
  <c r="BA324" i="3"/>
  <c r="AZ324" i="3" s="1"/>
  <c r="BL325" i="3"/>
  <c r="G326" i="3"/>
  <c r="BA328" i="3"/>
  <c r="AZ328" i="3" s="1"/>
  <c r="BL329" i="3"/>
  <c r="AZ329" i="3" s="1"/>
  <c r="G330" i="3"/>
  <c r="BA332" i="3"/>
  <c r="BL333" i="3"/>
  <c r="G334" i="3"/>
  <c r="BA336" i="3"/>
  <c r="AZ336" i="3" s="1"/>
  <c r="BL337" i="3"/>
  <c r="G338" i="3"/>
  <c r="BA340" i="3"/>
  <c r="AZ340" i="3" s="1"/>
  <c r="BL341" i="3"/>
  <c r="G342" i="3"/>
  <c r="BA344" i="3"/>
  <c r="BL345" i="3"/>
  <c r="AZ345" i="3" s="1"/>
  <c r="G346" i="3"/>
  <c r="BA348" i="3"/>
  <c r="BL349" i="3"/>
  <c r="G350" i="3"/>
  <c r="BA352" i="3"/>
  <c r="AZ352" i="3" s="1"/>
  <c r="BL353" i="3"/>
  <c r="AZ353" i="3" s="1"/>
  <c r="G354" i="3"/>
  <c r="BA356" i="3"/>
  <c r="AZ356" i="3" s="1"/>
  <c r="BL357" i="3"/>
  <c r="AZ357" i="3" s="1"/>
  <c r="G358" i="3"/>
  <c r="BA362" i="3"/>
  <c r="AZ362" i="3"/>
  <c r="BL363" i="3"/>
  <c r="G364" i="3"/>
  <c r="BA366" i="3"/>
  <c r="AZ366" i="3" s="1"/>
  <c r="BL367" i="3"/>
  <c r="AZ205" i="3"/>
  <c r="AZ209" i="3"/>
  <c r="AZ213" i="3"/>
  <c r="AZ217" i="3"/>
  <c r="AZ221" i="3"/>
  <c r="AZ225" i="3"/>
  <c r="AZ229" i="3"/>
  <c r="AZ233" i="3"/>
  <c r="AZ237" i="3"/>
  <c r="AZ241" i="3"/>
  <c r="AZ245" i="3"/>
  <c r="AZ309" i="3"/>
  <c r="AZ337" i="3"/>
  <c r="AZ341" i="3"/>
  <c r="AZ349" i="3"/>
  <c r="AZ363" i="3"/>
  <c r="G368" i="3"/>
  <c r="BA370" i="3"/>
  <c r="AZ370" i="3" s="1"/>
  <c r="BL371" i="3"/>
  <c r="G372" i="3"/>
  <c r="BA374" i="3"/>
  <c r="AZ374" i="3"/>
  <c r="BL375" i="3"/>
  <c r="AZ375" i="3" s="1"/>
  <c r="G376" i="3"/>
  <c r="BA378" i="3"/>
  <c r="AZ378" i="3"/>
  <c r="BL379" i="3"/>
  <c r="AZ379" i="3"/>
  <c r="G380" i="3"/>
  <c r="BA382" i="3"/>
  <c r="AZ382" i="3" s="1"/>
  <c r="BL383" i="3"/>
  <c r="AZ383" i="3" s="1"/>
  <c r="G384" i="3"/>
  <c r="AZ249" i="3"/>
  <c r="AZ253" i="3"/>
  <c r="AZ257" i="3"/>
  <c r="AZ261" i="3"/>
  <c r="AZ265" i="3"/>
  <c r="AZ270" i="3"/>
  <c r="AZ282" i="3"/>
  <c r="AZ295" i="3"/>
  <c r="AZ311" i="3"/>
  <c r="AZ313" i="3"/>
  <c r="AZ315" i="3"/>
  <c r="AZ319" i="3"/>
  <c r="AZ331"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H7" i="48"/>
  <c r="F33"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W37" i="37"/>
  <c r="AA30" i="33"/>
  <c r="AA36" i="37"/>
  <c r="U32" i="33"/>
  <c r="AB17" i="37"/>
  <c r="AZ488" i="3"/>
  <c r="AZ508" i="3"/>
  <c r="AZ516" i="3"/>
  <c r="AC29" i="33"/>
  <c r="AA45" i="33"/>
  <c r="AC11" i="36"/>
  <c r="AC10" i="36"/>
  <c r="AB45" i="34"/>
  <c r="AC14" i="37"/>
  <c r="AB35" i="35"/>
  <c r="S25" i="35"/>
  <c r="W44" i="33"/>
  <c r="AC29" i="37"/>
  <c r="W32" i="36"/>
  <c r="AC32" i="36"/>
  <c r="U28" i="33"/>
  <c r="J33" i="34"/>
  <c r="AB36" i="34"/>
  <c r="J40" i="34"/>
  <c r="W40" i="34" s="1"/>
  <c r="F16" i="35"/>
  <c r="AA16" i="35"/>
  <c r="W42" i="33"/>
  <c r="J35" i="34"/>
  <c r="W35" i="34" s="1"/>
  <c r="F107" i="34"/>
  <c r="G107" i="34"/>
  <c r="H107" i="34" s="1"/>
  <c r="I107" i="34"/>
  <c r="J107" i="34" s="1"/>
  <c r="K107" i="34" s="1"/>
  <c r="L107" i="34" s="1"/>
  <c r="M107" i="34" s="1"/>
  <c r="S30" i="36"/>
  <c r="H16" i="36"/>
  <c r="AB16" i="36"/>
  <c r="I103" i="37"/>
  <c r="J103" i="37" s="1"/>
  <c r="K103" i="37" s="1"/>
  <c r="L103" i="37" s="1"/>
  <c r="M103" i="37" s="1"/>
  <c r="H35" i="37"/>
  <c r="AB35" i="37"/>
  <c r="S26" i="21"/>
  <c r="AB12" i="21"/>
  <c r="H32" i="21"/>
  <c r="U32" i="21" s="1"/>
  <c r="AB26" i="21"/>
  <c r="J32" i="21"/>
  <c r="AC32" i="21" s="1"/>
  <c r="G13" i="3"/>
  <c r="AC5" i="3"/>
  <c r="F40" i="21"/>
  <c r="S40" i="21" s="1"/>
  <c r="E119" i="21"/>
  <c r="F119" i="21" s="1"/>
  <c r="G119" i="21" s="1"/>
  <c r="H119" i="21" s="1"/>
  <c r="I119" i="21" s="1"/>
  <c r="J119" i="21" s="1"/>
  <c r="K119" i="21" s="1"/>
  <c r="L119" i="21" s="1"/>
  <c r="M119" i="21" s="1"/>
  <c r="AA8" i="33"/>
  <c r="S8" i="33"/>
  <c r="AC8" i="33"/>
  <c r="H66" i="33"/>
  <c r="F10" i="33"/>
  <c r="AA10" i="33"/>
  <c r="F11" i="33"/>
  <c r="S11" i="33"/>
  <c r="J15" i="33"/>
  <c r="H19" i="33"/>
  <c r="AB19" i="33"/>
  <c r="F32" i="33"/>
  <c r="AA32" i="33"/>
  <c r="J32" i="33"/>
  <c r="F35" i="33"/>
  <c r="AA35" i="33"/>
  <c r="AB39" i="34"/>
  <c r="F11" i="34"/>
  <c r="S11" i="34"/>
  <c r="E80" i="34"/>
  <c r="F80" i="34" s="1"/>
  <c r="G80" i="34" s="1"/>
  <c r="H17" i="34"/>
  <c r="AB17" i="34" s="1"/>
  <c r="AC27" i="34"/>
  <c r="W27" i="34"/>
  <c r="S12" i="35"/>
  <c r="AB28" i="35"/>
  <c r="U28" i="35"/>
  <c r="J13" i="33"/>
  <c r="W13" i="33"/>
  <c r="H13" i="33"/>
  <c r="U13" i="33" s="1"/>
  <c r="H29" i="33"/>
  <c r="AB29" i="33"/>
  <c r="F29" i="33"/>
  <c r="AA29" i="33"/>
  <c r="J12" i="34"/>
  <c r="AC12" i="34" s="1"/>
  <c r="H12" i="34"/>
  <c r="AB12" i="34"/>
  <c r="F12" i="34"/>
  <c r="S12" i="34"/>
  <c r="J14" i="34"/>
  <c r="W14" i="34" s="1"/>
  <c r="F14" i="34"/>
  <c r="S14" i="34"/>
  <c r="H14" i="34"/>
  <c r="AB14" i="34"/>
  <c r="H30" i="34"/>
  <c r="AB30" i="34" s="1"/>
  <c r="F30" i="34"/>
  <c r="S30" i="34"/>
  <c r="J30" i="34"/>
  <c r="W30" i="34"/>
  <c r="H32" i="34"/>
  <c r="AB32" i="34" s="1"/>
  <c r="F32" i="34"/>
  <c r="AA32" i="34"/>
  <c r="J32" i="34"/>
  <c r="W32" i="34"/>
  <c r="H46" i="34"/>
  <c r="AB46" i="34" s="1"/>
  <c r="F46" i="34"/>
  <c r="AA46" i="34"/>
  <c r="J46" i="34"/>
  <c r="AC46" i="34"/>
  <c r="H11" i="35"/>
  <c r="U11" i="35" s="1"/>
  <c r="J11" i="35"/>
  <c r="AC11" i="35" s="1"/>
  <c r="F96" i="37"/>
  <c r="H32" i="37"/>
  <c r="AB32" i="37"/>
  <c r="F43" i="39"/>
  <c r="S43" i="39" s="1"/>
  <c r="H43" i="39"/>
  <c r="U43" i="39" s="1"/>
  <c r="J43" i="39"/>
  <c r="AC43" i="39" s="1"/>
  <c r="F99" i="37"/>
  <c r="G99" i="37" s="1"/>
  <c r="AC27" i="37"/>
  <c r="U25" i="35"/>
  <c r="S45" i="34"/>
  <c r="U31" i="34"/>
  <c r="AC40" i="37"/>
  <c r="W40" i="37"/>
  <c r="W27" i="33"/>
  <c r="AC45" i="21"/>
  <c r="S14" i="21"/>
  <c r="AA44" i="34"/>
  <c r="AB29" i="35"/>
  <c r="U29" i="35"/>
  <c r="AC19" i="33"/>
  <c r="W19" i="33"/>
  <c r="U43" i="34"/>
  <c r="AB43" i="34"/>
  <c r="AC34" i="37"/>
  <c r="S35" i="37"/>
  <c r="AA35" i="37"/>
  <c r="AB10" i="35"/>
  <c r="AA32" i="21"/>
  <c r="U38" i="21"/>
  <c r="BA571" i="3"/>
  <c r="AZ571" i="3" s="1"/>
  <c r="BL570" i="3"/>
  <c r="BE5" i="3"/>
  <c r="AB40" i="33"/>
  <c r="U40" i="33"/>
  <c r="AA35" i="34"/>
  <c r="E90" i="34"/>
  <c r="F90" i="34" s="1"/>
  <c r="H27" i="34"/>
  <c r="AB27" i="34"/>
  <c r="AB8" i="35"/>
  <c r="U8" i="35"/>
  <c r="S9" i="35"/>
  <c r="J14" i="35"/>
  <c r="AC14" i="35" s="1"/>
  <c r="F14" i="35"/>
  <c r="AA14" i="35" s="1"/>
  <c r="H14" i="35"/>
  <c r="E80" i="35"/>
  <c r="E94" i="35"/>
  <c r="F94" i="35" s="1"/>
  <c r="G94" i="35"/>
  <c r="H94" i="35" s="1"/>
  <c r="I94" i="35" s="1"/>
  <c r="J94" i="35" s="1"/>
  <c r="K94" i="35" s="1"/>
  <c r="L94" i="35" s="1"/>
  <c r="M94" i="35" s="1"/>
  <c r="J32" i="35"/>
  <c r="AC32" i="35" s="1"/>
  <c r="W16" i="36"/>
  <c r="AC16" i="36"/>
  <c r="E78" i="36"/>
  <c r="F78" i="36"/>
  <c r="G78" i="36" s="1"/>
  <c r="H78" i="36"/>
  <c r="I78" i="36"/>
  <c r="J78" i="36" s="1"/>
  <c r="K78" i="36" s="1"/>
  <c r="L78" i="36" s="1"/>
  <c r="M78" i="36" s="1"/>
  <c r="F26" i="36"/>
  <c r="AA26" i="36" s="1"/>
  <c r="S26" i="36"/>
  <c r="U34" i="36"/>
  <c r="AB34" i="36"/>
  <c r="H33" i="36"/>
  <c r="U33" i="36" s="1"/>
  <c r="F33" i="36"/>
  <c r="AA33" i="36"/>
  <c r="H27" i="36"/>
  <c r="AB27" i="36" s="1"/>
  <c r="AA31" i="36"/>
  <c r="AC25" i="37"/>
  <c r="AB29" i="37"/>
  <c r="AA30" i="37"/>
  <c r="S30" i="37"/>
  <c r="AC30" i="37"/>
  <c r="AC31" i="37"/>
  <c r="W31" i="37"/>
  <c r="AB14" i="37"/>
  <c r="F33" i="39"/>
  <c r="AA33" i="39" s="1"/>
  <c r="H33" i="39"/>
  <c r="U33" i="39" s="1"/>
  <c r="J33" i="39"/>
  <c r="W33" i="39" s="1"/>
  <c r="F44" i="39"/>
  <c r="S44" i="39" s="1"/>
  <c r="H44" i="39"/>
  <c r="J44" i="39"/>
  <c r="W44" i="39" s="1"/>
  <c r="E128" i="39"/>
  <c r="F128" i="39"/>
  <c r="G128" i="39" s="1"/>
  <c r="H128" i="39" s="1"/>
  <c r="I128" i="39" s="1"/>
  <c r="J128" i="39" s="1"/>
  <c r="K128" i="39" s="1"/>
  <c r="L128" i="39" s="1"/>
  <c r="M128" i="39" s="1"/>
  <c r="F46" i="39"/>
  <c r="S46" i="39" s="1"/>
  <c r="H46" i="39"/>
  <c r="U46" i="39" s="1"/>
  <c r="J46" i="39"/>
  <c r="W46" i="39" s="1"/>
  <c r="F29" i="39"/>
  <c r="AA29" i="39" s="1"/>
  <c r="E103" i="39"/>
  <c r="H29" i="39" s="1"/>
  <c r="U29" i="39" s="1"/>
  <c r="F103" i="39"/>
  <c r="G103" i="39" s="1"/>
  <c r="F34" i="39"/>
  <c r="AA34" i="39" s="1"/>
  <c r="H34" i="39"/>
  <c r="AB34" i="39" s="1"/>
  <c r="J34" i="39"/>
  <c r="F39" i="39"/>
  <c r="AA39" i="39" s="1"/>
  <c r="H39" i="39"/>
  <c r="J39" i="39"/>
  <c r="J29" i="35"/>
  <c r="AC29" i="35"/>
  <c r="F29" i="35"/>
  <c r="S29" i="35"/>
  <c r="W30" i="36"/>
  <c r="AC30" i="36"/>
  <c r="F37" i="39"/>
  <c r="S37" i="39" s="1"/>
  <c r="H37" i="39"/>
  <c r="U37" i="39" s="1"/>
  <c r="J37" i="39"/>
  <c r="W37" i="39" s="1"/>
  <c r="BL568" i="3"/>
  <c r="AZ568" i="3" s="1"/>
  <c r="BA568" i="3"/>
  <c r="BL567" i="3"/>
  <c r="BA567" i="3"/>
  <c r="AZ567" i="3" s="1"/>
  <c r="BL566" i="3"/>
  <c r="AZ566" i="3" s="1"/>
  <c r="BL565" i="3"/>
  <c r="BA564" i="3"/>
  <c r="AZ564" i="3" s="1"/>
  <c r="BA563" i="3"/>
  <c r="BL554" i="3"/>
  <c r="AZ554" i="3" s="1"/>
  <c r="BA553" i="3"/>
  <c r="AZ553" i="3" s="1"/>
  <c r="BA552" i="3"/>
  <c r="AZ552" i="3" s="1"/>
  <c r="BL549" i="3"/>
  <c r="BA549" i="3"/>
  <c r="AZ549" i="3" s="1"/>
  <c r="BL548" i="3"/>
  <c r="BA548" i="3"/>
  <c r="BL547" i="3"/>
  <c r="BL539" i="3"/>
  <c r="AZ539" i="3" s="1"/>
  <c r="BA539" i="3"/>
  <c r="BA537" i="3"/>
  <c r="BL536" i="3"/>
  <c r="AZ536" i="3"/>
  <c r="AZ534" i="3"/>
  <c r="BA533" i="3"/>
  <c r="BA530" i="3"/>
  <c r="AZ530" i="3" s="1"/>
  <c r="BL529" i="3"/>
  <c r="BA529" i="3"/>
  <c r="AZ528" i="3"/>
  <c r="AZ527" i="3"/>
  <c r="BA526" i="3"/>
  <c r="AZ526" i="3"/>
  <c r="BA523" i="3"/>
  <c r="AZ523" i="3"/>
  <c r="BL522" i="3"/>
  <c r="AZ522" i="3"/>
  <c r="BA519" i="3"/>
  <c r="BA518" i="3"/>
  <c r="AZ518" i="3" s="1"/>
  <c r="BL517" i="3"/>
  <c r="BA517" i="3"/>
  <c r="AZ517" i="3"/>
  <c r="BL515" i="3"/>
  <c r="BA515" i="3"/>
  <c r="AZ515" i="3" s="1"/>
  <c r="BA514" i="3"/>
  <c r="AZ514" i="3"/>
  <c r="BL513" i="3"/>
  <c r="BA513" i="3"/>
  <c r="AZ513" i="3" s="1"/>
  <c r="BL512" i="3"/>
  <c r="AZ512" i="3" s="1"/>
  <c r="BA511" i="3"/>
  <c r="AZ511" i="3"/>
  <c r="BA510" i="3"/>
  <c r="AZ510" i="3" s="1"/>
  <c r="BL509" i="3"/>
  <c r="AZ509" i="3" s="1"/>
  <c r="BL507" i="3"/>
  <c r="AZ507" i="3" s="1"/>
  <c r="BA507" i="3"/>
  <c r="BA506" i="3"/>
  <c r="AZ506" i="3" s="1"/>
  <c r="BL505" i="3"/>
  <c r="AZ505" i="3"/>
  <c r="BL504" i="3"/>
  <c r="BA503" i="3"/>
  <c r="AZ503" i="3" s="1"/>
  <c r="BA500" i="3"/>
  <c r="AZ500" i="3"/>
  <c r="BL499" i="3"/>
  <c r="BA499" i="3"/>
  <c r="AZ499" i="3"/>
  <c r="AZ498" i="3"/>
  <c r="BL497" i="3"/>
  <c r="BA497" i="3"/>
  <c r="BA496" i="3"/>
  <c r="AZ496" i="3" s="1"/>
  <c r="BA495" i="3"/>
  <c r="AZ495" i="3"/>
  <c r="BL494" i="3"/>
  <c r="BA494" i="3"/>
  <c r="AZ494" i="3"/>
  <c r="G494" i="3"/>
  <c r="BA491" i="3"/>
  <c r="AZ491" i="3"/>
  <c r="BL490" i="3"/>
  <c r="BA490" i="3"/>
  <c r="AZ490" i="3"/>
  <c r="BL489" i="3"/>
  <c r="BA489" i="3"/>
  <c r="AZ489" i="3"/>
  <c r="BL487" i="3"/>
  <c r="BL486" i="3"/>
  <c r="BA486" i="3"/>
  <c r="BA485" i="3"/>
  <c r="AZ485" i="3"/>
  <c r="BA483" i="3"/>
  <c r="AZ483" i="3" s="1"/>
  <c r="BA482" i="3"/>
  <c r="AZ482" i="3" s="1"/>
  <c r="BL481" i="3"/>
  <c r="BJ5" i="3"/>
  <c r="BA481" i="3"/>
  <c r="AZ481" i="3" s="1"/>
  <c r="BB5" i="3"/>
  <c r="AZ19" i="3"/>
  <c r="BA18" i="3"/>
  <c r="F36" i="44"/>
  <c r="F114" i="34"/>
  <c r="G114" i="34"/>
  <c r="H114" i="34" s="1"/>
  <c r="I114" i="34"/>
  <c r="J114" i="34" s="1"/>
  <c r="K114" i="34" s="1"/>
  <c r="L114" i="34" s="1"/>
  <c r="M114" i="34" s="1"/>
  <c r="H38" i="34"/>
  <c r="U38" i="34"/>
  <c r="H30" i="40"/>
  <c r="U30" i="40" s="1"/>
  <c r="G100" i="40"/>
  <c r="J30" i="40"/>
  <c r="AC30" i="40" s="1"/>
  <c r="F38" i="40"/>
  <c r="S38" i="40" s="1"/>
  <c r="AA36" i="34"/>
  <c r="AC12" i="21"/>
  <c r="W12" i="21"/>
  <c r="S35" i="21"/>
  <c r="U8" i="21"/>
  <c r="AB8" i="21"/>
  <c r="S34" i="21"/>
  <c r="AB8" i="33"/>
  <c r="U8" i="33"/>
  <c r="E106" i="33"/>
  <c r="H34" i="33"/>
  <c r="AB34" i="33" s="1"/>
  <c r="F34" i="33"/>
  <c r="S34" i="33" s="1"/>
  <c r="E121" i="33"/>
  <c r="F121" i="33" s="1"/>
  <c r="G121" i="33" s="1"/>
  <c r="H121" i="33" s="1"/>
  <c r="I121" i="33" s="1"/>
  <c r="J121" i="33" s="1"/>
  <c r="K121" i="33" s="1"/>
  <c r="L121" i="33" s="1"/>
  <c r="M121" i="33" s="1"/>
  <c r="F41" i="33"/>
  <c r="S41" i="33"/>
  <c r="AC34" i="34"/>
  <c r="W34" i="34"/>
  <c r="AA39" i="34"/>
  <c r="S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J16" i="39"/>
  <c r="AC16" i="39" s="1"/>
  <c r="F15" i="40"/>
  <c r="S15" i="40" s="1"/>
  <c r="J15" i="40"/>
  <c r="AC15" i="40" s="1"/>
  <c r="H15" i="40"/>
  <c r="AB15" i="40"/>
  <c r="E92" i="40"/>
  <c r="F92" i="40"/>
  <c r="G92" i="40" s="1"/>
  <c r="H23" i="40"/>
  <c r="U23" i="40"/>
  <c r="H41" i="40"/>
  <c r="AB41" i="40"/>
  <c r="F41" i="40"/>
  <c r="AA41" i="40"/>
  <c r="J41" i="40"/>
  <c r="H36" i="33"/>
  <c r="AB36" i="33" s="1"/>
  <c r="H37" i="34"/>
  <c r="U37" i="34" s="1"/>
  <c r="H15" i="39"/>
  <c r="U15" i="39" s="1"/>
  <c r="J15" i="39"/>
  <c r="AC15" i="39" s="1"/>
  <c r="H25" i="39"/>
  <c r="U25" i="39" s="1"/>
  <c r="F25" i="39"/>
  <c r="AA25" i="39" s="1"/>
  <c r="F45" i="39"/>
  <c r="AA45" i="39"/>
  <c r="H45" i="39"/>
  <c r="U45" i="39"/>
  <c r="J45" i="39"/>
  <c r="AC45" i="39"/>
  <c r="AA47" i="39"/>
  <c r="H47" i="39"/>
  <c r="AB47" i="39" s="1"/>
  <c r="J47" i="39"/>
  <c r="F41" i="39"/>
  <c r="AA41" i="39" s="1"/>
  <c r="H41" i="39"/>
  <c r="AB41" i="39" s="1"/>
  <c r="J41" i="39"/>
  <c r="AC41" i="39" s="1"/>
  <c r="E94" i="40"/>
  <c r="J25" i="40"/>
  <c r="W25" i="40" s="1"/>
  <c r="J32" i="40"/>
  <c r="AC32" i="40"/>
  <c r="H32" i="40"/>
  <c r="U32" i="40"/>
  <c r="H33" i="40"/>
  <c r="AB33" i="40" s="1"/>
  <c r="F33" i="40"/>
  <c r="AA33" i="40"/>
  <c r="J33" i="40"/>
  <c r="AC33" i="40"/>
  <c r="H35" i="40"/>
  <c r="AB35" i="40" s="1"/>
  <c r="AA35" i="40"/>
  <c r="J38" i="39"/>
  <c r="AC38" i="39" s="1"/>
  <c r="W38" i="39"/>
  <c r="H38" i="39"/>
  <c r="U38" i="39"/>
  <c r="J14" i="40"/>
  <c r="AC14" i="40" s="1"/>
  <c r="H42" i="40"/>
  <c r="H40" i="40"/>
  <c r="H34" i="40"/>
  <c r="AB34" i="40" s="1"/>
  <c r="U34" i="40"/>
  <c r="AZ391" i="3"/>
  <c r="AZ399" i="3"/>
  <c r="AZ403" i="3"/>
  <c r="AZ407" i="3"/>
  <c r="AZ415" i="3"/>
  <c r="AZ423" i="3"/>
  <c r="AZ431" i="3"/>
  <c r="AZ439" i="3"/>
  <c r="AZ454" i="3"/>
  <c r="B41" i="1"/>
  <c r="J42" i="40"/>
  <c r="AC42" i="40"/>
  <c r="J40" i="40"/>
  <c r="J34" i="40"/>
  <c r="AC34" i="40" s="1"/>
  <c r="H16" i="40"/>
  <c r="AB16" i="40"/>
  <c r="H14" i="40"/>
  <c r="U14" i="40" s="1"/>
  <c r="F32" i="40"/>
  <c r="AA32" i="40" s="1"/>
  <c r="AZ401" i="3"/>
  <c r="AZ428" i="3"/>
  <c r="AZ433" i="3"/>
  <c r="AZ436" i="3"/>
  <c r="AZ441" i="3"/>
  <c r="AZ444" i="3"/>
  <c r="AZ449" i="3"/>
  <c r="AZ452" i="3"/>
  <c r="M1" i="46"/>
  <c r="M6" i="46"/>
  <c r="M10" i="46"/>
  <c r="N2" i="46"/>
  <c r="N5" i="46"/>
  <c r="F58" i="46"/>
  <c r="H66" i="46" s="1"/>
  <c r="H61" i="46"/>
  <c r="N7" i="46"/>
  <c r="AZ456" i="3"/>
  <c r="AZ458" i="3"/>
  <c r="AZ461" i="3"/>
  <c r="AZ466" i="3"/>
  <c r="AZ469" i="3"/>
  <c r="AZ388" i="3"/>
  <c r="AZ207" i="3"/>
  <c r="AZ212" i="3"/>
  <c r="AZ215" i="3"/>
  <c r="AZ220" i="3"/>
  <c r="AZ223" i="3"/>
  <c r="AZ228" i="3"/>
  <c r="AZ231" i="3"/>
  <c r="AZ236" i="3"/>
  <c r="AZ239" i="3"/>
  <c r="AZ244" i="3"/>
  <c r="AZ247" i="3"/>
  <c r="AZ252" i="3"/>
  <c r="AZ255" i="3"/>
  <c r="AZ260" i="3"/>
  <c r="AZ263" i="3"/>
  <c r="AZ268" i="3"/>
  <c r="AZ273" i="3"/>
  <c r="AZ137" i="3"/>
  <c r="AZ140" i="3"/>
  <c r="M7" i="46"/>
  <c r="M11" i="46"/>
  <c r="N3" i="46"/>
  <c r="N6" i="46"/>
  <c r="N10" i="46"/>
  <c r="F69" i="46"/>
  <c r="AZ164" i="3"/>
  <c r="AZ177" i="3"/>
  <c r="AZ32" i="3"/>
  <c r="AZ56" i="3"/>
  <c r="AZ99" i="3"/>
  <c r="AZ107" i="3"/>
  <c r="AZ112" i="3"/>
  <c r="J13" i="40"/>
  <c r="W13" i="40" s="1"/>
  <c r="AB14" i="40"/>
  <c r="F34" i="44"/>
  <c r="F27" i="43"/>
  <c r="F66" i="9"/>
  <c r="P72" i="9" s="1"/>
  <c r="F71" i="9"/>
  <c r="F72" i="9"/>
  <c r="S33" i="40"/>
  <c r="AB32" i="40"/>
  <c r="S47" i="39"/>
  <c r="AB37" i="34"/>
  <c r="AC41" i="40"/>
  <c r="W41" i="40"/>
  <c r="U41" i="40"/>
  <c r="J23" i="40"/>
  <c r="AC23" i="40" s="1"/>
  <c r="F23" i="40"/>
  <c r="S23" i="40" s="1"/>
  <c r="W15" i="40"/>
  <c r="W14" i="39"/>
  <c r="U23" i="35"/>
  <c r="AB23" i="35"/>
  <c r="H20" i="35"/>
  <c r="F20" i="35"/>
  <c r="H15" i="34"/>
  <c r="AB15" i="34" s="1"/>
  <c r="F78" i="34"/>
  <c r="G78" i="34" s="1"/>
  <c r="J15" i="34"/>
  <c r="H41" i="33"/>
  <c r="U41" i="33"/>
  <c r="F30" i="40"/>
  <c r="AA30" i="40"/>
  <c r="H100" i="40"/>
  <c r="I100" i="40"/>
  <c r="J100" i="40"/>
  <c r="K100" i="40" s="1"/>
  <c r="L100" i="40" s="1"/>
  <c r="M100" i="40" s="1"/>
  <c r="AB38" i="34"/>
  <c r="AZ486" i="3"/>
  <c r="AZ497" i="3"/>
  <c r="AZ529" i="3"/>
  <c r="AZ537" i="3"/>
  <c r="AZ547" i="3"/>
  <c r="AZ548" i="3"/>
  <c r="AA29" i="35"/>
  <c r="J29" i="39"/>
  <c r="AC29" i="39" s="1"/>
  <c r="AB33" i="36"/>
  <c r="S14" i="35"/>
  <c r="F33" i="37"/>
  <c r="AA33" i="37" s="1"/>
  <c r="U46" i="34"/>
  <c r="AC30" i="34"/>
  <c r="AA14" i="34"/>
  <c r="W12" i="34"/>
  <c r="U29" i="33"/>
  <c r="AC13" i="33"/>
  <c r="U17" i="34"/>
  <c r="AA11" i="34"/>
  <c r="H15" i="33"/>
  <c r="U15" i="33" s="1"/>
  <c r="AA11" i="33"/>
  <c r="U16" i="40"/>
  <c r="W34" i="40"/>
  <c r="AB42" i="40"/>
  <c r="U42" i="40"/>
  <c r="W32" i="40"/>
  <c r="H25" i="40"/>
  <c r="AB25" i="40" s="1"/>
  <c r="F94" i="40"/>
  <c r="G94" i="40" s="1"/>
  <c r="U47" i="39"/>
  <c r="W15" i="39"/>
  <c r="J37" i="34"/>
  <c r="AC37" i="34" s="1"/>
  <c r="J36" i="33"/>
  <c r="S41" i="40"/>
  <c r="AB23" i="40"/>
  <c r="S16" i="39"/>
  <c r="AA15" i="34"/>
  <c r="AA41" i="33"/>
  <c r="F106" i="33"/>
  <c r="G106" i="33"/>
  <c r="H106" i="33" s="1"/>
  <c r="I106" i="33" s="1"/>
  <c r="J106" i="33" s="1"/>
  <c r="K106" i="33" s="1"/>
  <c r="L106" i="33" s="1"/>
  <c r="M106" i="33" s="1"/>
  <c r="J34" i="33"/>
  <c r="AC34" i="33"/>
  <c r="W29" i="35"/>
  <c r="AC39" i="39"/>
  <c r="W39" i="39"/>
  <c r="S39" i="39"/>
  <c r="AB46" i="39"/>
  <c r="S33" i="39"/>
  <c r="F80" i="35"/>
  <c r="G80" i="35" s="1"/>
  <c r="H80" i="35" s="1"/>
  <c r="I80" i="35" s="1"/>
  <c r="J80" i="35" s="1"/>
  <c r="K80" i="35" s="1"/>
  <c r="L80" i="35" s="1"/>
  <c r="M80" i="35" s="1"/>
  <c r="W14" i="35"/>
  <c r="G90" i="34"/>
  <c r="H90" i="34" s="1"/>
  <c r="I90" i="34" s="1"/>
  <c r="J90" i="34" s="1"/>
  <c r="K90" i="34" s="1"/>
  <c r="L90" i="34" s="1"/>
  <c r="M90" i="34" s="1"/>
  <c r="F27" i="34"/>
  <c r="AA27" i="34" s="1"/>
  <c r="S27" i="34"/>
  <c r="W43" i="39"/>
  <c r="AA43" i="39"/>
  <c r="G96" i="37"/>
  <c r="H96" i="37"/>
  <c r="I96" i="37" s="1"/>
  <c r="J96" i="37" s="1"/>
  <c r="K96" i="37" s="1"/>
  <c r="L96" i="37" s="1"/>
  <c r="M96" i="37" s="1"/>
  <c r="F32" i="37"/>
  <c r="AA32" i="37" s="1"/>
  <c r="S32" i="37"/>
  <c r="AB11" i="35"/>
  <c r="S46" i="34"/>
  <c r="U32" i="34"/>
  <c r="U14" i="34"/>
  <c r="AC14" i="34"/>
  <c r="U12" i="34"/>
  <c r="AB13" i="33"/>
  <c r="F17" i="34"/>
  <c r="S17" i="34" s="1"/>
  <c r="AA17" i="34"/>
  <c r="J17" i="34"/>
  <c r="AC17" i="34" s="1"/>
  <c r="H11" i="34"/>
  <c r="AB11" i="34" s="1"/>
  <c r="J35" i="33"/>
  <c r="W35" i="33"/>
  <c r="S32" i="33"/>
  <c r="H11" i="33"/>
  <c r="H10" i="33"/>
  <c r="U10" i="33" s="1"/>
  <c r="I66" i="33"/>
  <c r="J10" i="33"/>
  <c r="AC10" i="33"/>
  <c r="AC16" i="35"/>
  <c r="AC13" i="40"/>
  <c r="J11" i="34"/>
  <c r="F25" i="40"/>
  <c r="AA25" i="40" s="1"/>
  <c r="J11" i="33"/>
  <c r="W11" i="33" s="1"/>
  <c r="H33" i="37"/>
  <c r="W15" i="34"/>
  <c r="AC15" i="34"/>
  <c r="U20" i="35"/>
  <c r="AB20" i="35"/>
  <c r="W23" i="40"/>
  <c r="D73" i="9"/>
  <c r="N73" i="9"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8" i="36"/>
  <c r="U25" i="36"/>
  <c r="H20" i="36"/>
  <c r="U20" i="36" s="1"/>
  <c r="F68" i="36"/>
  <c r="G68" i="36" s="1"/>
  <c r="J20" i="36"/>
  <c r="AC20" i="36" s="1"/>
  <c r="F20" i="36"/>
  <c r="S20" i="36"/>
  <c r="F62" i="36"/>
  <c r="G62" i="36" s="1"/>
  <c r="J14" i="36"/>
  <c r="H14" i="36"/>
  <c r="F14" i="36"/>
  <c r="S14" i="36" s="1"/>
  <c r="U9" i="36"/>
  <c r="S33" i="36"/>
  <c r="AA27" i="36"/>
  <c r="S29" i="36"/>
  <c r="AC33" i="35"/>
  <c r="U22" i="35"/>
  <c r="AA13" i="35"/>
  <c r="AC9" i="35"/>
  <c r="U33" i="35"/>
  <c r="W20" i="35"/>
  <c r="S23" i="35"/>
  <c r="S16" i="35"/>
  <c r="AC10" i="35"/>
  <c r="U9" i="35"/>
  <c r="W13" i="35"/>
  <c r="AC18" i="35"/>
  <c r="W18" i="35"/>
  <c r="U18" i="35"/>
  <c r="AB18" i="35"/>
  <c r="S30" i="35"/>
  <c r="AA35" i="35"/>
  <c r="AB30" i="35"/>
  <c r="S27" i="35"/>
  <c r="J26" i="35"/>
  <c r="F26" i="35"/>
  <c r="H26" i="35"/>
  <c r="AB26" i="35" s="1"/>
  <c r="AB9" i="37"/>
  <c r="W12" i="37"/>
  <c r="S17" i="37"/>
  <c r="W28" i="37"/>
  <c r="AB37" i="37"/>
  <c r="AA31" i="37"/>
  <c r="S33" i="37"/>
  <c r="U32" i="37"/>
  <c r="J33" i="37"/>
  <c r="W33" i="37"/>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U28" i="34"/>
  <c r="J25" i="34"/>
  <c r="H25" i="34"/>
  <c r="F25" i="34"/>
  <c r="S25" i="34" s="1"/>
  <c r="J23" i="34"/>
  <c r="F86" i="34"/>
  <c r="G86" i="34" s="1"/>
  <c r="F23" i="34"/>
  <c r="S23" i="34" s="1"/>
  <c r="H23" i="34"/>
  <c r="U23" i="34" s="1"/>
  <c r="U11" i="34"/>
  <c r="W10" i="34"/>
  <c r="U10" i="34"/>
  <c r="W37" i="34"/>
  <c r="AC40" i="34"/>
  <c r="W19" i="34"/>
  <c r="AC21" i="34"/>
  <c r="W21" i="34"/>
  <c r="U15" i="34"/>
  <c r="AB21" i="34"/>
  <c r="U21" i="34"/>
  <c r="U27" i="34"/>
  <c r="U19" i="34"/>
  <c r="AB41" i="34"/>
  <c r="S13" i="34"/>
  <c r="AA41" i="34"/>
  <c r="S9" i="34"/>
  <c r="S10" i="34"/>
  <c r="U39" i="33"/>
  <c r="U37" i="33"/>
  <c r="S35" i="33"/>
  <c r="W34" i="33"/>
  <c r="AB41" i="33"/>
  <c r="U36" i="33"/>
  <c r="AC35" i="33"/>
  <c r="S29" i="33"/>
  <c r="W31" i="33"/>
  <c r="W43" i="33"/>
  <c r="W39" i="33"/>
  <c r="U35" i="33"/>
  <c r="H25" i="33"/>
  <c r="U25" i="33" s="1"/>
  <c r="AB25" i="33"/>
  <c r="J25" i="33"/>
  <c r="F87" i="33"/>
  <c r="G87" i="33" s="1"/>
  <c r="H87" i="33"/>
  <c r="I87" i="33" s="1"/>
  <c r="J87" i="33" s="1"/>
  <c r="K87" i="33" s="1"/>
  <c r="L87" i="33" s="1"/>
  <c r="M87" i="33" s="1"/>
  <c r="F25" i="33"/>
  <c r="F85" i="33"/>
  <c r="G85" i="33"/>
  <c r="J23" i="33"/>
  <c r="F23" i="33"/>
  <c r="AA23" i="33" s="1"/>
  <c r="H23" i="33"/>
  <c r="U19" i="33"/>
  <c r="F79" i="33"/>
  <c r="G79" i="33"/>
  <c r="F17" i="33"/>
  <c r="H17" i="33"/>
  <c r="AB17" i="33" s="1"/>
  <c r="J17" i="33"/>
  <c r="S10" i="33"/>
  <c r="S14" i="33"/>
  <c r="W10" i="33"/>
  <c r="AC21" i="33"/>
  <c r="W21" i="33"/>
  <c r="W14" i="33"/>
  <c r="AB10" i="33"/>
  <c r="AB21" i="33"/>
  <c r="U21" i="33"/>
  <c r="AA21" i="33"/>
  <c r="S21" i="33"/>
  <c r="AA44" i="33"/>
  <c r="AA36" i="33"/>
  <c r="S44" i="21"/>
  <c r="U35" i="21"/>
  <c r="W43" i="21"/>
  <c r="AB32" i="21"/>
  <c r="W28" i="21"/>
  <c r="AC26" i="21"/>
  <c r="AC21" i="21"/>
  <c r="W21" i="21"/>
  <c r="W44" i="21"/>
  <c r="AC38" i="21"/>
  <c r="AB21" i="21"/>
  <c r="U21" i="21"/>
  <c r="AA30" i="21"/>
  <c r="W33" i="40"/>
  <c r="U33" i="40"/>
  <c r="S35" i="40"/>
  <c r="U15" i="40"/>
  <c r="S14" i="40"/>
  <c r="AB13" i="40"/>
  <c r="S16" i="40"/>
  <c r="W11" i="40"/>
  <c r="U21" i="40"/>
  <c r="U25" i="40"/>
  <c r="W42" i="40"/>
  <c r="U35" i="40"/>
  <c r="F37" i="40"/>
  <c r="J37" i="40"/>
  <c r="AC37" i="40" s="1"/>
  <c r="H37" i="40"/>
  <c r="AB37" i="40" s="1"/>
  <c r="G113" i="40"/>
  <c r="H113" i="40" s="1"/>
  <c r="I113" i="40" s="1"/>
  <c r="J113" i="40" s="1"/>
  <c r="K113" i="40" s="1"/>
  <c r="L113" i="40" s="1"/>
  <c r="M113" i="40" s="1"/>
  <c r="F39" i="40"/>
  <c r="H39" i="40"/>
  <c r="U39" i="40" s="1"/>
  <c r="J39" i="40"/>
  <c r="W38" i="40"/>
  <c r="F29" i="40"/>
  <c r="H29" i="40"/>
  <c r="J29" i="40"/>
  <c r="W29" i="40" s="1"/>
  <c r="F98" i="40"/>
  <c r="G98" i="40" s="1"/>
  <c r="H98" i="40" s="1"/>
  <c r="I98" i="40" s="1"/>
  <c r="J98" i="40" s="1"/>
  <c r="K98" i="40" s="1"/>
  <c r="L98" i="40" s="1"/>
  <c r="M98" i="40" s="1"/>
  <c r="S30" i="40"/>
  <c r="S25" i="40"/>
  <c r="AA23" i="40"/>
  <c r="F88" i="40"/>
  <c r="G88" i="40"/>
  <c r="F19" i="40"/>
  <c r="H19" i="40"/>
  <c r="AB19" i="40" s="1"/>
  <c r="J19" i="40"/>
  <c r="W19" i="40" s="1"/>
  <c r="W17" i="40"/>
  <c r="AC17" i="40"/>
  <c r="F17" i="40"/>
  <c r="AA17" i="40" s="1"/>
  <c r="H17" i="40"/>
  <c r="AB17" i="40"/>
  <c r="W21" i="40"/>
  <c r="U10" i="40"/>
  <c r="U27" i="40"/>
  <c r="AB27" i="40"/>
  <c r="S11" i="39"/>
  <c r="AB45" i="39"/>
  <c r="S14" i="39"/>
  <c r="U11" i="39"/>
  <c r="U41" i="39"/>
  <c r="AB38" i="39"/>
  <c r="U31" i="39"/>
  <c r="AB31" i="39"/>
  <c r="S38" i="39"/>
  <c r="S22" i="31"/>
  <c r="M20" i="15"/>
  <c r="D96" i="9"/>
  <c r="F28" i="15"/>
  <c r="M18" i="15"/>
  <c r="A18" i="64"/>
  <c r="B74" i="63" s="1"/>
  <c r="C53" i="10"/>
  <c r="A25" i="64" s="1"/>
  <c r="A18" i="51"/>
  <c r="B14" i="63" s="1"/>
  <c r="BA16" i="3"/>
  <c r="AZ16" i="3" s="1"/>
  <c r="BA17" i="3"/>
  <c r="AZ17" i="3"/>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AA11" i="35"/>
  <c r="S14" i="37"/>
  <c r="U13" i="37"/>
  <c r="C24" i="9"/>
  <c r="C25" i="9"/>
  <c r="G9" i="1"/>
  <c r="G8" i="1"/>
  <c r="I20" i="46"/>
  <c r="B6" i="63"/>
  <c r="L5" i="54"/>
  <c r="B39" i="63" s="1"/>
  <c r="K5" i="54"/>
  <c r="B38" i="63"/>
  <c r="T41" i="4"/>
  <c r="A17" i="64" s="1"/>
  <c r="B46" i="50"/>
  <c r="B4" i="63" s="1"/>
  <c r="C46" i="36"/>
  <c r="C48" i="35"/>
  <c r="D48" i="35" s="1"/>
  <c r="E48" i="35" s="1"/>
  <c r="F48" i="35" s="1"/>
  <c r="G48" i="35" s="1"/>
  <c r="H48" i="35" s="1"/>
  <c r="I48" i="35" s="1"/>
  <c r="J48" i="35" s="1"/>
  <c r="K48" i="35" s="1"/>
  <c r="L48" i="35" s="1"/>
  <c r="M48" i="35" s="1"/>
  <c r="C52" i="37"/>
  <c r="D52" i="37" s="1"/>
  <c r="E52" i="37" s="1"/>
  <c r="F52" i="37" s="1"/>
  <c r="O19" i="46"/>
  <c r="H86" i="46"/>
  <c r="H82" i="46"/>
  <c r="H10" i="48"/>
  <c r="H87" i="46"/>
  <c r="H85" i="46"/>
  <c r="H83" i="46"/>
  <c r="K10" i="1"/>
  <c r="M10" i="1" s="1"/>
  <c r="B6" i="1"/>
  <c r="E6" i="1" s="1"/>
  <c r="B10" i="1"/>
  <c r="E10" i="1" s="1"/>
  <c r="B8" i="1"/>
  <c r="E8" i="1" s="1"/>
  <c r="B12" i="1"/>
  <c r="E12" i="1"/>
  <c r="K6" i="1"/>
  <c r="M6" i="1" s="1"/>
  <c r="G1" i="15"/>
  <c r="F66" i="36"/>
  <c r="G66" i="36" s="1"/>
  <c r="H18" i="36"/>
  <c r="U18" i="36" s="1"/>
  <c r="U16" i="36"/>
  <c r="S25" i="36"/>
  <c r="U23" i="36"/>
  <c r="AC27" i="36"/>
  <c r="W28" i="36"/>
  <c r="U13" i="36"/>
  <c r="AA22" i="36"/>
  <c r="U10" i="36"/>
  <c r="AA13" i="36"/>
  <c r="W29" i="36"/>
  <c r="W8" i="36"/>
  <c r="AC30" i="35"/>
  <c r="W32" i="35"/>
  <c r="S24" i="35"/>
  <c r="AA33" i="35"/>
  <c r="U32" i="35"/>
  <c r="W22" i="35"/>
  <c r="W34" i="35"/>
  <c r="S32" i="35"/>
  <c r="W35" i="37"/>
  <c r="AC33" i="37"/>
  <c r="AC15" i="37"/>
  <c r="AA13" i="37"/>
  <c r="S12" i="37"/>
  <c r="W38" i="37"/>
  <c r="W36" i="37"/>
  <c r="AB28" i="37"/>
  <c r="S28" i="37"/>
  <c r="W13" i="37"/>
  <c r="U38" i="37"/>
  <c r="S26" i="37"/>
  <c r="AB35" i="34"/>
  <c r="AB13" i="34"/>
  <c r="AC13" i="34"/>
  <c r="S47" i="34"/>
  <c r="AA29" i="34"/>
  <c r="S19" i="34"/>
  <c r="S8" i="34"/>
  <c r="AA19" i="33"/>
  <c r="S43" i="33"/>
  <c r="AB42" i="33"/>
  <c r="AB14" i="33"/>
  <c r="S15" i="33"/>
  <c r="S9" i="33"/>
  <c r="AB25" i="21"/>
  <c r="AB45" i="21"/>
  <c r="W25" i="21"/>
  <c r="W31" i="21"/>
  <c r="S27" i="21"/>
  <c r="AC27" i="21"/>
  <c r="W29" i="21"/>
  <c r="G96" i="40"/>
  <c r="J27" i="40"/>
  <c r="W37" i="40"/>
  <c r="S17" i="40"/>
  <c r="W30" i="40"/>
  <c r="S34" i="40"/>
  <c r="U17" i="40"/>
  <c r="U38" i="40"/>
  <c r="S40" i="40"/>
  <c r="S42" i="40"/>
  <c r="G105" i="39"/>
  <c r="J31" i="39"/>
  <c r="W31" i="39" s="1"/>
  <c r="S45" i="39"/>
  <c r="W41" i="39"/>
  <c r="AB43" i="39"/>
  <c r="AC46" i="39"/>
  <c r="S34" i="39"/>
  <c r="W42" i="39"/>
  <c r="W36"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F28" i="6"/>
  <c r="AB20" i="36"/>
  <c r="AA20" i="36"/>
  <c r="AC14" i="36"/>
  <c r="W14" i="36"/>
  <c r="U14" i="36"/>
  <c r="AB14" i="36"/>
  <c r="AA26" i="35"/>
  <c r="S26" i="35"/>
  <c r="U26" i="35"/>
  <c r="W26" i="35"/>
  <c r="AC26" i="35"/>
  <c r="S19" i="37"/>
  <c r="W19" i="37"/>
  <c r="AB19" i="37"/>
  <c r="AC17" i="37"/>
  <c r="W17" i="37"/>
  <c r="U25" i="34"/>
  <c r="AB25" i="34"/>
  <c r="AA25" i="34"/>
  <c r="W25" i="34"/>
  <c r="AC25" i="34"/>
  <c r="AA23" i="34"/>
  <c r="AC23" i="34"/>
  <c r="W23" i="34"/>
  <c r="AA25" i="33"/>
  <c r="S25" i="33"/>
  <c r="U23" i="33"/>
  <c r="AB23" i="33"/>
  <c r="W23" i="33"/>
  <c r="AC23" i="33"/>
  <c r="S23" i="33"/>
  <c r="W17" i="33"/>
  <c r="AC17" i="33"/>
  <c r="AA17" i="33"/>
  <c r="S17" i="33"/>
  <c r="U17" i="33"/>
  <c r="AC39" i="40"/>
  <c r="W39" i="40"/>
  <c r="AA39" i="40"/>
  <c r="S39" i="40"/>
  <c r="AA37" i="40"/>
  <c r="S37" i="40"/>
  <c r="U29" i="40"/>
  <c r="AB29" i="40"/>
  <c r="AC29" i="40"/>
  <c r="AA29" i="40"/>
  <c r="S29" i="40"/>
  <c r="AA19" i="40"/>
  <c r="S19" i="40"/>
  <c r="AC27" i="40"/>
  <c r="W27" i="40"/>
  <c r="AC31" i="39"/>
  <c r="B20" i="31"/>
  <c r="R22" i="31"/>
  <c r="B21" i="31"/>
  <c r="A17" i="51"/>
  <c r="B13" i="63" s="1"/>
  <c r="E5" i="6"/>
  <c r="D21" i="12" s="1"/>
  <c r="C21" i="12" s="1"/>
  <c r="AT6" i="3"/>
  <c r="G29" i="6"/>
  <c r="A3" i="55"/>
  <c r="B56" i="63"/>
  <c r="J18" i="36"/>
  <c r="W18" i="36" s="1"/>
  <c r="AE7" i="1"/>
  <c r="AG6" i="1"/>
  <c r="L20" i="6"/>
  <c r="C45" i="9"/>
  <c r="O40" i="9" s="1"/>
  <c r="R7" i="54" s="1"/>
  <c r="B52" i="63" s="1"/>
  <c r="H14" i="66"/>
  <c r="B7" i="66" s="1"/>
  <c r="K31" i="9"/>
  <c r="K32" i="9" s="1"/>
  <c r="N76" i="9"/>
  <c r="A25" i="51"/>
  <c r="B18" i="63" s="1"/>
  <c r="D70" i="39"/>
  <c r="D72" i="39" s="1"/>
  <c r="C72" i="39"/>
  <c r="D58" i="33"/>
  <c r="E58" i="33" s="1"/>
  <c r="C67" i="40"/>
  <c r="D65" i="40"/>
  <c r="H58" i="46"/>
  <c r="J17" i="46"/>
  <c r="C17" i="46"/>
  <c r="F34" i="46"/>
  <c r="F38" i="46"/>
  <c r="F37" i="46"/>
  <c r="H113" i="46"/>
  <c r="H49" i="46"/>
  <c r="H53" i="46"/>
  <c r="D12" i="59"/>
  <c r="C11" i="59"/>
  <c r="D11" i="59" s="1"/>
  <c r="F12" i="59"/>
  <c r="F11" i="59" s="1"/>
  <c r="F10" i="59" s="1"/>
  <c r="F9" i="59" s="1"/>
  <c r="Y11" i="59"/>
  <c r="Z11" i="59"/>
  <c r="AA11" i="59"/>
  <c r="AB11" i="59"/>
  <c r="Y10" i="59"/>
  <c r="Z10" i="59"/>
  <c r="Y9" i="59"/>
  <c r="Z9" i="59"/>
  <c r="Y8" i="59"/>
  <c r="Z8" i="59"/>
  <c r="AB10" i="59"/>
  <c r="AB9" i="59"/>
  <c r="AB8" i="59"/>
  <c r="AA13" i="59"/>
  <c r="X11" i="59"/>
  <c r="X9" i="59"/>
  <c r="X8" i="59"/>
  <c r="AA9" i="59"/>
  <c r="AA8" i="59"/>
  <c r="H1" i="65"/>
  <c r="H51" i="46"/>
  <c r="X7" i="46"/>
  <c r="E17" i="46"/>
  <c r="N17" i="46"/>
  <c r="O17" i="46"/>
  <c r="M17" i="46"/>
  <c r="L17" i="46"/>
  <c r="AP7" i="1"/>
  <c r="G13" i="1"/>
  <c r="D46" i="36"/>
  <c r="G6" i="1"/>
  <c r="H70" i="46"/>
  <c r="H73" i="46"/>
  <c r="H48" i="46"/>
  <c r="F35" i="46"/>
  <c r="I17" i="46"/>
  <c r="H63" i="46"/>
  <c r="H64" i="46"/>
  <c r="D100" i="46"/>
  <c r="H62" i="46"/>
  <c r="AF12" i="46"/>
  <c r="K100" i="46"/>
  <c r="AB12" i="46"/>
  <c r="AJ12" i="46"/>
  <c r="H60" i="46"/>
  <c r="H59" i="46"/>
  <c r="H74" i="46"/>
  <c r="H65" i="46"/>
  <c r="E10" i="46"/>
  <c r="E9" i="46"/>
  <c r="C7" i="46" s="1"/>
  <c r="E11" i="46"/>
  <c r="E8" i="46"/>
  <c r="H72" i="46"/>
  <c r="H77" i="46"/>
  <c r="H76" i="46"/>
  <c r="H55" i="46"/>
  <c r="H54" i="46"/>
  <c r="H52" i="46"/>
  <c r="AD12" i="46"/>
  <c r="AH12" i="46"/>
  <c r="C10" i="59"/>
  <c r="C9" i="59"/>
  <c r="C8" i="59" s="1"/>
  <c r="T9" i="59"/>
  <c r="P21" i="46"/>
  <c r="D10" i="59"/>
  <c r="P22" i="46"/>
  <c r="P23" i="46"/>
  <c r="P25" i="46"/>
  <c r="B73" i="39" s="1"/>
  <c r="P24" i="46"/>
  <c r="B68" i="40" s="1"/>
  <c r="E65" i="40"/>
  <c r="F65" i="40" s="1"/>
  <c r="F67" i="40" s="1"/>
  <c r="D67" i="40"/>
  <c r="E70" i="39"/>
  <c r="D9" i="59"/>
  <c r="E46" i="36"/>
  <c r="F70" i="39"/>
  <c r="F72" i="39" s="1"/>
  <c r="E72" i="39"/>
  <c r="E67" i="40"/>
  <c r="G20" i="46"/>
  <c r="E41" i="46" s="1"/>
  <c r="C41" i="46" s="1"/>
  <c r="G52" i="37"/>
  <c r="H52" i="37" s="1"/>
  <c r="I52" i="37" s="1"/>
  <c r="J52" i="37" s="1"/>
  <c r="K52" i="37" s="1"/>
  <c r="F46" i="36"/>
  <c r="G65" i="40"/>
  <c r="H65" i="40" s="1"/>
  <c r="H67" i="40" s="1"/>
  <c r="F33" i="44"/>
  <c r="F31" i="15"/>
  <c r="F28" i="44"/>
  <c r="E14" i="67"/>
  <c r="M28" i="44"/>
  <c r="J4" i="65"/>
  <c r="F12" i="67"/>
  <c r="N7" i="65"/>
  <c r="E12" i="67"/>
  <c r="F43" i="15"/>
  <c r="F6" i="15"/>
  <c r="M26" i="44"/>
  <c r="M29" i="44"/>
  <c r="M8" i="44"/>
  <c r="B10" i="67"/>
  <c r="E13" i="67"/>
  <c r="F36" i="15"/>
  <c r="F11" i="44"/>
  <c r="J5" i="65"/>
  <c r="E8" i="67"/>
  <c r="L48" i="44"/>
  <c r="F18" i="44"/>
  <c r="F38" i="15"/>
  <c r="F13" i="67"/>
  <c r="F14" i="67"/>
  <c r="M22" i="15"/>
  <c r="N6" i="65"/>
  <c r="L49" i="44"/>
  <c r="J7" i="65"/>
  <c r="F10" i="67"/>
  <c r="I7" i="65"/>
  <c r="M27" i="15"/>
  <c r="M24" i="44"/>
  <c r="N5" i="65"/>
  <c r="F16" i="15"/>
  <c r="M23" i="15"/>
  <c r="M29" i="15"/>
  <c r="M11" i="44"/>
  <c r="M9" i="15"/>
  <c r="F26" i="15"/>
  <c r="M24" i="15"/>
  <c r="N4" i="65"/>
  <c r="F39" i="44"/>
  <c r="F37" i="15"/>
  <c r="N3" i="65"/>
  <c r="F15" i="44"/>
  <c r="L48" i="15"/>
  <c r="F8" i="44"/>
  <c r="F10" i="44"/>
  <c r="I4" i="65"/>
  <c r="F46" i="44"/>
  <c r="F40" i="44"/>
  <c r="J3" i="65"/>
  <c r="B12" i="67"/>
  <c r="M8" i="15"/>
  <c r="F9" i="44"/>
  <c r="I3" i="65"/>
  <c r="F9" i="15"/>
  <c r="B14" i="67"/>
  <c r="M28" i="15"/>
  <c r="M30" i="44"/>
  <c r="F43" i="44"/>
  <c r="F11" i="67"/>
  <c r="J15" i="15"/>
  <c r="F9" i="67"/>
  <c r="F8" i="67"/>
  <c r="B8" i="67"/>
  <c r="B13" i="67"/>
  <c r="F13" i="15"/>
  <c r="F42" i="15"/>
  <c r="J36" i="15"/>
  <c r="L47" i="15"/>
  <c r="M31" i="44"/>
  <c r="F40" i="15"/>
  <c r="E10" i="67"/>
  <c r="F7" i="15"/>
  <c r="J6" i="65"/>
  <c r="I6" i="65"/>
  <c r="M25" i="44"/>
  <c r="B11" i="67"/>
  <c r="E9" i="67"/>
  <c r="F38" i="44"/>
  <c r="M10" i="44"/>
  <c r="M26" i="15"/>
  <c r="F45" i="44"/>
  <c r="F8" i="15"/>
  <c r="I5" i="65"/>
  <c r="M6" i="15"/>
  <c r="B9" i="67"/>
  <c r="E11" i="67"/>
  <c r="J17" i="44"/>
  <c r="C30" i="44" l="1"/>
  <c r="C15" i="43"/>
  <c r="C28" i="15"/>
  <c r="C25" i="12"/>
  <c r="C31" i="43"/>
  <c r="G67" i="40"/>
  <c r="C27" i="43"/>
  <c r="F8" i="59"/>
  <c r="F7" i="59" s="1"/>
  <c r="F6" i="59" s="1"/>
  <c r="F5" i="59" s="1"/>
  <c r="V9" i="59"/>
  <c r="G17" i="46"/>
  <c r="C16" i="46" s="1"/>
  <c r="W20" i="36"/>
  <c r="U11" i="33"/>
  <c r="AB11" i="33"/>
  <c r="E14" i="6"/>
  <c r="E61" i="40" s="1"/>
  <c r="AC15" i="33"/>
  <c r="W15" i="33"/>
  <c r="J7" i="34"/>
  <c r="G70" i="39"/>
  <c r="AC18" i="36"/>
  <c r="A9" i="64"/>
  <c r="AC19" i="40"/>
  <c r="AA14" i="36"/>
  <c r="H71" i="46"/>
  <c r="H75" i="46"/>
  <c r="H69" i="46"/>
  <c r="AC25" i="40"/>
  <c r="W47" i="39"/>
  <c r="AC47" i="39"/>
  <c r="U16" i="39"/>
  <c r="AB16" i="39"/>
  <c r="U34" i="33"/>
  <c r="AA38" i="40"/>
  <c r="AC34" i="39"/>
  <c r="W34" i="39"/>
  <c r="U44" i="39"/>
  <c r="AB44" i="39"/>
  <c r="W32" i="33"/>
  <c r="AC32" i="33"/>
  <c r="AZ344" i="3"/>
  <c r="H22" i="46"/>
  <c r="AB18" i="36"/>
  <c r="E69" i="46"/>
  <c r="B67" i="46" s="1"/>
  <c r="AB40" i="40"/>
  <c r="U40" i="40"/>
  <c r="AC33" i="34"/>
  <c r="W33" i="34"/>
  <c r="AB11" i="37"/>
  <c r="U11" i="37"/>
  <c r="U31" i="21"/>
  <c r="AB31" i="21"/>
  <c r="U19" i="40"/>
  <c r="AB39" i="40"/>
  <c r="AB23" i="34"/>
  <c r="C20" i="46"/>
  <c r="AC11" i="33"/>
  <c r="AZ339" i="3"/>
  <c r="I65" i="40"/>
  <c r="E59" i="34"/>
  <c r="F59" i="34" s="1"/>
  <c r="G59" i="34" s="1"/>
  <c r="H59" i="34" s="1"/>
  <c r="I59" i="34" s="1"/>
  <c r="J59" i="34" s="1"/>
  <c r="K59" i="34" s="1"/>
  <c r="L59" i="34" s="1"/>
  <c r="M59" i="34" s="1"/>
  <c r="N59" i="34" s="1"/>
  <c r="O59" i="34" s="1"/>
  <c r="C7" i="59"/>
  <c r="D8" i="59"/>
  <c r="C101" i="46"/>
  <c r="C109" i="46" s="1"/>
  <c r="U37" i="40"/>
  <c r="AB15" i="33"/>
  <c r="W25" i="33"/>
  <c r="AC25" i="33"/>
  <c r="W17" i="34"/>
  <c r="W11" i="34"/>
  <c r="AC11" i="34"/>
  <c r="AA34" i="33"/>
  <c r="W36" i="33"/>
  <c r="AC36" i="33"/>
  <c r="W14" i="40"/>
  <c r="AA15" i="40"/>
  <c r="AB33" i="37"/>
  <c r="U33" i="37"/>
  <c r="S20" i="35"/>
  <c r="AA20" i="35"/>
  <c r="AC40" i="40"/>
  <c r="W40" i="40"/>
  <c r="AB30" i="40"/>
  <c r="AB39" i="39"/>
  <c r="U39" i="39"/>
  <c r="AB14" i="35"/>
  <c r="U14" i="35"/>
  <c r="AB12" i="37"/>
  <c r="U12" i="37"/>
  <c r="AZ545" i="3"/>
  <c r="AC36" i="34"/>
  <c r="AZ493" i="3"/>
  <c r="AB31" i="33"/>
  <c r="W13" i="36"/>
  <c r="S13" i="33"/>
  <c r="S34" i="36"/>
  <c r="BT5" i="3"/>
  <c r="G28" i="6" s="1"/>
  <c r="H29" i="21"/>
  <c r="F29" i="21"/>
  <c r="J26" i="33"/>
  <c r="H26" i="33"/>
  <c r="AA8" i="35"/>
  <c r="AA28" i="35"/>
  <c r="H46" i="33"/>
  <c r="J46" i="33"/>
  <c r="F31" i="34"/>
  <c r="J31" i="34"/>
  <c r="U12" i="36"/>
  <c r="J24" i="36"/>
  <c r="H24" i="36"/>
  <c r="F24" i="36"/>
  <c r="BL542" i="3"/>
  <c r="AZ542" i="3" s="1"/>
  <c r="BL535" i="3"/>
  <c r="AZ535" i="3" s="1"/>
  <c r="BL519" i="3"/>
  <c r="AZ519" i="3" s="1"/>
  <c r="F34" i="15"/>
  <c r="F61" i="15" s="1"/>
  <c r="F34" i="68"/>
  <c r="F61" i="68" s="1"/>
  <c r="M20" i="68"/>
  <c r="AZ492" i="3"/>
  <c r="G123" i="21"/>
  <c r="H123" i="21" s="1"/>
  <c r="I123" i="21" s="1"/>
  <c r="J123" i="21" s="1"/>
  <c r="K123" i="21" s="1"/>
  <c r="L123" i="21" s="1"/>
  <c r="M123" i="21" s="1"/>
  <c r="H42" i="21"/>
  <c r="F9" i="21"/>
  <c r="S9" i="21" s="1"/>
  <c r="J9" i="21"/>
  <c r="H9" i="21"/>
  <c r="AB9" i="21" s="1"/>
  <c r="AA31" i="33"/>
  <c r="S31" i="33"/>
  <c r="AB27" i="35"/>
  <c r="U27" i="35"/>
  <c r="BA546" i="3"/>
  <c r="AZ546" i="3" s="1"/>
  <c r="BA544" i="3"/>
  <c r="AZ544" i="3" s="1"/>
  <c r="BL538" i="3"/>
  <c r="AZ538" i="3" s="1"/>
  <c r="BA532" i="3"/>
  <c r="AZ532" i="3" s="1"/>
  <c r="BL525" i="3"/>
  <c r="AZ525" i="3" s="1"/>
  <c r="BA524" i="3"/>
  <c r="AZ524" i="3" s="1"/>
  <c r="BA521" i="3"/>
  <c r="AZ521" i="3" s="1"/>
  <c r="BA520" i="3"/>
  <c r="AZ520" i="3" s="1"/>
  <c r="BL20" i="3"/>
  <c r="AZ20" i="3" s="1"/>
  <c r="AZ358" i="3"/>
  <c r="AC41" i="34"/>
  <c r="AB28" i="36"/>
  <c r="J42" i="21"/>
  <c r="AC31" i="36"/>
  <c r="BI5" i="3"/>
  <c r="J13" i="21"/>
  <c r="F13" i="21"/>
  <c r="J9" i="33"/>
  <c r="H9" i="33"/>
  <c r="F28" i="33"/>
  <c r="J28" i="33"/>
  <c r="J12" i="33"/>
  <c r="H12" i="33"/>
  <c r="F32" i="36"/>
  <c r="H32" i="36"/>
  <c r="AB30" i="37"/>
  <c r="U30" i="37"/>
  <c r="AC31" i="35"/>
  <c r="W31" i="35"/>
  <c r="BL563" i="3"/>
  <c r="AZ563" i="3" s="1"/>
  <c r="BL560" i="3"/>
  <c r="AZ560" i="3" s="1"/>
  <c r="BA559" i="3"/>
  <c r="AZ559" i="3" s="1"/>
  <c r="BA551" i="3"/>
  <c r="AZ551" i="3" s="1"/>
  <c r="BA550" i="3"/>
  <c r="AZ550" i="3" s="1"/>
  <c r="H47" i="46"/>
  <c r="U27" i="21"/>
  <c r="W11" i="35"/>
  <c r="AA31" i="21"/>
  <c r="AC10" i="37"/>
  <c r="M18" i="68"/>
  <c r="F32" i="68"/>
  <c r="F59" i="68" s="1"/>
  <c r="F28" i="68"/>
  <c r="C28" i="68" s="1"/>
  <c r="J16" i="40"/>
  <c r="J35" i="40"/>
  <c r="S43" i="34"/>
  <c r="F11" i="36"/>
  <c r="F42" i="21"/>
  <c r="U39" i="37"/>
  <c r="U23" i="37"/>
  <c r="AA46" i="33"/>
  <c r="S28" i="21"/>
  <c r="AA28" i="21"/>
  <c r="J28" i="34"/>
  <c r="G572" i="3"/>
  <c r="BL13" i="3"/>
  <c r="AZ13" i="3" s="1"/>
  <c r="W35" i="21"/>
  <c r="AC35" i="21"/>
  <c r="J14" i="21"/>
  <c r="H14" i="21"/>
  <c r="U14" i="21" s="1"/>
  <c r="AC39" i="34"/>
  <c r="W39" i="34"/>
  <c r="F28" i="34"/>
  <c r="AC24" i="35"/>
  <c r="BA565" i="3"/>
  <c r="AZ565" i="3" s="1"/>
  <c r="B70" i="46"/>
  <c r="C23" i="39"/>
  <c r="U45" i="33"/>
  <c r="AB45" i="33"/>
  <c r="H29" i="34"/>
  <c r="J29" i="34"/>
  <c r="J47" i="34"/>
  <c r="H47" i="34"/>
  <c r="BL533" i="3"/>
  <c r="AZ533" i="3" s="1"/>
  <c r="BA531" i="3"/>
  <c r="AZ531" i="3" s="1"/>
  <c r="BG5" i="3"/>
  <c r="BA487" i="3"/>
  <c r="AZ487" i="3" s="1"/>
  <c r="AA21" i="40"/>
  <c r="W44" i="34"/>
  <c r="AA9" i="37"/>
  <c r="S16" i="36"/>
  <c r="U27" i="36"/>
  <c r="J25" i="39"/>
  <c r="AC25" i="39" s="1"/>
  <c r="BA504" i="3"/>
  <c r="AZ504" i="3" s="1"/>
  <c r="H11" i="36"/>
  <c r="H40" i="21"/>
  <c r="AB40" i="21" s="1"/>
  <c r="S42" i="33"/>
  <c r="H24" i="35"/>
  <c r="J30" i="33"/>
  <c r="W45" i="33"/>
  <c r="AC45" i="33"/>
  <c r="H13" i="21"/>
  <c r="AA38" i="21"/>
  <c r="F26" i="33"/>
  <c r="G570" i="3"/>
  <c r="F12" i="33"/>
  <c r="H12" i="35"/>
  <c r="J12" i="35"/>
  <c r="J9" i="36"/>
  <c r="F9" i="36"/>
  <c r="AC39" i="37"/>
  <c r="W39" i="37"/>
  <c r="H5" i="3"/>
  <c r="U28" i="21"/>
  <c r="J26" i="37"/>
  <c r="H26" i="37"/>
  <c r="G509" i="3"/>
  <c r="AZ472" i="3"/>
  <c r="AZ397" i="3"/>
  <c r="AZ408" i="3"/>
  <c r="AZ460" i="3"/>
  <c r="G519" i="3"/>
  <c r="AZ425" i="3"/>
  <c r="AZ437" i="3"/>
  <c r="G503" i="3"/>
  <c r="AZ409" i="3"/>
  <c r="AZ419" i="3"/>
  <c r="AZ435" i="3"/>
  <c r="AZ393" i="3"/>
  <c r="AZ473" i="3"/>
  <c r="AZ476" i="3"/>
  <c r="G481" i="3"/>
  <c r="AZ416" i="3"/>
  <c r="A11" i="55"/>
  <c r="B62" i="63" s="1"/>
  <c r="BL479" i="3"/>
  <c r="AZ479" i="3" s="1"/>
  <c r="BL302" i="3"/>
  <c r="AZ302" i="3" s="1"/>
  <c r="BL314" i="3"/>
  <c r="AZ314" i="3" s="1"/>
  <c r="BA317" i="3"/>
  <c r="AZ317" i="3" s="1"/>
  <c r="BL335" i="3"/>
  <c r="AZ335" i="3" s="1"/>
  <c r="BL360" i="3"/>
  <c r="AZ360" i="3" s="1"/>
  <c r="BA367" i="3"/>
  <c r="AZ367" i="3" s="1"/>
  <c r="BA371" i="3"/>
  <c r="AZ371" i="3" s="1"/>
  <c r="AZ387" i="3"/>
  <c r="AZ219" i="3"/>
  <c r="AZ226" i="3"/>
  <c r="AZ256" i="3"/>
  <c r="AZ272" i="3"/>
  <c r="G480" i="3"/>
  <c r="AZ238" i="3"/>
  <c r="AZ232" i="3"/>
  <c r="AZ251" i="3"/>
  <c r="AZ116" i="3"/>
  <c r="C92" i="9"/>
  <c r="C110" i="9"/>
  <c r="BL477" i="3"/>
  <c r="AZ477" i="3" s="1"/>
  <c r="BA301" i="3"/>
  <c r="AZ301" i="3" s="1"/>
  <c r="BL332" i="3"/>
  <c r="AZ332" i="3" s="1"/>
  <c r="AZ334" i="3"/>
  <c r="BL348" i="3"/>
  <c r="AZ348" i="3" s="1"/>
  <c r="G365" i="3"/>
  <c r="AZ210" i="3"/>
  <c r="AZ246" i="3"/>
  <c r="AZ248" i="3"/>
  <c r="AZ294" i="3"/>
  <c r="BA474" i="3"/>
  <c r="AZ474" i="3" s="1"/>
  <c r="BL318" i="3"/>
  <c r="BA350" i="3"/>
  <c r="AZ350" i="3" s="1"/>
  <c r="AZ208" i="3"/>
  <c r="AZ250" i="3"/>
  <c r="AZ266" i="3"/>
  <c r="BL480" i="3"/>
  <c r="AZ480" i="3" s="1"/>
  <c r="BL312" i="3"/>
  <c r="AZ312" i="3" s="1"/>
  <c r="BA318" i="3"/>
  <c r="BA325" i="3"/>
  <c r="AZ325" i="3" s="1"/>
  <c r="BA333" i="3"/>
  <c r="AZ333" i="3" s="1"/>
  <c r="AZ368" i="3"/>
  <c r="AZ222" i="3"/>
  <c r="AZ224" i="3"/>
  <c r="AZ258" i="3"/>
  <c r="BA271" i="3"/>
  <c r="AZ271" i="3" s="1"/>
  <c r="G279" i="3"/>
  <c r="G281" i="3"/>
  <c r="BA286" i="3"/>
  <c r="BL289" i="3"/>
  <c r="AZ289" i="3" s="1"/>
  <c r="BL291" i="3"/>
  <c r="BA127" i="3"/>
  <c r="AZ127" i="3" s="1"/>
  <c r="BA135" i="3"/>
  <c r="AZ135" i="3" s="1"/>
  <c r="BA139" i="3"/>
  <c r="AZ139" i="3" s="1"/>
  <c r="BA147" i="3"/>
  <c r="AZ147" i="3" s="1"/>
  <c r="AZ156" i="3"/>
  <c r="BA167" i="3"/>
  <c r="AZ167" i="3" s="1"/>
  <c r="BL176" i="3"/>
  <c r="BA179" i="3"/>
  <c r="AZ179" i="3" s="1"/>
  <c r="BL190" i="3"/>
  <c r="AZ190" i="3" s="1"/>
  <c r="BA201" i="3"/>
  <c r="AZ201" i="3" s="1"/>
  <c r="AZ22" i="3"/>
  <c r="BL27" i="3"/>
  <c r="AZ27" i="3" s="1"/>
  <c r="AZ36" i="3"/>
  <c r="AZ42" i="3"/>
  <c r="AZ69" i="3"/>
  <c r="BL269" i="3"/>
  <c r="BA275" i="3"/>
  <c r="AZ275" i="3" s="1"/>
  <c r="BA276" i="3"/>
  <c r="AZ276" i="3" s="1"/>
  <c r="BA283" i="3"/>
  <c r="AZ283" i="3" s="1"/>
  <c r="BA284" i="3"/>
  <c r="AZ284" i="3" s="1"/>
  <c r="G286" i="3"/>
  <c r="BA287" i="3"/>
  <c r="AZ287" i="3" s="1"/>
  <c r="BA288" i="3"/>
  <c r="AZ288" i="3" s="1"/>
  <c r="BL290" i="3"/>
  <c r="AZ290" i="3" s="1"/>
  <c r="BA292" i="3"/>
  <c r="AZ292" i="3" s="1"/>
  <c r="BA293" i="3"/>
  <c r="AZ293" i="3" s="1"/>
  <c r="BL296" i="3"/>
  <c r="BL121" i="3"/>
  <c r="AZ121" i="3" s="1"/>
  <c r="BL122" i="3"/>
  <c r="AZ122" i="3" s="1"/>
  <c r="BA124" i="3"/>
  <c r="AZ124" i="3" s="1"/>
  <c r="BA125" i="3"/>
  <c r="AZ125" i="3" s="1"/>
  <c r="BL144" i="3"/>
  <c r="BL152" i="3"/>
  <c r="AZ152" i="3" s="1"/>
  <c r="BA155" i="3"/>
  <c r="BL159" i="3"/>
  <c r="AZ159" i="3" s="1"/>
  <c r="BA166" i="3"/>
  <c r="AZ166" i="3" s="1"/>
  <c r="BL186" i="3"/>
  <c r="AZ186" i="3" s="1"/>
  <c r="BA197" i="3"/>
  <c r="AZ197" i="3" s="1"/>
  <c r="AZ198" i="3"/>
  <c r="BL26" i="3"/>
  <c r="AZ28" i="3"/>
  <c r="BA40" i="3"/>
  <c r="AZ40" i="3" s="1"/>
  <c r="AZ269" i="3"/>
  <c r="G276" i="3"/>
  <c r="AZ291" i="3"/>
  <c r="AZ296" i="3"/>
  <c r="AZ176" i="3"/>
  <c r="AZ30" i="3"/>
  <c r="BL281" i="3"/>
  <c r="BL117" i="3"/>
  <c r="AZ120" i="3"/>
  <c r="BL136" i="3"/>
  <c r="BL141" i="3"/>
  <c r="AZ141" i="3" s="1"/>
  <c r="AZ144" i="3"/>
  <c r="AZ175" i="3"/>
  <c r="AZ26" i="3"/>
  <c r="AZ67" i="3"/>
  <c r="BL262" i="3"/>
  <c r="AZ262" i="3" s="1"/>
  <c r="BL266" i="3"/>
  <c r="BL274" i="3"/>
  <c r="AZ274" i="3" s="1"/>
  <c r="BL278" i="3"/>
  <c r="AZ278" i="3" s="1"/>
  <c r="BL279" i="3"/>
  <c r="AZ279" i="3" s="1"/>
  <c r="BL280" i="3"/>
  <c r="AZ280" i="3" s="1"/>
  <c r="BL286" i="3"/>
  <c r="BA113" i="3"/>
  <c r="AZ113" i="3" s="1"/>
  <c r="BA119" i="3"/>
  <c r="AZ119" i="3" s="1"/>
  <c r="G121" i="3"/>
  <c r="BL128" i="3"/>
  <c r="BA143" i="3"/>
  <c r="AZ143" i="3" s="1"/>
  <c r="AZ149" i="3"/>
  <c r="BA203" i="3"/>
  <c r="AZ203" i="3" s="1"/>
  <c r="BA281" i="3"/>
  <c r="AZ281" i="3" s="1"/>
  <c r="AZ117" i="3"/>
  <c r="AZ128" i="3"/>
  <c r="BA136" i="3"/>
  <c r="BL155" i="3"/>
  <c r="AZ171" i="3"/>
  <c r="BA172" i="3"/>
  <c r="AZ172" i="3" s="1"/>
  <c r="BA180" i="3"/>
  <c r="AZ180" i="3" s="1"/>
  <c r="AZ182" i="3"/>
  <c r="AZ202" i="3"/>
  <c r="AZ204" i="3"/>
  <c r="BA21" i="3"/>
  <c r="BA24" i="3"/>
  <c r="AZ24" i="3" s="1"/>
  <c r="AZ33" i="3"/>
  <c r="AZ49" i="3"/>
  <c r="BL28" i="3"/>
  <c r="BA65" i="3"/>
  <c r="AZ65" i="3" s="1"/>
  <c r="BA66" i="3"/>
  <c r="AZ66" i="3" s="1"/>
  <c r="BA77" i="3"/>
  <c r="AZ77" i="3" s="1"/>
  <c r="BL78" i="3"/>
  <c r="AZ78" i="3" s="1"/>
  <c r="AZ92" i="3"/>
  <c r="BA97" i="3"/>
  <c r="AZ97" i="3" s="1"/>
  <c r="BA41" i="3"/>
  <c r="AZ41" i="3" s="1"/>
  <c r="BA57" i="3"/>
  <c r="AZ57" i="3" s="1"/>
  <c r="G66" i="3"/>
  <c r="BL71" i="3"/>
  <c r="AZ71" i="3" s="1"/>
  <c r="BA75" i="3"/>
  <c r="AZ75" i="3" s="1"/>
  <c r="BA79" i="3"/>
  <c r="AZ79" i="3" s="1"/>
  <c r="BA80" i="3"/>
  <c r="AZ80" i="3" s="1"/>
  <c r="BA84" i="3"/>
  <c r="AZ84" i="3" s="1"/>
  <c r="G92" i="3"/>
  <c r="BA93" i="3"/>
  <c r="AZ93" i="3" s="1"/>
  <c r="BA98" i="3"/>
  <c r="AZ98" i="3" s="1"/>
  <c r="AZ100" i="3"/>
  <c r="BL30" i="3"/>
  <c r="BA39" i="3"/>
  <c r="AZ39" i="3" s="1"/>
  <c r="BL43" i="3"/>
  <c r="AZ43" i="3" s="1"/>
  <c r="BL44" i="3"/>
  <c r="AZ44" i="3" s="1"/>
  <c r="BL45" i="3"/>
  <c r="AZ45" i="3" s="1"/>
  <c r="D1" i="57"/>
  <c r="E10" i="57" s="1"/>
  <c r="G37" i="3"/>
  <c r="G39" i="3"/>
  <c r="BA47" i="3"/>
  <c r="AZ47" i="3" s="1"/>
  <c r="BA50" i="3"/>
  <c r="AZ50" i="3" s="1"/>
  <c r="AZ53" i="3"/>
  <c r="BL59" i="3"/>
  <c r="AZ59" i="3" s="1"/>
  <c r="BL61" i="3"/>
  <c r="AZ61" i="3" s="1"/>
  <c r="BA72" i="3"/>
  <c r="AZ72" i="3" s="1"/>
  <c r="AZ73" i="3"/>
  <c r="AZ85" i="3"/>
  <c r="BA86" i="3"/>
  <c r="AZ86" i="3" s="1"/>
  <c r="AZ87" i="3"/>
  <c r="G30" i="3"/>
  <c r="G5" i="3" s="1"/>
  <c r="B3" i="3" s="1"/>
  <c r="G48" i="3"/>
  <c r="BA48" i="3"/>
  <c r="AZ48" i="3" s="1"/>
  <c r="G53" i="3"/>
  <c r="G55" i="3"/>
  <c r="BA63" i="3"/>
  <c r="AZ63" i="3" s="1"/>
  <c r="BA64" i="3"/>
  <c r="AZ64" i="3" s="1"/>
  <c r="BA68" i="3"/>
  <c r="AZ68" i="3" s="1"/>
  <c r="BA88" i="3"/>
  <c r="AZ88" i="3" s="1"/>
  <c r="AZ89" i="3"/>
  <c r="BL91" i="3"/>
  <c r="AZ91" i="3" s="1"/>
  <c r="BA95" i="3"/>
  <c r="AZ95" i="3" s="1"/>
  <c r="AZ96" i="3"/>
  <c r="I21" i="57"/>
  <c r="C27" i="40"/>
  <c r="B85" i="46"/>
  <c r="O54" i="59"/>
  <c r="D55" i="59"/>
  <c r="O55" i="59"/>
  <c r="AB20" i="59"/>
  <c r="AA25" i="59"/>
  <c r="B56" i="59"/>
  <c r="N57" i="59"/>
  <c r="S57" i="59"/>
  <c r="F68" i="59"/>
  <c r="F67" i="59" s="1"/>
  <c r="V69" i="59"/>
  <c r="E13" i="59"/>
  <c r="AA3" i="59"/>
  <c r="AA12" i="59"/>
  <c r="AA26" i="59"/>
  <c r="E27" i="59"/>
  <c r="E28" i="59" s="1"/>
  <c r="E29" i="59" s="1"/>
  <c r="U29" i="59" s="1"/>
  <c r="AB26" i="59"/>
  <c r="AB27" i="59"/>
  <c r="D51" i="59"/>
  <c r="C52" i="59"/>
  <c r="L100" i="46"/>
  <c r="F28" i="59"/>
  <c r="F29" i="59" s="1"/>
  <c r="V29" i="59" s="1"/>
  <c r="AA17" i="59"/>
  <c r="E19" i="59"/>
  <c r="E20" i="59" s="1"/>
  <c r="E21" i="59" s="1"/>
  <c r="U21" i="59" s="1"/>
  <c r="AA14" i="59"/>
  <c r="AA15" i="59"/>
  <c r="AA16" i="59"/>
  <c r="AB15" i="59"/>
  <c r="AB16" i="59"/>
  <c r="AB19" i="59"/>
  <c r="AB13" i="59"/>
  <c r="AB18" i="59"/>
  <c r="AB17" i="59"/>
  <c r="AA22" i="59"/>
  <c r="Y20" i="59"/>
  <c r="Z20" i="59" s="1"/>
  <c r="AA5" i="59"/>
  <c r="S21" i="34"/>
  <c r="T29" i="59"/>
  <c r="D29" i="59"/>
  <c r="X17" i="59"/>
  <c r="B17" i="59"/>
  <c r="A26" i="51"/>
  <c r="B19" i="63" s="1"/>
  <c r="A26" i="64"/>
  <c r="AA18" i="59"/>
  <c r="S21" i="37"/>
  <c r="AA27" i="40"/>
  <c r="C21" i="59"/>
  <c r="D20" i="59"/>
  <c r="C48" i="59"/>
  <c r="D47" i="59"/>
  <c r="C75" i="59"/>
  <c r="D75" i="59" s="1"/>
  <c r="D76" i="59"/>
  <c r="AA12" i="46"/>
  <c r="AA10" i="46"/>
  <c r="Y15" i="59"/>
  <c r="Z15" i="59" s="1"/>
  <c r="X7" i="59"/>
  <c r="X3" i="59"/>
  <c r="X10" i="59"/>
  <c r="Y5" i="59"/>
  <c r="Z5" i="59" s="1"/>
  <c r="Y3" i="59"/>
  <c r="Z3" i="59" s="1"/>
  <c r="C44" i="59"/>
  <c r="D43" i="59"/>
  <c r="AB25" i="59"/>
  <c r="B11" i="59"/>
  <c r="B10" i="59" s="1"/>
  <c r="B9" i="59" s="1"/>
  <c r="X15" i="59"/>
  <c r="AB12" i="59"/>
  <c r="AB7" i="59"/>
  <c r="C72" i="59"/>
  <c r="E55" i="59"/>
  <c r="C40" i="59"/>
  <c r="Y18" i="59"/>
  <c r="Z18" i="59" s="1"/>
  <c r="AI12" i="46"/>
  <c r="Z10" i="46"/>
  <c r="Z12" i="46"/>
  <c r="X26" i="59"/>
  <c r="L76" i="9"/>
  <c r="K76" i="9"/>
  <c r="K77" i="9" s="1"/>
  <c r="K79" i="9" s="1"/>
  <c r="K81" i="9" s="1"/>
  <c r="X13" i="59"/>
  <c r="AA10" i="59"/>
  <c r="AA21" i="59"/>
  <c r="Y17" i="59"/>
  <c r="Z17" i="59" s="1"/>
  <c r="AA23" i="59"/>
  <c r="X20" i="59"/>
  <c r="F16" i="59"/>
  <c r="F15" i="59" s="1"/>
  <c r="V17" i="59"/>
  <c r="X12" i="59"/>
  <c r="Y6" i="59"/>
  <c r="Z6" i="59" s="1"/>
  <c r="X6" i="59"/>
  <c r="AB6" i="59"/>
  <c r="AB3" i="59"/>
  <c r="B74" i="46"/>
  <c r="S18" i="35"/>
  <c r="AB21" i="59"/>
  <c r="X24" i="59"/>
  <c r="C17" i="59"/>
  <c r="AB14" i="59"/>
  <c r="X5" i="59"/>
  <c r="AB5" i="59"/>
  <c r="C60" i="59"/>
  <c r="F33" i="59"/>
  <c r="V33" i="59" s="1"/>
  <c r="Y16" i="59"/>
  <c r="Z16" i="59" s="1"/>
  <c r="X18" i="59"/>
  <c r="AA20" i="59"/>
  <c r="AB22" i="59"/>
  <c r="Y24" i="59"/>
  <c r="Z24" i="59" s="1"/>
  <c r="F55" i="59"/>
  <c r="AE12" i="46"/>
  <c r="Y23" i="59"/>
  <c r="Z23" i="59" s="1"/>
  <c r="AA19" i="59"/>
  <c r="Y14" i="59"/>
  <c r="Z14" i="59" s="1"/>
  <c r="AA7" i="59"/>
  <c r="AA6" i="59"/>
  <c r="Y19" i="59"/>
  <c r="Z19" i="59" s="1"/>
  <c r="X23" i="59"/>
  <c r="C32" i="59"/>
  <c r="D31" i="59"/>
  <c r="AA24" i="59"/>
  <c r="X21" i="59"/>
  <c r="E16" i="59"/>
  <c r="E15" i="59" s="1"/>
  <c r="X16" i="59"/>
  <c r="Y13" i="59"/>
  <c r="Z13" i="59" s="1"/>
  <c r="Y12" i="59"/>
  <c r="Z12" i="59" s="1"/>
  <c r="B19" i="59"/>
  <c r="B20" i="59" s="1"/>
  <c r="B21" i="59" s="1"/>
  <c r="S21" i="59" s="1"/>
  <c r="Y7" i="59"/>
  <c r="Z7" i="59" s="1"/>
  <c r="AA36" i="21"/>
  <c r="AC36" i="21"/>
  <c r="AC34" i="21"/>
  <c r="AB34" i="21"/>
  <c r="AA40" i="21"/>
  <c r="S39" i="21"/>
  <c r="W39" i="21"/>
  <c r="H113" i="21"/>
  <c r="F37" i="21"/>
  <c r="S37" i="21" s="1"/>
  <c r="H37" i="21"/>
  <c r="U37" i="21" s="1"/>
  <c r="J37" i="21"/>
  <c r="W37" i="21" s="1"/>
  <c r="F85" i="21"/>
  <c r="G85" i="21" s="1"/>
  <c r="J23" i="21"/>
  <c r="H23" i="21"/>
  <c r="F23" i="21"/>
  <c r="S23" i="21" s="1"/>
  <c r="F81" i="21"/>
  <c r="G81" i="21" s="1"/>
  <c r="F19" i="21"/>
  <c r="AA19" i="21" s="1"/>
  <c r="J19" i="21"/>
  <c r="H19" i="21"/>
  <c r="AB19" i="21" s="1"/>
  <c r="H17" i="21"/>
  <c r="F79" i="21"/>
  <c r="G79" i="21" s="1"/>
  <c r="F17" i="21"/>
  <c r="S17" i="21" s="1"/>
  <c r="J17" i="21"/>
  <c r="AC17" i="21" s="1"/>
  <c r="F15" i="21"/>
  <c r="S15" i="21" s="1"/>
  <c r="H15" i="21"/>
  <c r="AB15" i="21" s="1"/>
  <c r="F77" i="21"/>
  <c r="G77" i="21" s="1"/>
  <c r="J15" i="21"/>
  <c r="AA9" i="21"/>
  <c r="G66" i="21"/>
  <c r="H66" i="21" s="1"/>
  <c r="I66" i="21" s="1"/>
  <c r="J10" i="21"/>
  <c r="AC46" i="21"/>
  <c r="U43" i="21"/>
  <c r="U46" i="21"/>
  <c r="AC37" i="21"/>
  <c r="AA23" i="21"/>
  <c r="AA17" i="21"/>
  <c r="W32" i="21"/>
  <c r="U39" i="21"/>
  <c r="AB44" i="21"/>
  <c r="AB14" i="21"/>
  <c r="AB36" i="21"/>
  <c r="AA15" i="21"/>
  <c r="AA25" i="21"/>
  <c r="S45" i="21"/>
  <c r="S21" i="21"/>
  <c r="S29" i="39"/>
  <c r="F101" i="39"/>
  <c r="G101" i="39" s="1"/>
  <c r="H27" i="39"/>
  <c r="AB27" i="39" s="1"/>
  <c r="F27" i="39"/>
  <c r="AA27" i="39" s="1"/>
  <c r="J27" i="39"/>
  <c r="AC27" i="39" s="1"/>
  <c r="F23" i="39"/>
  <c r="F97" i="39"/>
  <c r="G97" i="39" s="1"/>
  <c r="J23" i="39"/>
  <c r="AC23" i="39" s="1"/>
  <c r="H23" i="39"/>
  <c r="U23" i="39" s="1"/>
  <c r="H21" i="39"/>
  <c r="F95" i="39"/>
  <c r="G95" i="39" s="1"/>
  <c r="F21" i="39"/>
  <c r="J21" i="39"/>
  <c r="F19" i="39"/>
  <c r="J19" i="39"/>
  <c r="W19" i="39" s="1"/>
  <c r="F93" i="39"/>
  <c r="G93" i="39" s="1"/>
  <c r="H19" i="39"/>
  <c r="F17" i="39"/>
  <c r="F91" i="39"/>
  <c r="G91" i="39" s="1"/>
  <c r="J17" i="39"/>
  <c r="W17" i="39" s="1"/>
  <c r="W29" i="39"/>
  <c r="S27" i="39"/>
  <c r="AC33" i="39"/>
  <c r="AB33" i="39"/>
  <c r="AB29" i="39"/>
  <c r="AC44" i="39"/>
  <c r="S41" i="39"/>
  <c r="S31" i="39"/>
  <c r="W27" i="39"/>
  <c r="W25" i="39"/>
  <c r="S25" i="39"/>
  <c r="AB25" i="39"/>
  <c r="W23" i="39"/>
  <c r="B9" i="52"/>
  <c r="C18" i="9"/>
  <c r="M43" i="9" s="1"/>
  <c r="B10" i="52"/>
  <c r="E6" i="52"/>
  <c r="AB11" i="46"/>
  <c r="AB13" i="46" s="1"/>
  <c r="S7" i="46"/>
  <c r="Z7" i="46"/>
  <c r="S4" i="46"/>
  <c r="S2" i="46"/>
  <c r="AA11" i="46"/>
  <c r="AA13" i="46" s="1"/>
  <c r="N104" i="45"/>
  <c r="N101" i="46"/>
  <c r="N105" i="46" s="1"/>
  <c r="J22" i="46"/>
  <c r="S6" i="46"/>
  <c r="S3" i="46"/>
  <c r="S5" i="46"/>
  <c r="C23" i="46"/>
  <c r="C21" i="46" s="1"/>
  <c r="AF11" i="46"/>
  <c r="AF13" i="46" s="1"/>
  <c r="E22" i="46"/>
  <c r="F22" i="46"/>
  <c r="J101" i="46"/>
  <c r="J106" i="46" s="1"/>
  <c r="AD11" i="46"/>
  <c r="AD13" i="46" s="1"/>
  <c r="I101" i="46"/>
  <c r="I105" i="46" s="1"/>
  <c r="D101" i="46"/>
  <c r="D106" i="46" s="1"/>
  <c r="H101" i="46"/>
  <c r="H106" i="46" s="1"/>
  <c r="AE11" i="46"/>
  <c r="AI11" i="46"/>
  <c r="AH11" i="46"/>
  <c r="AH13" i="46" s="1"/>
  <c r="Z11" i="46"/>
  <c r="Z13" i="46" s="1"/>
  <c r="AG11" i="46"/>
  <c r="AG13" i="46" s="1"/>
  <c r="K101" i="46"/>
  <c r="E101" i="46"/>
  <c r="L101" i="46"/>
  <c r="B113" i="46"/>
  <c r="G101" i="46"/>
  <c r="AJ11" i="46"/>
  <c r="AJ13" i="46" s="1"/>
  <c r="AC11" i="46"/>
  <c r="AC13" i="46" s="1"/>
  <c r="M101" i="46"/>
  <c r="M106" i="46" s="1"/>
  <c r="F101" i="46"/>
  <c r="F105" i="46" s="1"/>
  <c r="G22" i="46"/>
  <c r="F29" i="6"/>
  <c r="F30" i="6" s="1"/>
  <c r="K12" i="1"/>
  <c r="M12" i="1" s="1"/>
  <c r="O12" i="1" s="1"/>
  <c r="G1" i="68"/>
  <c r="E66" i="39"/>
  <c r="E8" i="6"/>
  <c r="F27" i="6" s="1"/>
  <c r="E21" i="52"/>
  <c r="E11" i="52"/>
  <c r="A30" i="64"/>
  <c r="A30" i="51"/>
  <c r="B22" i="63" s="1"/>
  <c r="B13" i="52"/>
  <c r="B14" i="52"/>
  <c r="B4" i="52"/>
  <c r="E22" i="52"/>
  <c r="B7" i="52"/>
  <c r="B6" i="52"/>
  <c r="AB15" i="39"/>
  <c r="AC37" i="39"/>
  <c r="U34" i="39"/>
  <c r="AA37" i="39"/>
  <c r="AB37" i="39"/>
  <c r="C5" i="46"/>
  <c r="D5" i="46"/>
  <c r="B54" i="46"/>
  <c r="D23" i="15"/>
  <c r="E10" i="52"/>
  <c r="B8" i="52"/>
  <c r="E8" i="52"/>
  <c r="E13" i="52"/>
  <c r="E4" i="4" s="1"/>
  <c r="B21" i="55" s="1"/>
  <c r="B72" i="63" s="1"/>
  <c r="E9" i="52"/>
  <c r="B11" i="52"/>
  <c r="B22" i="52"/>
  <c r="E4" i="52"/>
  <c r="E7" i="52"/>
  <c r="C4" i="4" s="1"/>
  <c r="B20" i="55" s="1"/>
  <c r="B70" i="63" s="1"/>
  <c r="E58" i="39"/>
  <c r="M8" i="1"/>
  <c r="O8" i="1" s="1"/>
  <c r="P8" i="1" s="1"/>
  <c r="J103" i="46"/>
  <c r="I104" i="46"/>
  <c r="C103" i="46"/>
  <c r="C106" i="46"/>
  <c r="C104" i="46"/>
  <c r="D105" i="46"/>
  <c r="F104" i="46"/>
  <c r="M105" i="46"/>
  <c r="M102" i="46"/>
  <c r="C105" i="46"/>
  <c r="C102" i="46"/>
  <c r="C107" i="46"/>
  <c r="D12" i="11"/>
  <c r="C12" i="11" s="1"/>
  <c r="E29" i="6"/>
  <c r="O6" i="1"/>
  <c r="P6" i="1" s="1"/>
  <c r="C15" i="12" s="1"/>
  <c r="E15" i="6"/>
  <c r="E12" i="6"/>
  <c r="E11" i="6"/>
  <c r="P13" i="1"/>
  <c r="O10" i="1"/>
  <c r="P10" i="1" s="1"/>
  <c r="M107" i="46"/>
  <c r="M103" i="46"/>
  <c r="M109" i="46"/>
  <c r="M104" i="46"/>
  <c r="L16" i="4"/>
  <c r="K17" i="4" s="1"/>
  <c r="A22" i="51" s="1"/>
  <c r="B16" i="63" s="1"/>
  <c r="N48" i="35"/>
  <c r="O48" i="35" s="1"/>
  <c r="L52" i="37"/>
  <c r="M52" i="37" s="1"/>
  <c r="N52" i="37" s="1"/>
  <c r="O52" i="37" s="1"/>
  <c r="G46" i="36"/>
  <c r="F58" i="33"/>
  <c r="G58" i="33" s="1"/>
  <c r="H58" i="33" s="1"/>
  <c r="I58" i="33" s="1"/>
  <c r="J58" i="33" s="1"/>
  <c r="K58" i="33" s="1"/>
  <c r="L58" i="33" s="1"/>
  <c r="M58" i="33" s="1"/>
  <c r="N58" i="33" s="1"/>
  <c r="O58" i="33" s="1"/>
  <c r="H7" i="33" s="1"/>
  <c r="F7" i="33"/>
  <c r="G58" i="21"/>
  <c r="H58" i="21" s="1"/>
  <c r="I58" i="21" s="1"/>
  <c r="J58" i="21" s="1"/>
  <c r="K58" i="21" s="1"/>
  <c r="L58" i="21" s="1"/>
  <c r="M58" i="21" s="1"/>
  <c r="N58" i="21" s="1"/>
  <c r="O58" i="21" s="1"/>
  <c r="H7" i="34"/>
  <c r="C6" i="15"/>
  <c r="F67" i="15"/>
  <c r="I1" i="65"/>
  <c r="C8" i="44"/>
  <c r="J1" i="65"/>
  <c r="Q73" i="44"/>
  <c r="C29" i="44"/>
  <c r="F70" i="15"/>
  <c r="C27" i="15"/>
  <c r="M9" i="44"/>
  <c r="J8" i="44" s="1"/>
  <c r="L59" i="15"/>
  <c r="L58" i="15"/>
  <c r="F64" i="15"/>
  <c r="L60" i="44"/>
  <c r="L59" i="44"/>
  <c r="I54" i="15"/>
  <c r="J57" i="15"/>
  <c r="J55" i="15" s="1"/>
  <c r="J58" i="15" s="1"/>
  <c r="Q51" i="15" s="1"/>
  <c r="J53" i="15"/>
  <c r="L56" i="15"/>
  <c r="F49" i="15"/>
  <c r="M7" i="15"/>
  <c r="J6" i="15" s="1"/>
  <c r="F65" i="15"/>
  <c r="J58" i="44"/>
  <c r="J56" i="44" s="1"/>
  <c r="J59" i="44" s="1"/>
  <c r="Q52" i="44" s="1"/>
  <c r="L57" i="44"/>
  <c r="I55" i="44"/>
  <c r="J54" i="44"/>
  <c r="J61" i="44"/>
  <c r="Q50" i="44" s="1"/>
  <c r="J60" i="44"/>
  <c r="F50" i="15"/>
  <c r="E20" i="46"/>
  <c r="Q72" i="15"/>
  <c r="F63" i="15"/>
  <c r="C4" i="65"/>
  <c r="B39" i="1" s="1"/>
  <c r="M17" i="15"/>
  <c r="M19" i="44"/>
  <c r="F58" i="15"/>
  <c r="J15" i="68"/>
  <c r="F13" i="68"/>
  <c r="M22" i="68"/>
  <c r="F9" i="68"/>
  <c r="L48" i="68"/>
  <c r="F36" i="68"/>
  <c r="F6" i="68"/>
  <c r="F38" i="68"/>
  <c r="F43" i="68"/>
  <c r="M29" i="68"/>
  <c r="M23" i="68"/>
  <c r="F40" i="68"/>
  <c r="F7" i="68"/>
  <c r="M27" i="68"/>
  <c r="M28" i="68"/>
  <c r="F8" i="68"/>
  <c r="L47" i="68"/>
  <c r="J36" i="68"/>
  <c r="F37" i="68"/>
  <c r="E2" i="65"/>
  <c r="M26" i="68"/>
  <c r="C16" i="15"/>
  <c r="M9" i="68"/>
  <c r="C18" i="44"/>
  <c r="F26" i="68"/>
  <c r="M6" i="68"/>
  <c r="E3" i="65"/>
  <c r="H17" i="39" l="1"/>
  <c r="U17" i="39" s="1"/>
  <c r="E28" i="6"/>
  <c r="G30" i="6"/>
  <c r="G31" i="6" s="1"/>
  <c r="E395" i="3"/>
  <c r="E59" i="3"/>
  <c r="E249" i="3"/>
  <c r="E426" i="3"/>
  <c r="E363" i="3"/>
  <c r="E425" i="3"/>
  <c r="E272" i="3"/>
  <c r="E445" i="3"/>
  <c r="U6" i="3"/>
  <c r="E527" i="3"/>
  <c r="E126" i="3"/>
  <c r="E336" i="3"/>
  <c r="E400" i="3"/>
  <c r="E105" i="3"/>
  <c r="AQ6" i="3"/>
  <c r="E285" i="3"/>
  <c r="E419" i="3"/>
  <c r="E229" i="3"/>
  <c r="E529" i="3"/>
  <c r="E287" i="3"/>
  <c r="E555" i="3"/>
  <c r="E271" i="3"/>
  <c r="E530" i="3"/>
  <c r="E558" i="3"/>
  <c r="E108" i="3"/>
  <c r="E217" i="3"/>
  <c r="E260" i="3"/>
  <c r="E524" i="3"/>
  <c r="E90" i="3"/>
  <c r="E35" i="3"/>
  <c r="E169" i="3"/>
  <c r="E315" i="3"/>
  <c r="E501" i="3"/>
  <c r="E522" i="3"/>
  <c r="E371" i="3"/>
  <c r="E510" i="3"/>
  <c r="E487" i="3"/>
  <c r="E227" i="3"/>
  <c r="E26" i="3"/>
  <c r="E244" i="3"/>
  <c r="E511" i="3"/>
  <c r="E240" i="3"/>
  <c r="E484" i="3"/>
  <c r="E20" i="3"/>
  <c r="M6" i="3"/>
  <c r="E421" i="3"/>
  <c r="E446" i="3"/>
  <c r="E333" i="3"/>
  <c r="E46" i="3"/>
  <c r="E359" i="3"/>
  <c r="E31" i="3"/>
  <c r="E321" i="3"/>
  <c r="AD6" i="3"/>
  <c r="E215" i="3"/>
  <c r="E103" i="3"/>
  <c r="Z6" i="3"/>
  <c r="E389" i="3"/>
  <c r="AK6" i="3"/>
  <c r="E297" i="3"/>
  <c r="E209" i="3"/>
  <c r="I3" i="6"/>
  <c r="J6" i="3"/>
  <c r="E289" i="3"/>
  <c r="E539" i="3"/>
  <c r="E139" i="3"/>
  <c r="E25" i="3"/>
  <c r="E305" i="3"/>
  <c r="E196" i="3"/>
  <c r="E308" i="3"/>
  <c r="E448" i="3"/>
  <c r="E96" i="3"/>
  <c r="E197" i="3"/>
  <c r="E345" i="3"/>
  <c r="E72" i="3"/>
  <c r="E302" i="3"/>
  <c r="E234" i="3"/>
  <c r="E191" i="3"/>
  <c r="E559" i="3"/>
  <c r="E228" i="3"/>
  <c r="E508" i="3"/>
  <c r="E319" i="3"/>
  <c r="E403" i="3"/>
  <c r="E183" i="3"/>
  <c r="E385" i="3"/>
  <c r="E474" i="3"/>
  <c r="E153" i="3"/>
  <c r="E360" i="3"/>
  <c r="T6" i="3"/>
  <c r="E182" i="3"/>
  <c r="E208" i="3"/>
  <c r="E163" i="3"/>
  <c r="E562" i="3"/>
  <c r="E518" i="3"/>
  <c r="E384" i="3"/>
  <c r="E350" i="3"/>
  <c r="E516" i="3"/>
  <c r="E273" i="3"/>
  <c r="E563" i="3"/>
  <c r="E322" i="3"/>
  <c r="E155" i="3"/>
  <c r="E301" i="3"/>
  <c r="E318" i="3"/>
  <c r="E380" i="3"/>
  <c r="E68" i="3"/>
  <c r="E69" i="3"/>
  <c r="E93" i="3"/>
  <c r="E91" i="3"/>
  <c r="E231" i="3"/>
  <c r="E470" i="3"/>
  <c r="AA6" i="3"/>
  <c r="E222" i="3"/>
  <c r="I6" i="3"/>
  <c r="E164" i="3"/>
  <c r="E262" i="3"/>
  <c r="E143" i="3"/>
  <c r="E450" i="3"/>
  <c r="E463" i="3"/>
  <c r="E500" i="3"/>
  <c r="E136" i="3"/>
  <c r="E401" i="3"/>
  <c r="E166" i="3"/>
  <c r="E556" i="3"/>
  <c r="E479" i="3"/>
  <c r="Y6"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541" i="3"/>
  <c r="E356" i="3"/>
  <c r="E475" i="3"/>
  <c r="E147" i="3"/>
  <c r="E152" i="3"/>
  <c r="E391" i="3"/>
  <c r="E186" i="3"/>
  <c r="E299" i="3"/>
  <c r="E430" i="3"/>
  <c r="E77" i="3"/>
  <c r="E520" i="3"/>
  <c r="E549" i="3"/>
  <c r="E79" i="3"/>
  <c r="E43" i="3"/>
  <c r="E65" i="3"/>
  <c r="E235" i="3"/>
  <c r="E76" i="3"/>
  <c r="E314" i="3"/>
  <c r="E436" i="3"/>
  <c r="E19" i="3"/>
  <c r="E106" i="3"/>
  <c r="E323" i="3"/>
  <c r="E497" i="3"/>
  <c r="E130" i="3"/>
  <c r="E341" i="3"/>
  <c r="E282" i="3"/>
  <c r="E311" i="3"/>
  <c r="E146" i="3"/>
  <c r="E101" i="3"/>
  <c r="E460" i="3"/>
  <c r="E85" i="3"/>
  <c r="E451" i="3"/>
  <c r="E416" i="3"/>
  <c r="E505" i="3"/>
  <c r="E292" i="3"/>
  <c r="E97" i="3"/>
  <c r="E113" i="3"/>
  <c r="E332" i="3"/>
  <c r="E52" i="3"/>
  <c r="E204" i="3"/>
  <c r="E449" i="3"/>
  <c r="E248" i="3"/>
  <c r="E526" i="3"/>
  <c r="E453" i="3"/>
  <c r="E51" i="3"/>
  <c r="E198" i="3"/>
  <c r="E224" i="3"/>
  <c r="E133" i="3"/>
  <c r="E433" i="3"/>
  <c r="E331" i="3"/>
  <c r="E362" i="3"/>
  <c r="E188" i="3"/>
  <c r="E554" i="3"/>
  <c r="E499" i="3"/>
  <c r="E334" i="3"/>
  <c r="E325" i="3"/>
  <c r="E81" i="3"/>
  <c r="AJ6" i="3"/>
  <c r="E307" i="3"/>
  <c r="E45" i="3"/>
  <c r="E284" i="3"/>
  <c r="E298" i="3"/>
  <c r="E531" i="3"/>
  <c r="E118" i="3"/>
  <c r="E219" i="3"/>
  <c r="E506" i="3"/>
  <c r="E514" i="3"/>
  <c r="E532" i="3"/>
  <c r="E368" i="3"/>
  <c r="E515" i="3"/>
  <c r="E494" i="3"/>
  <c r="AB6" i="3"/>
  <c r="E138" i="3"/>
  <c r="E71" i="3"/>
  <c r="E268" i="3"/>
  <c r="E175" i="3"/>
  <c r="E557" i="3"/>
  <c r="E413" i="3"/>
  <c r="E192" i="3"/>
  <c r="E206" i="3"/>
  <c r="E439" i="3"/>
  <c r="E117" i="3"/>
  <c r="E457" i="3"/>
  <c r="E409" i="3"/>
  <c r="E127" i="3"/>
  <c r="E263" i="3"/>
  <c r="E82" i="3"/>
  <c r="E62" i="3"/>
  <c r="E552" i="3"/>
  <c r="AN6" i="3"/>
  <c r="AE6" i="3"/>
  <c r="O6" i="3"/>
  <c r="E291" i="3"/>
  <c r="E134" i="3"/>
  <c r="E379" i="3"/>
  <c r="E551" i="3"/>
  <c r="E392" i="3"/>
  <c r="E181" i="3"/>
  <c r="E335" i="3"/>
  <c r="E566" i="3"/>
  <c r="E406" i="3"/>
  <c r="E377" i="3"/>
  <c r="E326" i="3"/>
  <c r="E149" i="3"/>
  <c r="E60" i="3"/>
  <c r="E438" i="3"/>
  <c r="E568" i="3"/>
  <c r="E257" i="3"/>
  <c r="E102" i="3"/>
  <c r="E258" i="3"/>
  <c r="E73" i="3"/>
  <c r="E259" i="3"/>
  <c r="V6" i="3"/>
  <c r="E477" i="3"/>
  <c r="E540" i="3"/>
  <c r="E162" i="3"/>
  <c r="E123" i="3"/>
  <c r="E87" i="3"/>
  <c r="E458" i="3"/>
  <c r="E300" i="3"/>
  <c r="E150" i="3"/>
  <c r="E306" i="3"/>
  <c r="E525" i="3"/>
  <c r="K6" i="3"/>
  <c r="E173" i="3"/>
  <c r="E396" i="3"/>
  <c r="E277" i="3"/>
  <c r="E546" i="3"/>
  <c r="E15" i="3"/>
  <c r="E210" i="3"/>
  <c r="E42" i="3"/>
  <c r="E361" i="3"/>
  <c r="E495" i="3"/>
  <c r="E344" i="3"/>
  <c r="E364" i="3"/>
  <c r="E571" i="3"/>
  <c r="E512" i="3"/>
  <c r="E340" i="3"/>
  <c r="E521" i="3"/>
  <c r="E504" i="3"/>
  <c r="E542" i="3"/>
  <c r="S6" i="3"/>
  <c r="E252" i="3"/>
  <c r="E382" i="3"/>
  <c r="E565" i="3"/>
  <c r="E564" i="3"/>
  <c r="E86" i="3"/>
  <c r="E241" i="3"/>
  <c r="E348" i="3"/>
  <c r="E394" i="3"/>
  <c r="E115" i="3"/>
  <c r="E528" i="3"/>
  <c r="X6" i="3"/>
  <c r="E124" i="3"/>
  <c r="E388" i="3"/>
  <c r="E548" i="3"/>
  <c r="E99" i="3"/>
  <c r="E230" i="3"/>
  <c r="E75" i="3"/>
  <c r="E245" i="3"/>
  <c r="E211" i="3"/>
  <c r="AR6" i="3"/>
  <c r="AG6" i="3"/>
  <c r="E290" i="3"/>
  <c r="AF6" i="3"/>
  <c r="E29" i="3"/>
  <c r="E502" i="3"/>
  <c r="E353" i="3"/>
  <c r="E216" i="3"/>
  <c r="E251" i="3"/>
  <c r="E269" i="3"/>
  <c r="E342" i="3"/>
  <c r="E567" i="3"/>
  <c r="E254" i="3"/>
  <c r="E544" i="3"/>
  <c r="AO6" i="3"/>
  <c r="E135" i="3"/>
  <c r="E22" i="3"/>
  <c r="E437" i="3"/>
  <c r="E195" i="3"/>
  <c r="E349" i="3"/>
  <c r="E327" i="3"/>
  <c r="E454" i="3"/>
  <c r="E464" i="3"/>
  <c r="E455" i="3"/>
  <c r="E207" i="3"/>
  <c r="E58" i="3"/>
  <c r="E513" i="3"/>
  <c r="E178" i="3"/>
  <c r="E370" i="3"/>
  <c r="AI6" i="3"/>
  <c r="E40" i="3"/>
  <c r="E246" i="3"/>
  <c r="E56" i="3"/>
  <c r="E330" i="3"/>
  <c r="E137" i="3"/>
  <c r="E221" i="3"/>
  <c r="E434" i="3"/>
  <c r="E375" i="3"/>
  <c r="E24" i="3"/>
  <c r="E50" i="3"/>
  <c r="E122" i="3"/>
  <c r="E316" i="3"/>
  <c r="E57" i="3"/>
  <c r="E256" i="3"/>
  <c r="E236" i="3"/>
  <c r="E226" i="3"/>
  <c r="E553" i="3"/>
  <c r="E358" i="3"/>
  <c r="E476" i="3"/>
  <c r="E83" i="3"/>
  <c r="E114" i="3"/>
  <c r="E266" i="3"/>
  <c r="E491" i="3"/>
  <c r="E432" i="3"/>
  <c r="E338" i="3"/>
  <c r="E329" i="3"/>
  <c r="E523" i="3"/>
  <c r="E239" i="3"/>
  <c r="E538" i="3"/>
  <c r="E373" i="3"/>
  <c r="E159" i="3"/>
  <c r="E461" i="3"/>
  <c r="E13" i="3"/>
  <c r="E132" i="3"/>
  <c r="E424" i="3"/>
  <c r="E120" i="3"/>
  <c r="E489" i="3"/>
  <c r="E212" i="3"/>
  <c r="E366" i="3"/>
  <c r="E328" i="3"/>
  <c r="E459" i="3"/>
  <c r="E200" i="3"/>
  <c r="E339" i="3"/>
  <c r="E378" i="3"/>
  <c r="Q6" i="3"/>
  <c r="E170" i="3"/>
  <c r="E157" i="3"/>
  <c r="E535" i="3"/>
  <c r="E49" i="3"/>
  <c r="E278" i="3"/>
  <c r="E534" i="3"/>
  <c r="E294" i="3"/>
  <c r="E125" i="3"/>
  <c r="E140" i="3"/>
  <c r="E84" i="3"/>
  <c r="E410" i="3"/>
  <c r="E70" i="3"/>
  <c r="E185" i="3"/>
  <c r="E313" i="3"/>
  <c r="E412" i="3"/>
  <c r="W6" i="3"/>
  <c r="H6" i="3" s="1"/>
  <c r="E471" i="3"/>
  <c r="E44" i="3"/>
  <c r="E428" i="3"/>
  <c r="E223" i="3"/>
  <c r="E478" i="3"/>
  <c r="E179" i="3"/>
  <c r="E383" i="3"/>
  <c r="E560" i="3"/>
  <c r="E233" i="3"/>
  <c r="E467" i="3"/>
  <c r="E116" i="3"/>
  <c r="E486" i="3"/>
  <c r="E154" i="3"/>
  <c r="E369" i="3"/>
  <c r="E270" i="3"/>
  <c r="E225" i="3"/>
  <c r="E536" i="3"/>
  <c r="E47" i="3"/>
  <c r="E422" i="3"/>
  <c r="E165" i="3"/>
  <c r="E168" i="3"/>
  <c r="E275" i="3"/>
  <c r="E417" i="3"/>
  <c r="E347" i="3"/>
  <c r="AS6" i="3"/>
  <c r="E465" i="3"/>
  <c r="E533" i="3"/>
  <c r="E312" i="3"/>
  <c r="E201" i="3"/>
  <c r="E390" i="3"/>
  <c r="E435" i="3"/>
  <c r="E482" i="3"/>
  <c r="E418" i="3"/>
  <c r="E80" i="3"/>
  <c r="E37" i="3"/>
  <c r="E288" i="3"/>
  <c r="E447" i="3"/>
  <c r="E89" i="3"/>
  <c r="E280" i="3"/>
  <c r="E156" i="3"/>
  <c r="E427" i="3"/>
  <c r="E104" i="3"/>
  <c r="E376" i="3"/>
  <c r="R6" i="3"/>
  <c r="E64" i="3"/>
  <c r="P6" i="3"/>
  <c r="E142" i="3"/>
  <c r="E431" i="3"/>
  <c r="E109" i="3"/>
  <c r="E151" i="3"/>
  <c r="E27" i="3"/>
  <c r="E405" i="3"/>
  <c r="E293" i="3"/>
  <c r="E408" i="3"/>
  <c r="E36" i="3"/>
  <c r="E100" i="3"/>
  <c r="E205" i="3"/>
  <c r="E317" i="3"/>
  <c r="E247" i="3"/>
  <c r="E420" i="3"/>
  <c r="E429" i="3"/>
  <c r="E214" i="3"/>
  <c r="E264" i="3"/>
  <c r="E309" i="3"/>
  <c r="E462" i="3"/>
  <c r="E34" i="3"/>
  <c r="E107" i="3"/>
  <c r="E279" i="3"/>
  <c r="E498" i="3"/>
  <c r="E261" i="3"/>
  <c r="E547" i="3"/>
  <c r="E295" i="3"/>
  <c r="E265" i="3"/>
  <c r="E78" i="3"/>
  <c r="E187" i="3"/>
  <c r="E423" i="3"/>
  <c r="E218" i="3"/>
  <c r="E184" i="3"/>
  <c r="N6" i="3"/>
  <c r="E92" i="3"/>
  <c r="E404" i="3"/>
  <c r="E28" i="3"/>
  <c r="E507" i="3"/>
  <c r="E255" i="3"/>
  <c r="E517" i="3"/>
  <c r="E18" i="3"/>
  <c r="E16" i="3"/>
  <c r="E32" i="3"/>
  <c r="E492" i="3"/>
  <c r="E283" i="3"/>
  <c r="E381" i="3"/>
  <c r="E193" i="3"/>
  <c r="E94" i="3"/>
  <c r="E387" i="3"/>
  <c r="E21" i="3"/>
  <c r="AH6" i="3"/>
  <c r="E343" i="3"/>
  <c r="AP6" i="3"/>
  <c r="E468" i="3"/>
  <c r="E38" i="3"/>
  <c r="E148" i="3"/>
  <c r="E53" i="3"/>
  <c r="E469" i="3"/>
  <c r="E250" i="3"/>
  <c r="E238" i="3"/>
  <c r="E237" i="3"/>
  <c r="E374" i="3"/>
  <c r="E399" i="3"/>
  <c r="E357" i="3"/>
  <c r="E444" i="3"/>
  <c r="E190" i="3"/>
  <c r="E111" i="3"/>
  <c r="L6" i="3"/>
  <c r="E67" i="3"/>
  <c r="E372" i="3"/>
  <c r="E543" i="3"/>
  <c r="E243" i="3"/>
  <c r="E561" i="3"/>
  <c r="E158" i="3"/>
  <c r="E537" i="3"/>
  <c r="E213" i="3"/>
  <c r="E63" i="3"/>
  <c r="E98" i="3"/>
  <c r="E411" i="3"/>
  <c r="E131" i="3"/>
  <c r="E367" i="3"/>
  <c r="E203" i="3"/>
  <c r="E88" i="3"/>
  <c r="E180" i="3"/>
  <c r="E351" i="3"/>
  <c r="E119" i="3"/>
  <c r="E274" i="3"/>
  <c r="E161" i="3"/>
  <c r="E23" i="3"/>
  <c r="E194" i="3"/>
  <c r="E337" i="3"/>
  <c r="E296" i="3"/>
  <c r="E253" i="3"/>
  <c r="E199" i="3"/>
  <c r="E452" i="3"/>
  <c r="E490" i="3"/>
  <c r="E397" i="3"/>
  <c r="E110" i="3"/>
  <c r="E545" i="3"/>
  <c r="E129" i="3"/>
  <c r="E473" i="3"/>
  <c r="E398" i="3"/>
  <c r="E41" i="3"/>
  <c r="E414" i="3"/>
  <c r="E304" i="3"/>
  <c r="E30" i="3"/>
  <c r="E415" i="3"/>
  <c r="E141" i="3"/>
  <c r="E407" i="3"/>
  <c r="E189" i="3"/>
  <c r="E303" i="3"/>
  <c r="E39" i="3"/>
  <c r="E172" i="3"/>
  <c r="E393" i="3"/>
  <c r="E145" i="3"/>
  <c r="E220" i="3"/>
  <c r="E33" i="3"/>
  <c r="E443" i="3"/>
  <c r="AM6" i="3"/>
  <c r="E472" i="3"/>
  <c r="E54" i="3"/>
  <c r="E442" i="3"/>
  <c r="E174" i="3"/>
  <c r="E232" i="3"/>
  <c r="E202" i="3"/>
  <c r="E441" i="3"/>
  <c r="E550" i="3"/>
  <c r="E402" i="3"/>
  <c r="E480" i="3"/>
  <c r="N104" i="46"/>
  <c r="D109" i="46"/>
  <c r="N102" i="46"/>
  <c r="F7" i="21"/>
  <c r="F7" i="35"/>
  <c r="AA7" i="35" s="1"/>
  <c r="R38" i="35" s="1"/>
  <c r="P12" i="1"/>
  <c r="N103" i="46"/>
  <c r="N106" i="46"/>
  <c r="Q16" i="1"/>
  <c r="F18" i="11" s="1"/>
  <c r="C18" i="11" s="1"/>
  <c r="AE13" i="46"/>
  <c r="U27" i="39"/>
  <c r="U9" i="21"/>
  <c r="C59" i="59"/>
  <c r="D59" i="59" s="1"/>
  <c r="D60" i="59"/>
  <c r="P54" i="59"/>
  <c r="P55" i="59"/>
  <c r="C19" i="46"/>
  <c r="C29" i="46" s="1"/>
  <c r="E286" i="3"/>
  <c r="E519" i="3"/>
  <c r="AB26" i="37"/>
  <c r="U26" i="37"/>
  <c r="AA9" i="36"/>
  <c r="S9" i="36"/>
  <c r="AA26" i="33"/>
  <c r="S26" i="33"/>
  <c r="AB24" i="35"/>
  <c r="U24" i="35"/>
  <c r="E10" i="6"/>
  <c r="E13" i="6"/>
  <c r="U29" i="34"/>
  <c r="AB29" i="34"/>
  <c r="W28" i="33"/>
  <c r="AC28" i="33"/>
  <c r="AC31" i="34"/>
  <c r="W31" i="34"/>
  <c r="U26" i="33"/>
  <c r="AB26" i="33"/>
  <c r="BL5" i="3"/>
  <c r="F7" i="34"/>
  <c r="H7" i="35"/>
  <c r="U7" i="35" s="1"/>
  <c r="I106" i="46"/>
  <c r="D103" i="46"/>
  <c r="I107" i="46"/>
  <c r="D22" i="46"/>
  <c r="C71" i="59"/>
  <c r="D71" i="59" s="1"/>
  <c r="D72" i="59"/>
  <c r="AZ136" i="3"/>
  <c r="E276" i="3"/>
  <c r="AZ286" i="3"/>
  <c r="AZ318" i="3"/>
  <c r="E481" i="3"/>
  <c r="AC26" i="37"/>
  <c r="W26" i="37"/>
  <c r="AC9" i="36"/>
  <c r="W9" i="36"/>
  <c r="S28" i="34"/>
  <c r="AA28" i="34"/>
  <c r="AC35" i="40"/>
  <c r="W35" i="40"/>
  <c r="AA28" i="33"/>
  <c r="S28" i="33"/>
  <c r="AA31" i="34"/>
  <c r="S31" i="34"/>
  <c r="AC26" i="33"/>
  <c r="W26" i="33"/>
  <c r="J65" i="40"/>
  <c r="I67" i="40"/>
  <c r="D32" i="59"/>
  <c r="C33" i="59"/>
  <c r="C45" i="59"/>
  <c r="D44" i="59"/>
  <c r="C53" i="59"/>
  <c r="D52" i="59"/>
  <c r="E55" i="3"/>
  <c r="E281" i="3"/>
  <c r="E365" i="3"/>
  <c r="W12" i="35"/>
  <c r="AC12" i="35"/>
  <c r="U13" i="21"/>
  <c r="AB13" i="21"/>
  <c r="AC16" i="40"/>
  <c r="W16" i="40"/>
  <c r="AB32" i="36"/>
  <c r="U32" i="36"/>
  <c r="AB9" i="33"/>
  <c r="U9" i="33"/>
  <c r="AC42" i="21"/>
  <c r="W42" i="21"/>
  <c r="AA24" i="36"/>
  <c r="S24" i="36"/>
  <c r="AC46" i="33"/>
  <c r="W46" i="33"/>
  <c r="S29" i="21"/>
  <c r="AA29" i="21"/>
  <c r="AC17" i="39"/>
  <c r="U40" i="21"/>
  <c r="C49" i="59"/>
  <c r="D48" i="59"/>
  <c r="N56" i="59"/>
  <c r="B55" i="59"/>
  <c r="E503" i="3"/>
  <c r="U12" i="35"/>
  <c r="AB12" i="35"/>
  <c r="AB11" i="36"/>
  <c r="U11" i="36"/>
  <c r="U47" i="34"/>
  <c r="AB47" i="34"/>
  <c r="E572" i="3"/>
  <c r="S32" i="36"/>
  <c r="AA32" i="36"/>
  <c r="W9" i="33"/>
  <c r="AC9" i="33"/>
  <c r="AC9" i="21"/>
  <c r="W9" i="21"/>
  <c r="U24" i="36"/>
  <c r="AB24" i="36"/>
  <c r="AB46" i="33"/>
  <c r="U46" i="33"/>
  <c r="U29" i="21"/>
  <c r="AB29" i="21"/>
  <c r="H70" i="39"/>
  <c r="G72" i="39"/>
  <c r="D104" i="46"/>
  <c r="D102" i="46"/>
  <c r="AA37" i="21"/>
  <c r="D17" i="59"/>
  <c r="T17" i="59"/>
  <c r="C16" i="59"/>
  <c r="E12" i="59"/>
  <c r="E11" i="59" s="1"/>
  <c r="E10" i="59" s="1"/>
  <c r="E9" i="59" s="1"/>
  <c r="U13" i="59"/>
  <c r="E66" i="3"/>
  <c r="S12" i="33"/>
  <c r="AA12" i="33"/>
  <c r="AC47" i="34"/>
  <c r="W47" i="34"/>
  <c r="W28" i="34"/>
  <c r="AC28" i="34"/>
  <c r="AA42" i="21"/>
  <c r="S42" i="21"/>
  <c r="U12" i="33"/>
  <c r="AB12" i="33"/>
  <c r="AA13" i="21"/>
  <c r="S13" i="21"/>
  <c r="W24" i="36"/>
  <c r="AC24" i="36"/>
  <c r="C6" i="59"/>
  <c r="D7" i="59"/>
  <c r="W7" i="34"/>
  <c r="AC7" i="34"/>
  <c r="V49" i="34" s="1"/>
  <c r="I49" i="34" s="1"/>
  <c r="I53" i="34" s="1"/>
  <c r="J53" i="34" s="1"/>
  <c r="AP16" i="1"/>
  <c r="F22" i="11" s="1"/>
  <c r="C33" i="21"/>
  <c r="H7" i="21"/>
  <c r="F7" i="37"/>
  <c r="AA7" i="37" s="1"/>
  <c r="R42" i="37" s="1"/>
  <c r="N109" i="46"/>
  <c r="N107" i="46"/>
  <c r="D107" i="46"/>
  <c r="AI13" i="46"/>
  <c r="AB23" i="39"/>
  <c r="AC19" i="39"/>
  <c r="Q55" i="59"/>
  <c r="Q54" i="59"/>
  <c r="C41" i="59"/>
  <c r="D40" i="59"/>
  <c r="B8" i="59"/>
  <c r="B7" i="59" s="1"/>
  <c r="B6" i="59" s="1"/>
  <c r="B5" i="59" s="1"/>
  <c r="S9" i="59"/>
  <c r="D21" i="59"/>
  <c r="T21" i="59"/>
  <c r="S17" i="59"/>
  <c r="B16" i="59"/>
  <c r="B15" i="59" s="1"/>
  <c r="E48" i="3"/>
  <c r="AZ21" i="3"/>
  <c r="AZ5" i="3" s="1"/>
  <c r="BA5" i="3"/>
  <c r="E27" i="6" s="1"/>
  <c r="E121" i="3"/>
  <c r="AZ155" i="3"/>
  <c r="E509" i="3"/>
  <c r="E570" i="3"/>
  <c r="AC30" i="33"/>
  <c r="W30" i="33"/>
  <c r="AC29" i="34"/>
  <c r="W29" i="34"/>
  <c r="AC14" i="21"/>
  <c r="W14" i="21"/>
  <c r="AA11" i="36"/>
  <c r="S11" i="36"/>
  <c r="W12" i="33"/>
  <c r="AC12" i="33"/>
  <c r="AC13" i="21"/>
  <c r="W13" i="21"/>
  <c r="AB42" i="21"/>
  <c r="U42" i="21"/>
  <c r="U15" i="21"/>
  <c r="W17" i="21"/>
  <c r="AB37" i="21"/>
  <c r="W23" i="21"/>
  <c r="AC23" i="21"/>
  <c r="U23" i="21"/>
  <c r="AB23" i="21"/>
  <c r="S19" i="21"/>
  <c r="U19" i="21"/>
  <c r="W19" i="21"/>
  <c r="AC19" i="21"/>
  <c r="AB17" i="21"/>
  <c r="U17" i="21"/>
  <c r="W15" i="21"/>
  <c r="AC15" i="21"/>
  <c r="F10" i="21"/>
  <c r="H10" i="21"/>
  <c r="AC10" i="21"/>
  <c r="W10" i="21"/>
  <c r="AA23" i="39"/>
  <c r="S23" i="39"/>
  <c r="W21" i="39"/>
  <c r="AC21" i="39"/>
  <c r="S21" i="39"/>
  <c r="AA21" i="39"/>
  <c r="AB21" i="39"/>
  <c r="U21" i="39"/>
  <c r="U19" i="39"/>
  <c r="AB19" i="39"/>
  <c r="S19" i="39"/>
  <c r="AA19" i="39"/>
  <c r="AB17" i="39"/>
  <c r="AA17" i="39"/>
  <c r="S17" i="39"/>
  <c r="D18" i="9"/>
  <c r="M44" i="9" s="1"/>
  <c r="H16" i="1"/>
  <c r="J104" i="46"/>
  <c r="F103" i="46"/>
  <c r="H107" i="46"/>
  <c r="I109" i="46"/>
  <c r="I102" i="46"/>
  <c r="J105" i="46"/>
  <c r="J109" i="46"/>
  <c r="F107" i="46"/>
  <c r="H105" i="46"/>
  <c r="H104" i="46"/>
  <c r="J102" i="46"/>
  <c r="J107" i="46"/>
  <c r="E53" i="40"/>
  <c r="I103" i="46"/>
  <c r="H102" i="46"/>
  <c r="H103" i="46"/>
  <c r="H109"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G16" i="1"/>
  <c r="J12" i="39" s="1"/>
  <c r="F49" i="68"/>
  <c r="M7" i="68"/>
  <c r="L59" i="68"/>
  <c r="L58" i="68"/>
  <c r="Q61" i="68" s="1"/>
  <c r="F50" i="68"/>
  <c r="F63" i="68"/>
  <c r="C6" i="68"/>
  <c r="C32" i="68" s="1"/>
  <c r="C27" i="68"/>
  <c r="F64" i="68"/>
  <c r="F67" i="68"/>
  <c r="F70" i="68"/>
  <c r="Q72" i="68"/>
  <c r="F65" i="68"/>
  <c r="I54" i="68"/>
  <c r="J57" i="68"/>
  <c r="J55" i="68" s="1"/>
  <c r="J58" i="68" s="1"/>
  <c r="Q51" i="68" s="1"/>
  <c r="L56" i="68"/>
  <c r="J53" i="68"/>
  <c r="Q53" i="68" s="1"/>
  <c r="M11" i="68"/>
  <c r="J10" i="68" s="1"/>
  <c r="F11" i="68"/>
  <c r="F12" i="39"/>
  <c r="S12" i="39" s="1"/>
  <c r="F31" i="6"/>
  <c r="K15" i="1"/>
  <c r="L19" i="6"/>
  <c r="L27" i="6" s="1"/>
  <c r="E64" i="39"/>
  <c r="E59" i="40"/>
  <c r="E30" i="6"/>
  <c r="K14" i="1"/>
  <c r="E63" i="39"/>
  <c r="E58" i="40"/>
  <c r="E67" i="39"/>
  <c r="E62" i="40"/>
  <c r="C48" i="15"/>
  <c r="U7" i="21"/>
  <c r="AB7" i="21"/>
  <c r="J7" i="21"/>
  <c r="AA7" i="33"/>
  <c r="R48" i="33" s="1"/>
  <c r="S7" i="33"/>
  <c r="J7" i="33"/>
  <c r="H7" i="37"/>
  <c r="J7" i="37"/>
  <c r="J7" i="35"/>
  <c r="AB7" i="34"/>
  <c r="T49" i="34" s="1"/>
  <c r="G49" i="34" s="1"/>
  <c r="U7" i="34"/>
  <c r="AA7" i="21"/>
  <c r="S7" i="21"/>
  <c r="AB7" i="33"/>
  <c r="T48" i="33" s="1"/>
  <c r="G48" i="33" s="1"/>
  <c r="U7" i="33"/>
  <c r="H46" i="36"/>
  <c r="I46" i="36" s="1"/>
  <c r="J46" i="36" s="1"/>
  <c r="K46" i="36" s="1"/>
  <c r="L46" i="36" s="1"/>
  <c r="M46" i="36" s="1"/>
  <c r="N46" i="36" s="1"/>
  <c r="O46" i="36" s="1"/>
  <c r="J7" i="36"/>
  <c r="S7" i="37"/>
  <c r="AB7" i="35"/>
  <c r="T38" i="35" s="1"/>
  <c r="G38" i="35" s="1"/>
  <c r="B40" i="1"/>
  <c r="F24" i="68" s="1"/>
  <c r="C24" i="68" s="1"/>
  <c r="F17" i="11"/>
  <c r="C17" i="11" s="1"/>
  <c r="J20" i="44"/>
  <c r="F1" i="15"/>
  <c r="Q53" i="15"/>
  <c r="Q76" i="44"/>
  <c r="Q63" i="44"/>
  <c r="Q75" i="15"/>
  <c r="Q62" i="15"/>
  <c r="C32" i="15"/>
  <c r="J18" i="15"/>
  <c r="F11" i="15"/>
  <c r="M13" i="44"/>
  <c r="J12" i="44" s="1"/>
  <c r="J7" i="44" s="1"/>
  <c r="F13" i="44"/>
  <c r="C12" i="44" s="1"/>
  <c r="C7" i="44" s="1"/>
  <c r="M11" i="15"/>
  <c r="J10" i="15" s="1"/>
  <c r="J5" i="15" s="1"/>
  <c r="P28" i="46"/>
  <c r="M28" i="46"/>
  <c r="O28" i="46"/>
  <c r="N28" i="46"/>
  <c r="F1" i="44"/>
  <c r="Q54" i="44"/>
  <c r="Q75" i="44"/>
  <c r="Q62" i="44"/>
  <c r="Q61" i="15"/>
  <c r="Q74" i="15"/>
  <c r="C34" i="44"/>
  <c r="AE8" i="1"/>
  <c r="M24" i="68"/>
  <c r="M8" i="68"/>
  <c r="F42" i="68"/>
  <c r="F16" i="68"/>
  <c r="AE6" i="1"/>
  <c r="E16" i="6" l="1"/>
  <c r="C19" i="11"/>
  <c r="F24" i="43"/>
  <c r="C26" i="43" s="1"/>
  <c r="D24" i="43" s="1"/>
  <c r="F33" i="12"/>
  <c r="C34" i="12" s="1"/>
  <c r="D33" i="12" s="1"/>
  <c r="AC6" i="3"/>
  <c r="E6" i="3" s="1"/>
  <c r="C48" i="68"/>
  <c r="E3" i="6"/>
  <c r="AY6" i="3"/>
  <c r="AY223" i="3" s="1"/>
  <c r="K23" i="6"/>
  <c r="M23" i="6" s="1"/>
  <c r="I23" i="6" s="1"/>
  <c r="S23" i="6" s="1"/>
  <c r="K19" i="6"/>
  <c r="S6" i="1" s="1"/>
  <c r="K21" i="6"/>
  <c r="K26" i="6"/>
  <c r="M26" i="6" s="1"/>
  <c r="I26" i="6" s="1"/>
  <c r="K24" i="6"/>
  <c r="M24" i="6" s="1"/>
  <c r="I24" i="6" s="1"/>
  <c r="K20" i="6"/>
  <c r="M20" i="6" s="1"/>
  <c r="I20" i="6" s="1"/>
  <c r="S20" i="6" s="1"/>
  <c r="K22" i="6"/>
  <c r="M22" i="6" s="1"/>
  <c r="I22" i="6" s="1"/>
  <c r="S22" i="6" s="1"/>
  <c r="K25" i="6"/>
  <c r="M25" i="6" s="1"/>
  <c r="I25" i="6" s="1"/>
  <c r="C30" i="46"/>
  <c r="E30" i="46" s="1"/>
  <c r="E29" i="46"/>
  <c r="E8" i="59"/>
  <c r="E7" i="59" s="1"/>
  <c r="E6" i="59" s="1"/>
  <c r="E5" i="59" s="1"/>
  <c r="U9" i="59"/>
  <c r="S7" i="35"/>
  <c r="J6" i="68"/>
  <c r="J18" i="68" s="1"/>
  <c r="I70" i="39"/>
  <c r="H72" i="39"/>
  <c r="T49" i="59"/>
  <c r="D49" i="59"/>
  <c r="T53" i="59"/>
  <c r="D53" i="59"/>
  <c r="K65" i="40"/>
  <c r="J67" i="40"/>
  <c r="E60" i="40"/>
  <c r="E65" i="39"/>
  <c r="C34" i="46"/>
  <c r="C36" i="46"/>
  <c r="T12" i="46"/>
  <c r="V12" i="46" s="1"/>
  <c r="T15" i="46"/>
  <c r="V15" i="46" s="1"/>
  <c r="T8" i="46"/>
  <c r="V8" i="46" s="1"/>
  <c r="C39" i="46"/>
  <c r="C33" i="46"/>
  <c r="T5" i="46"/>
  <c r="V5" i="46" s="1"/>
  <c r="C37" i="46"/>
  <c r="T11" i="46"/>
  <c r="V11" i="46" s="1"/>
  <c r="T7" i="46"/>
  <c r="V7" i="46" s="1"/>
  <c r="C35" i="46"/>
  <c r="T3" i="46"/>
  <c r="V3" i="46" s="1"/>
  <c r="T6" i="46"/>
  <c r="V6" i="46" s="1"/>
  <c r="T13" i="46"/>
  <c r="V13" i="46" s="1"/>
  <c r="T4" i="46"/>
  <c r="V4" i="46" s="1"/>
  <c r="T2" i="46"/>
  <c r="V2" i="46" s="1"/>
  <c r="T16" i="46"/>
  <c r="V16" i="46" s="1"/>
  <c r="T9" i="46"/>
  <c r="V9" i="46" s="1"/>
  <c r="C38" i="46"/>
  <c r="T14" i="46"/>
  <c r="V14" i="46" s="1"/>
  <c r="T10" i="46"/>
  <c r="V10" i="46" s="1"/>
  <c r="D41" i="59"/>
  <c r="T41" i="59"/>
  <c r="S7" i="34"/>
  <c r="AA7" i="34"/>
  <c r="R49" i="34" s="1"/>
  <c r="N55" i="59"/>
  <c r="N54" i="59"/>
  <c r="T45" i="59"/>
  <c r="D45" i="59"/>
  <c r="T33" i="59"/>
  <c r="D33" i="59"/>
  <c r="E31" i="6"/>
  <c r="H33" i="21"/>
  <c r="F33" i="21"/>
  <c r="J33" i="21"/>
  <c r="C5" i="59"/>
  <c r="D5" i="59" s="1"/>
  <c r="D6" i="59"/>
  <c r="D16" i="59"/>
  <c r="C15" i="59"/>
  <c r="D15" i="59" s="1"/>
  <c r="U10" i="21"/>
  <c r="AB10" i="21"/>
  <c r="AA10" i="21"/>
  <c r="S10" i="21"/>
  <c r="F12" i="40"/>
  <c r="F1" i="68"/>
  <c r="W12" i="39"/>
  <c r="AC12" i="39"/>
  <c r="AY462" i="3"/>
  <c r="AY533" i="3"/>
  <c r="AY231" i="3"/>
  <c r="AY391" i="3"/>
  <c r="AY63" i="3"/>
  <c r="AY451" i="3"/>
  <c r="AY484" i="3"/>
  <c r="AY187" i="3"/>
  <c r="AY253" i="3"/>
  <c r="J12" i="40"/>
  <c r="Q74" i="68"/>
  <c r="C115" i="46"/>
  <c r="D113" i="46" s="1"/>
  <c r="H12" i="40"/>
  <c r="H12" i="39"/>
  <c r="AY511" i="3"/>
  <c r="AY51" i="3"/>
  <c r="AY332" i="3"/>
  <c r="AY469" i="3"/>
  <c r="AY267" i="3"/>
  <c r="AY480" i="3"/>
  <c r="AY79" i="3"/>
  <c r="AY61" i="3"/>
  <c r="AY403" i="3"/>
  <c r="AY488" i="3"/>
  <c r="AY423" i="3"/>
  <c r="AY205" i="3"/>
  <c r="AY431" i="3"/>
  <c r="AY276" i="3"/>
  <c r="AY519" i="3"/>
  <c r="AY406" i="3"/>
  <c r="AY141" i="3"/>
  <c r="AY103" i="3"/>
  <c r="S11" i="1"/>
  <c r="S13" i="1"/>
  <c r="S10" i="1"/>
  <c r="S12" i="1"/>
  <c r="Q62" i="68"/>
  <c r="Q75" i="68"/>
  <c r="C52" i="68"/>
  <c r="C47" i="68" s="1"/>
  <c r="C10" i="68"/>
  <c r="C5" i="68" s="1"/>
  <c r="AA12" i="39"/>
  <c r="S9" i="1"/>
  <c r="AY452" i="3"/>
  <c r="AY292" i="3"/>
  <c r="AY477" i="3"/>
  <c r="AY167" i="3"/>
  <c r="AY541" i="3"/>
  <c r="AY551" i="3"/>
  <c r="AY473" i="3"/>
  <c r="AY522" i="3"/>
  <c r="AY59" i="3"/>
  <c r="AY173" i="3"/>
  <c r="AY345" i="3"/>
  <c r="BI6" i="3"/>
  <c r="AY433" i="3"/>
  <c r="AY235" i="3"/>
  <c r="AY358" i="3"/>
  <c r="AY491" i="3"/>
  <c r="AY482" i="3"/>
  <c r="AY496" i="3"/>
  <c r="AY301" i="3"/>
  <c r="AY284" i="3"/>
  <c r="AY237" i="3"/>
  <c r="AY48" i="3"/>
  <c r="AY454" i="3"/>
  <c r="AY440" i="3"/>
  <c r="AY351" i="3"/>
  <c r="AY456" i="3"/>
  <c r="AY111" i="3"/>
  <c r="AY566" i="3"/>
  <c r="AY228" i="3"/>
  <c r="AY260" i="3"/>
  <c r="AY252" i="3"/>
  <c r="AY393" i="3"/>
  <c r="AY281" i="3"/>
  <c r="AY240" i="3"/>
  <c r="AY559" i="3"/>
  <c r="AY279" i="3"/>
  <c r="AY387" i="3"/>
  <c r="AY68" i="3"/>
  <c r="BF6" i="3"/>
  <c r="AY542" i="3"/>
  <c r="AY24" i="3"/>
  <c r="AY380" i="3"/>
  <c r="AY458" i="3"/>
  <c r="AY411" i="3"/>
  <c r="AY64" i="3"/>
  <c r="AY461" i="3"/>
  <c r="AY416" i="3"/>
  <c r="AY432" i="3"/>
  <c r="AY394" i="3"/>
  <c r="AY364" i="3"/>
  <c r="AY449" i="3"/>
  <c r="AY20" i="3"/>
  <c r="AY388" i="3"/>
  <c r="AY176" i="3"/>
  <c r="AY271" i="3"/>
  <c r="AY113" i="3"/>
  <c r="AY133" i="3"/>
  <c r="AY17" i="3"/>
  <c r="AY390" i="3"/>
  <c r="AY147" i="3"/>
  <c r="AY465" i="3"/>
  <c r="AY169" i="3"/>
  <c r="AY202" i="3"/>
  <c r="AY515" i="3"/>
  <c r="AY371" i="3"/>
  <c r="AY221" i="3"/>
  <c r="AY500" i="3"/>
  <c r="AY538" i="3"/>
  <c r="AY355" i="3"/>
  <c r="AY546" i="3"/>
  <c r="AY392" i="3"/>
  <c r="AY148" i="3"/>
  <c r="AY407" i="3"/>
  <c r="AY58" i="3"/>
  <c r="AY118" i="3"/>
  <c r="AY272" i="3"/>
  <c r="AY442" i="3"/>
  <c r="AY99" i="3"/>
  <c r="AY150" i="3"/>
  <c r="AY282" i="3"/>
  <c r="AY264" i="3"/>
  <c r="AY115" i="3"/>
  <c r="AY201" i="3"/>
  <c r="AY125" i="3"/>
  <c r="AY434" i="3"/>
  <c r="AY534" i="3"/>
  <c r="AY404" i="3"/>
  <c r="AY242" i="3"/>
  <c r="AY485" i="3"/>
  <c r="AY288" i="3"/>
  <c r="AY85" i="3"/>
  <c r="AY16" i="3"/>
  <c r="AY445" i="3"/>
  <c r="AY273" i="3"/>
  <c r="AY219" i="3"/>
  <c r="AY527" i="3"/>
  <c r="AY67" i="3"/>
  <c r="AY105" i="3"/>
  <c r="AY31" i="3"/>
  <c r="AY65" i="3"/>
  <c r="AY350" i="3"/>
  <c r="AY346" i="3"/>
  <c r="AY101" i="3"/>
  <c r="AY157" i="3"/>
  <c r="AY528" i="3"/>
  <c r="AY516" i="3"/>
  <c r="AY36" i="3"/>
  <c r="AY123" i="3"/>
  <c r="AY337" i="3"/>
  <c r="AY341" i="3"/>
  <c r="AY76" i="3"/>
  <c r="AY139" i="3"/>
  <c r="BK6" i="3"/>
  <c r="AY132" i="3"/>
  <c r="BC6" i="3"/>
  <c r="AY114" i="3"/>
  <c r="AY558" i="3"/>
  <c r="AY156" i="3"/>
  <c r="AY314" i="3"/>
  <c r="AY510" i="3"/>
  <c r="AY154" i="3"/>
  <c r="AY75" i="3"/>
  <c r="AY259" i="3"/>
  <c r="AY171" i="3"/>
  <c r="AY365" i="3"/>
  <c r="AY471" i="3"/>
  <c r="AY138" i="3"/>
  <c r="AY367" i="3"/>
  <c r="AY166" i="3"/>
  <c r="AY413" i="3"/>
  <c r="AY319" i="3"/>
  <c r="AY97" i="3"/>
  <c r="AY109" i="3"/>
  <c r="AY198" i="3"/>
  <c r="AY142" i="3"/>
  <c r="AY73" i="3"/>
  <c r="AY144" i="3"/>
  <c r="AY57" i="3"/>
  <c r="AY136" i="3"/>
  <c r="AY93" i="3"/>
  <c r="AY567" i="3"/>
  <c r="AY15" i="3"/>
  <c r="AY399" i="3"/>
  <c r="AY158" i="3"/>
  <c r="AY303" i="3"/>
  <c r="AY486" i="3"/>
  <c r="AY402" i="3"/>
  <c r="AY555" i="3"/>
  <c r="AY308" i="3"/>
  <c r="AY52" i="3"/>
  <c r="AY408" i="3"/>
  <c r="AY504" i="3"/>
  <c r="AY70" i="3"/>
  <c r="AY457" i="3"/>
  <c r="AY13" i="3"/>
  <c r="BN6" i="3"/>
  <c r="BL6" i="3"/>
  <c r="AY145" i="3"/>
  <c r="AY472" i="3"/>
  <c r="AY184" i="3"/>
  <c r="AY88" i="3"/>
  <c r="AY104" i="3"/>
  <c r="AY291" i="3"/>
  <c r="AY326" i="3"/>
  <c r="AY135" i="3"/>
  <c r="AY269" i="3"/>
  <c r="AY302" i="3"/>
  <c r="AY287" i="3"/>
  <c r="AY151" i="3"/>
  <c r="AY352" i="3"/>
  <c r="AY398" i="3"/>
  <c r="AY552" i="3"/>
  <c r="AY159" i="3"/>
  <c r="AY234" i="3"/>
  <c r="AY343" i="3"/>
  <c r="AY143" i="3"/>
  <c r="AY236" i="3"/>
  <c r="AY246" i="3"/>
  <c r="AY374" i="3"/>
  <c r="AY467" i="3"/>
  <c r="AY435" i="3"/>
  <c r="AY543" i="3"/>
  <c r="AY556" i="3"/>
  <c r="BD6" i="3"/>
  <c r="AY160" i="3"/>
  <c r="AY248" i="3"/>
  <c r="AY96" i="3"/>
  <c r="AY249" i="3"/>
  <c r="AY225" i="3"/>
  <c r="BQ6" i="3"/>
  <c r="AY69" i="3"/>
  <c r="AY53" i="3"/>
  <c r="AY98" i="3"/>
  <c r="AY217" i="3"/>
  <c r="AY383" i="3"/>
  <c r="AY422" i="3"/>
  <c r="AY170" i="3"/>
  <c r="AY146" i="3"/>
  <c r="AY214" i="3"/>
  <c r="AY39" i="3"/>
  <c r="AY116" i="3"/>
  <c r="AY258" i="3"/>
  <c r="AY366" i="3"/>
  <c r="AY168" i="3"/>
  <c r="AY256" i="3"/>
  <c r="AY464" i="3"/>
  <c r="AY81" i="3"/>
  <c r="AY194" i="3"/>
  <c r="AY47" i="3"/>
  <c r="AY131" i="3"/>
  <c r="AY453" i="3"/>
  <c r="AY74" i="3"/>
  <c r="AY106" i="3"/>
  <c r="AY349" i="3"/>
  <c r="AY397" i="3"/>
  <c r="AY379" i="3"/>
  <c r="AY463" i="3"/>
  <c r="AY178" i="3"/>
  <c r="AY294" i="3"/>
  <c r="AY62" i="3"/>
  <c r="AY376" i="3"/>
  <c r="AY389" i="3"/>
  <c r="AY155" i="3"/>
  <c r="AY27" i="3"/>
  <c r="AY378" i="3"/>
  <c r="AY266" i="3"/>
  <c r="AY227" i="3"/>
  <c r="AY330" i="3"/>
  <c r="AY412" i="3"/>
  <c r="AY230" i="3"/>
  <c r="AY238" i="3"/>
  <c r="AY82" i="3"/>
  <c r="AY359" i="3"/>
  <c r="AY254" i="3"/>
  <c r="AY257" i="3"/>
  <c r="AY216" i="3"/>
  <c r="AY204" i="3"/>
  <c r="AY481" i="3"/>
  <c r="AY501" i="3"/>
  <c r="AY305" i="3"/>
  <c r="AY340" i="3"/>
  <c r="AY226" i="3"/>
  <c r="AY310" i="3"/>
  <c r="AY209" i="3"/>
  <c r="AY126" i="3"/>
  <c r="AY179" i="3"/>
  <c r="AY80" i="3"/>
  <c r="AY446" i="3"/>
  <c r="AY443" i="3"/>
  <c r="AY493" i="3"/>
  <c r="AY386" i="3"/>
  <c r="AY86" i="3"/>
  <c r="AY162" i="3"/>
  <c r="AY244" i="3"/>
  <c r="AY417" i="3"/>
  <c r="AY327" i="3"/>
  <c r="AY557" i="3"/>
  <c r="AY289" i="3"/>
  <c r="AY152" i="3"/>
  <c r="AY245" i="3"/>
  <c r="AY396" i="3"/>
  <c r="AY283" i="3"/>
  <c r="AY569" i="3"/>
  <c r="AY544" i="3"/>
  <c r="AY335" i="3"/>
  <c r="AY92" i="3"/>
  <c r="AY278" i="3"/>
  <c r="AY83" i="3"/>
  <c r="AY438" i="3"/>
  <c r="AY200" i="3"/>
  <c r="AY428" i="3"/>
  <c r="AY137" i="3"/>
  <c r="BP6" i="3"/>
  <c r="AY66" i="3"/>
  <c r="AY186" i="3"/>
  <c r="AY505" i="3"/>
  <c r="AY563" i="3"/>
  <c r="AY357" i="3"/>
  <c r="AY84" i="3"/>
  <c r="AY410" i="3"/>
  <c r="AY512" i="3"/>
  <c r="D3" i="6"/>
  <c r="D20" i="6" s="1"/>
  <c r="AY286" i="3"/>
  <c r="AY34" i="3"/>
  <c r="AY318" i="3"/>
  <c r="AY323" i="3"/>
  <c r="AY518" i="3"/>
  <c r="AY299" i="3"/>
  <c r="AY447" i="3"/>
  <c r="AY185" i="3"/>
  <c r="AY483" i="3"/>
  <c r="AY40" i="3"/>
  <c r="AY322" i="3"/>
  <c r="AY189" i="3"/>
  <c r="BO6" i="3"/>
  <c r="AY331" i="3"/>
  <c r="AY270" i="3"/>
  <c r="AY487" i="3"/>
  <c r="AY571" i="3"/>
  <c r="AY539" i="3"/>
  <c r="AY532" i="3"/>
  <c r="AY564" i="3"/>
  <c r="AY212" i="3"/>
  <c r="AY296" i="3"/>
  <c r="AY353" i="3"/>
  <c r="AY336" i="3"/>
  <c r="AY526" i="3"/>
  <c r="AY174" i="3"/>
  <c r="AY328" i="3"/>
  <c r="AY71" i="3"/>
  <c r="AY195" i="3"/>
  <c r="AY502" i="3"/>
  <c r="AY298" i="3"/>
  <c r="AY514" i="3"/>
  <c r="AY499" i="3"/>
  <c r="AY23" i="3"/>
  <c r="AY460" i="3"/>
  <c r="AY312" i="3"/>
  <c r="AY444" i="3"/>
  <c r="BG6" i="3"/>
  <c r="AY196" i="3"/>
  <c r="AY165" i="3"/>
  <c r="AY570" i="3"/>
  <c r="AY354" i="3"/>
  <c r="BE6" i="3"/>
  <c r="AY121" i="3"/>
  <c r="AY508" i="3"/>
  <c r="AY370" i="3"/>
  <c r="AY553" i="3"/>
  <c r="AY90" i="3"/>
  <c r="AY344" i="3"/>
  <c r="AY545" i="3"/>
  <c r="AY455" i="3"/>
  <c r="AY377" i="3"/>
  <c r="AY164" i="3"/>
  <c r="AY300" i="3"/>
  <c r="AY513" i="3"/>
  <c r="M21" i="6"/>
  <c r="I21" i="6" s="1"/>
  <c r="S21" i="6" s="1"/>
  <c r="S8" i="1"/>
  <c r="S7" i="1"/>
  <c r="E68" i="39"/>
  <c r="K16" i="1"/>
  <c r="M14" i="1"/>
  <c r="S25" i="6"/>
  <c r="S24" i="6"/>
  <c r="M19" i="6"/>
  <c r="S26" i="6"/>
  <c r="G42" i="35"/>
  <c r="H42" i="35" s="1"/>
  <c r="W7" i="37"/>
  <c r="AC7" i="37"/>
  <c r="V42" i="37" s="1"/>
  <c r="I42" i="37" s="1"/>
  <c r="E42" i="37"/>
  <c r="R43" i="37"/>
  <c r="H7" i="36"/>
  <c r="AC7" i="35"/>
  <c r="V38" i="35" s="1"/>
  <c r="I38" i="35" s="1"/>
  <c r="W7" i="35"/>
  <c r="AB7" i="37"/>
  <c r="T42" i="37" s="1"/>
  <c r="G42" i="37" s="1"/>
  <c r="U7" i="37"/>
  <c r="R39" i="35"/>
  <c r="E38" i="35"/>
  <c r="W7" i="21"/>
  <c r="AC7" i="21"/>
  <c r="W7" i="36"/>
  <c r="AC7" i="36"/>
  <c r="V36" i="36" s="1"/>
  <c r="I36" i="36" s="1"/>
  <c r="G52" i="33"/>
  <c r="H52" i="33" s="1"/>
  <c r="G54" i="34"/>
  <c r="H54" i="34" s="1"/>
  <c r="G53" i="34"/>
  <c r="H53" i="34" s="1"/>
  <c r="AC7" i="33"/>
  <c r="V48" i="33" s="1"/>
  <c r="I48" i="33" s="1"/>
  <c r="W7" i="33"/>
  <c r="R49" i="33"/>
  <c r="E48" i="33"/>
  <c r="F7" i="36"/>
  <c r="J28" i="44"/>
  <c r="J31" i="44" s="1"/>
  <c r="J26" i="44"/>
  <c r="J26" i="15"/>
  <c r="J24" i="15"/>
  <c r="C40" i="44"/>
  <c r="C52" i="15"/>
  <c r="C47" i="15" s="1"/>
  <c r="C10" i="15"/>
  <c r="C5" i="15" s="1"/>
  <c r="C20" i="11"/>
  <c r="C21" i="11" s="1"/>
  <c r="C22" i="11" s="1"/>
  <c r="C23" i="11" s="1"/>
  <c r="B2" i="11" s="1"/>
  <c r="F26" i="12"/>
  <c r="F21" i="43"/>
  <c r="F24" i="15"/>
  <c r="C24" i="15" s="1"/>
  <c r="F26" i="44"/>
  <c r="C26" i="44" s="1"/>
  <c r="AE9" i="1"/>
  <c r="F41" i="15"/>
  <c r="C16" i="68"/>
  <c r="F41" i="68"/>
  <c r="C17" i="15"/>
  <c r="M21" i="68"/>
  <c r="C17" i="68"/>
  <c r="C19" i="44"/>
  <c r="F35" i="68"/>
  <c r="L52" i="44"/>
  <c r="F68" i="15" l="1"/>
  <c r="J29" i="15"/>
  <c r="D24" i="6"/>
  <c r="D26" i="6"/>
  <c r="D19" i="6"/>
  <c r="E63" i="40"/>
  <c r="AY531" i="3"/>
  <c r="AY375" i="3"/>
  <c r="AY277" i="3"/>
  <c r="AY347" i="3"/>
  <c r="BJ6" i="3"/>
  <c r="AY415" i="3"/>
  <c r="AY243" i="3"/>
  <c r="AY536" i="3"/>
  <c r="C21" i="4"/>
  <c r="O5" i="54" s="1"/>
  <c r="B45" i="63" s="1"/>
  <c r="D16" i="43"/>
  <c r="C16" i="43" s="1"/>
  <c r="D45" i="9"/>
  <c r="D16" i="12"/>
  <c r="D10" i="11"/>
  <c r="E6" i="6"/>
  <c r="L38" i="9"/>
  <c r="B14" i="66" s="1"/>
  <c r="B1" i="66" s="1"/>
  <c r="C7" i="66" s="1"/>
  <c r="AY524" i="3"/>
  <c r="AY401" i="3"/>
  <c r="AY309" i="3"/>
  <c r="AY521" i="3"/>
  <c r="AY261" i="3"/>
  <c r="AY215" i="3"/>
  <c r="AY547" i="3"/>
  <c r="AY247" i="3"/>
  <c r="AY251" i="3"/>
  <c r="AY554" i="3"/>
  <c r="AY334" i="3"/>
  <c r="AY60" i="3"/>
  <c r="AY229" i="3"/>
  <c r="AY192" i="3"/>
  <c r="AY540" i="3"/>
  <c r="AY562" i="3"/>
  <c r="AY45" i="3"/>
  <c r="AY494" i="3"/>
  <c r="AY239" i="3"/>
  <c r="BR6" i="3"/>
  <c r="AY30" i="3"/>
  <c r="AY127" i="3"/>
  <c r="AY55" i="3"/>
  <c r="AY429" i="3"/>
  <c r="AY28" i="3"/>
  <c r="AY182" i="3"/>
  <c r="AY191" i="3"/>
  <c r="AY122" i="3"/>
  <c r="AY550" i="3"/>
  <c r="AY381" i="3"/>
  <c r="AY129" i="3"/>
  <c r="AY342" i="3"/>
  <c r="AY548" i="3"/>
  <c r="AY476" i="3"/>
  <c r="AY427" i="3"/>
  <c r="AY206" i="3"/>
  <c r="AY320" i="3"/>
  <c r="AY321" i="3"/>
  <c r="AY382" i="3"/>
  <c r="BA6" i="3"/>
  <c r="AY497" i="3"/>
  <c r="AY149" i="3"/>
  <c r="AY520" i="3"/>
  <c r="AY430" i="3"/>
  <c r="AY197" i="3"/>
  <c r="AY161" i="3"/>
  <c r="AY525" i="3"/>
  <c r="AY232" i="3"/>
  <c r="AY537" i="3"/>
  <c r="AY87" i="3"/>
  <c r="AY29" i="3"/>
  <c r="AY409" i="3"/>
  <c r="AY207" i="3"/>
  <c r="AY274" i="3"/>
  <c r="AY117" i="3"/>
  <c r="AY188" i="3"/>
  <c r="AY181" i="3"/>
  <c r="AY498" i="3"/>
  <c r="AY95" i="3"/>
  <c r="AY385" i="3"/>
  <c r="AY120" i="3"/>
  <c r="BS6" i="3"/>
  <c r="AY459" i="3"/>
  <c r="AY224" i="3"/>
  <c r="AY130" i="3"/>
  <c r="AY369" i="3"/>
  <c r="AY56" i="3"/>
  <c r="AY153" i="3"/>
  <c r="AY572" i="3"/>
  <c r="AY163" i="3"/>
  <c r="AY21" i="3"/>
  <c r="AY22" i="3"/>
  <c r="AY297" i="3"/>
  <c r="AY339" i="3"/>
  <c r="AY419" i="3"/>
  <c r="BH6" i="3"/>
  <c r="AY263" i="3"/>
  <c r="AY306" i="3"/>
  <c r="AY46" i="3"/>
  <c r="K27" i="6"/>
  <c r="AY177" i="3"/>
  <c r="AY190" i="3"/>
  <c r="AY293" i="3"/>
  <c r="AY255" i="3"/>
  <c r="AY134" i="3"/>
  <c r="AY507" i="3"/>
  <c r="AY363" i="3"/>
  <c r="BT6" i="3"/>
  <c r="BB6" i="3"/>
  <c r="AY509" i="3"/>
  <c r="AY210" i="3"/>
  <c r="AY108" i="3"/>
  <c r="AY503" i="3"/>
  <c r="AY124" i="3"/>
  <c r="AY436" i="3"/>
  <c r="AY222" i="3"/>
  <c r="AY356" i="3"/>
  <c r="AY348" i="3"/>
  <c r="AY290" i="3"/>
  <c r="AY107" i="3"/>
  <c r="AY492" i="3"/>
  <c r="AY241" i="3"/>
  <c r="AY140" i="3"/>
  <c r="AY560" i="3"/>
  <c r="AY43" i="3"/>
  <c r="AY311" i="3"/>
  <c r="AY479" i="3"/>
  <c r="AY414" i="3"/>
  <c r="AY450" i="3"/>
  <c r="AY372" i="3"/>
  <c r="AY49" i="3"/>
  <c r="AY549" i="3"/>
  <c r="AY295" i="3"/>
  <c r="AY315" i="3"/>
  <c r="AY324" i="3"/>
  <c r="AY361" i="3"/>
  <c r="AY26" i="3"/>
  <c r="AY329" i="3"/>
  <c r="AY424" i="3"/>
  <c r="AY25" i="3"/>
  <c r="AY50" i="3"/>
  <c r="AY437" i="3"/>
  <c r="AY478" i="3"/>
  <c r="AY448" i="3"/>
  <c r="AY233" i="3"/>
  <c r="AY38" i="3"/>
  <c r="AY183" i="3"/>
  <c r="AY265" i="3"/>
  <c r="AY42" i="3"/>
  <c r="AY262" i="3"/>
  <c r="AY77" i="3"/>
  <c r="AY530" i="3"/>
  <c r="AY316" i="3"/>
  <c r="AY368" i="3"/>
  <c r="AY268" i="3"/>
  <c r="AY91" i="3"/>
  <c r="AY41" i="3"/>
  <c r="AY333" i="3"/>
  <c r="AY420" i="3"/>
  <c r="AY317" i="3"/>
  <c r="AY211" i="3"/>
  <c r="AY425" i="3"/>
  <c r="AY220" i="3"/>
  <c r="AY275" i="3"/>
  <c r="AY280" i="3"/>
  <c r="AY250" i="3"/>
  <c r="AY384" i="3"/>
  <c r="AY489" i="3"/>
  <c r="AY35" i="3"/>
  <c r="AY325" i="3"/>
  <c r="AY203" i="3"/>
  <c r="AY14" i="3"/>
  <c r="AY400" i="3"/>
  <c r="AY418" i="3"/>
  <c r="AY360" i="3"/>
  <c r="AY78" i="3"/>
  <c r="AY362" i="3"/>
  <c r="AY54" i="3"/>
  <c r="AY110" i="3"/>
  <c r="AY426" i="3"/>
  <c r="AY112" i="3"/>
  <c r="AY19" i="3"/>
  <c r="AY33" i="3"/>
  <c r="AY180" i="3"/>
  <c r="AY128" i="3"/>
  <c r="AY37" i="3"/>
  <c r="AY490" i="3"/>
  <c r="AY495" i="3"/>
  <c r="AY72" i="3"/>
  <c r="AY89" i="3"/>
  <c r="AY405" i="3"/>
  <c r="BM6" i="3"/>
  <c r="R50" i="34"/>
  <c r="E49" i="34"/>
  <c r="E38" i="46"/>
  <c r="G38" i="46"/>
  <c r="I38" i="46" s="1"/>
  <c r="G36" i="46"/>
  <c r="I36" i="46" s="1"/>
  <c r="E36" i="46"/>
  <c r="M20" i="46"/>
  <c r="G33" i="46"/>
  <c r="I33" i="46" s="1"/>
  <c r="C27" i="46" s="1"/>
  <c r="E33" i="46"/>
  <c r="G34" i="46"/>
  <c r="I34" i="46" s="1"/>
  <c r="E34" i="46"/>
  <c r="W33" i="21"/>
  <c r="AC33" i="21"/>
  <c r="G35" i="46"/>
  <c r="I35" i="46" s="1"/>
  <c r="E35" i="46"/>
  <c r="G39" i="46"/>
  <c r="I39" i="46" s="1"/>
  <c r="E39" i="46"/>
  <c r="J5" i="68"/>
  <c r="AA33" i="21"/>
  <c r="S33" i="21"/>
  <c r="AY193" i="3"/>
  <c r="AY285" i="3"/>
  <c r="AY421" i="3"/>
  <c r="AY561" i="3"/>
  <c r="AY18" i="3"/>
  <c r="AY468" i="3"/>
  <c r="AY32" i="3"/>
  <c r="AY44" i="3"/>
  <c r="AY213" i="3"/>
  <c r="AY218" i="3"/>
  <c r="AY102" i="3"/>
  <c r="AY172" i="3"/>
  <c r="AY313" i="3"/>
  <c r="AY338" i="3"/>
  <c r="AY94" i="3"/>
  <c r="AY100" i="3"/>
  <c r="AY506" i="3"/>
  <c r="AY466" i="3"/>
  <c r="AY517" i="3"/>
  <c r="AY470" i="3"/>
  <c r="D21" i="6"/>
  <c r="C40" i="39"/>
  <c r="D8" i="6"/>
  <c r="AY373" i="3"/>
  <c r="U33" i="21"/>
  <c r="AB33" i="21"/>
  <c r="D22" i="6"/>
  <c r="AY208" i="3"/>
  <c r="AY529" i="3"/>
  <c r="AY175" i="3"/>
  <c r="AY565" i="3"/>
  <c r="AY568" i="3"/>
  <c r="AY439" i="3"/>
  <c r="AY304" i="3"/>
  <c r="AY475" i="3"/>
  <c r="AY199" i="3"/>
  <c r="AY474" i="3"/>
  <c r="AY119" i="3"/>
  <c r="AY535" i="3"/>
  <c r="AY307" i="3"/>
  <c r="AY395" i="3"/>
  <c r="AY441" i="3"/>
  <c r="AY523" i="3"/>
  <c r="E37" i="46"/>
  <c r="G37" i="46"/>
  <c r="I37" i="46" s="1"/>
  <c r="K67" i="40"/>
  <c r="L65" i="40"/>
  <c r="J70" i="39"/>
  <c r="I72" i="39"/>
  <c r="S12" i="40"/>
  <c r="AA12" i="40"/>
  <c r="F68" i="68"/>
  <c r="AC12" i="40"/>
  <c r="W12" i="40"/>
  <c r="U12" i="39"/>
  <c r="AB12" i="39"/>
  <c r="AB12" i="40"/>
  <c r="U12" i="40"/>
  <c r="D28" i="6"/>
  <c r="D25" i="6"/>
  <c r="D9" i="6"/>
  <c r="C22" i="4"/>
  <c r="N5" i="54" s="1"/>
  <c r="B43" i="63" s="1"/>
  <c r="D14" i="6"/>
  <c r="H26" i="6"/>
  <c r="R26" i="6" s="1"/>
  <c r="H23" i="6"/>
  <c r="H24" i="6"/>
  <c r="R24" i="6" s="1"/>
  <c r="H25" i="6"/>
  <c r="D13" i="6"/>
  <c r="E45" i="9"/>
  <c r="D12" i="6"/>
  <c r="D23" i="6"/>
  <c r="D5" i="6"/>
  <c r="K38" i="9"/>
  <c r="C14" i="66" s="1"/>
  <c r="B2" i="66" s="1"/>
  <c r="D7" i="66" s="1"/>
  <c r="D10" i="6"/>
  <c r="D29" i="6"/>
  <c r="F45" i="9"/>
  <c r="H22" i="6"/>
  <c r="R22" i="6" s="1"/>
  <c r="J20" i="68"/>
  <c r="C34" i="68"/>
  <c r="F62" i="68"/>
  <c r="C61" i="68" s="1"/>
  <c r="C59" i="68"/>
  <c r="C65" i="68"/>
  <c r="C38" i="68"/>
  <c r="S16" i="1"/>
  <c r="T11" i="1" s="1"/>
  <c r="R23" i="6"/>
  <c r="D6" i="6"/>
  <c r="D15" i="6"/>
  <c r="D11" i="6"/>
  <c r="H21" i="6"/>
  <c r="R21" i="6" s="1"/>
  <c r="H20" i="6"/>
  <c r="R20" i="6" s="1"/>
  <c r="M16" i="1"/>
  <c r="O14" i="1"/>
  <c r="O16" i="1" s="1"/>
  <c r="I19" i="6"/>
  <c r="M27" i="6"/>
  <c r="E52" i="33"/>
  <c r="F52" i="33" s="1"/>
  <c r="E53" i="33"/>
  <c r="F53" i="33" s="1"/>
  <c r="C38" i="35"/>
  <c r="C39" i="35"/>
  <c r="B3" i="35" s="1"/>
  <c r="B2" i="35" s="1"/>
  <c r="S7" i="36"/>
  <c r="AA7" i="36"/>
  <c r="R36" i="36" s="1"/>
  <c r="C49" i="33"/>
  <c r="B3" i="33" s="1"/>
  <c r="B2" i="33" s="1"/>
  <c r="C48" i="33"/>
  <c r="I52" i="33"/>
  <c r="J52" i="33" s="1"/>
  <c r="I53" i="33"/>
  <c r="J53" i="33" s="1"/>
  <c r="G53" i="33"/>
  <c r="H53" i="33" s="1"/>
  <c r="I40" i="36"/>
  <c r="J40" i="36" s="1"/>
  <c r="E43" i="35"/>
  <c r="F43" i="35" s="1"/>
  <c r="E42" i="35"/>
  <c r="F42" i="35" s="1"/>
  <c r="U7" i="36"/>
  <c r="AB7" i="36"/>
  <c r="T36" i="36" s="1"/>
  <c r="G36" i="36" s="1"/>
  <c r="E47" i="37"/>
  <c r="F47" i="37" s="1"/>
  <c r="E46" i="37"/>
  <c r="F46" i="37" s="1"/>
  <c r="G46" i="37"/>
  <c r="H46" i="37" s="1"/>
  <c r="G47" i="37"/>
  <c r="H47" i="37" s="1"/>
  <c r="I42" i="35"/>
  <c r="J42" i="35" s="1"/>
  <c r="I43" i="35"/>
  <c r="J43" i="35" s="1"/>
  <c r="C43" i="37"/>
  <c r="B3" i="37" s="1"/>
  <c r="B2" i="37" s="1"/>
  <c r="C42" i="37"/>
  <c r="I46" i="37"/>
  <c r="J46" i="37" s="1"/>
  <c r="I47" i="37"/>
  <c r="J47" i="37" s="1"/>
  <c r="G43" i="35"/>
  <c r="H43" i="35" s="1"/>
  <c r="Q69" i="44"/>
  <c r="L58" i="44"/>
  <c r="L61" i="44" s="1"/>
  <c r="L47" i="44" s="1"/>
  <c r="C27" i="12"/>
  <c r="D26" i="12" s="1"/>
  <c r="C32" i="12" s="1"/>
  <c r="D30" i="12" s="1"/>
  <c r="C23" i="43"/>
  <c r="D21" i="43" s="1"/>
  <c r="C38" i="15"/>
  <c r="B3" i="11"/>
  <c r="B4" i="11"/>
  <c r="B5" i="11"/>
  <c r="C59" i="15"/>
  <c r="C65" i="15"/>
  <c r="Q58" i="44"/>
  <c r="Q49" i="44"/>
  <c r="Q55" i="44" s="1"/>
  <c r="Q67" i="44"/>
  <c r="F7" i="67"/>
  <c r="A6" i="51" l="1"/>
  <c r="B7" i="63" s="1"/>
  <c r="A20" i="51"/>
  <c r="B15" i="63" s="1"/>
  <c r="E4" i="67"/>
  <c r="A6" i="64"/>
  <c r="D27" i="6"/>
  <c r="D22" i="12"/>
  <c r="C22" i="12" s="1"/>
  <c r="C20" i="12" s="1"/>
  <c r="D13" i="11"/>
  <c r="C13" i="11" s="1"/>
  <c r="A20" i="64"/>
  <c r="C26" i="46"/>
  <c r="C16" i="12"/>
  <c r="D19" i="12"/>
  <c r="C19" i="12" s="1"/>
  <c r="K70" i="39"/>
  <c r="J72" i="39"/>
  <c r="R25" i="6"/>
  <c r="M65" i="40"/>
  <c r="L67" i="40"/>
  <c r="I54" i="34"/>
  <c r="J54" i="34" s="1"/>
  <c r="E53" i="34"/>
  <c r="F53" i="34" s="1"/>
  <c r="E54" i="34"/>
  <c r="F54" i="34" s="1"/>
  <c r="J40" i="39"/>
  <c r="H40" i="39"/>
  <c r="F40" i="39"/>
  <c r="J26" i="68"/>
  <c r="J29" i="68" s="1"/>
  <c r="J24" i="68"/>
  <c r="C50" i="34"/>
  <c r="B3" i="34" s="1"/>
  <c r="B2" i="34" s="1"/>
  <c r="C49" i="34"/>
  <c r="D30" i="6"/>
  <c r="D16" i="6"/>
  <c r="R8" i="1"/>
  <c r="R9" i="1"/>
  <c r="R12" i="1"/>
  <c r="R10" i="1"/>
  <c r="R11" i="1"/>
  <c r="R13" i="1"/>
  <c r="C33" i="68"/>
  <c r="C31" i="68" s="1"/>
  <c r="L46" i="68"/>
  <c r="C60" i="68"/>
  <c r="C58" i="68" s="1"/>
  <c r="T13" i="1"/>
  <c r="T7" i="1"/>
  <c r="T12" i="1"/>
  <c r="T10" i="1"/>
  <c r="T6" i="1"/>
  <c r="T9" i="1"/>
  <c r="T8" i="1"/>
  <c r="D31" i="6"/>
  <c r="I27" i="6"/>
  <c r="S19" i="6"/>
  <c r="S27" i="6" s="1"/>
  <c r="H19" i="6"/>
  <c r="P14" i="1"/>
  <c r="P16" i="1" s="1"/>
  <c r="C13" i="12" s="1"/>
  <c r="L16" i="1"/>
  <c r="N16" i="1"/>
  <c r="C29" i="43" s="1"/>
  <c r="C13" i="43"/>
  <c r="G41" i="36"/>
  <c r="H41" i="36" s="1"/>
  <c r="G40" i="36"/>
  <c r="H40" i="36" s="1"/>
  <c r="E36" i="36"/>
  <c r="R37" i="36"/>
  <c r="Q68" i="44"/>
  <c r="Q77" i="44" s="1"/>
  <c r="Q59" i="44"/>
  <c r="Q64" i="44" s="1"/>
  <c r="C14" i="15"/>
  <c r="C16" i="44"/>
  <c r="E7" i="67"/>
  <c r="C14" i="68"/>
  <c r="E3" i="67" l="1"/>
  <c r="AC40" i="39"/>
  <c r="W40" i="39"/>
  <c r="K72" i="39"/>
  <c r="L70" i="39"/>
  <c r="AA40" i="39"/>
  <c r="S40" i="39"/>
  <c r="AB40" i="39"/>
  <c r="U40" i="39"/>
  <c r="M67" i="40"/>
  <c r="N65" i="40"/>
  <c r="N67" i="40" s="1"/>
  <c r="B2" i="46"/>
  <c r="C15" i="68"/>
  <c r="C19" i="68" s="1"/>
  <c r="C18" i="68"/>
  <c r="T16" i="1"/>
  <c r="C20" i="44"/>
  <c r="C17" i="44"/>
  <c r="C18" i="15"/>
  <c r="C15" i="15"/>
  <c r="I6" i="6"/>
  <c r="I5" i="6"/>
  <c r="C17" i="43"/>
  <c r="C14" i="43"/>
  <c r="H27" i="6"/>
  <c r="R19" i="6"/>
  <c r="R7" i="1" s="1"/>
  <c r="C17" i="12"/>
  <c r="C14" i="12"/>
  <c r="C37" i="36"/>
  <c r="B3" i="36" s="1"/>
  <c r="B2" i="36" s="1"/>
  <c r="C36" i="36"/>
  <c r="E40" i="36"/>
  <c r="F40" i="36" s="1"/>
  <c r="E41" i="36"/>
  <c r="F41" i="36" s="1"/>
  <c r="I41" i="36"/>
  <c r="J41" i="36" s="1"/>
  <c r="M23" i="44"/>
  <c r="B7" i="67"/>
  <c r="F37" i="44"/>
  <c r="B2" i="67" l="1"/>
  <c r="M70" i="39"/>
  <c r="L72" i="39"/>
  <c r="C13" i="39"/>
  <c r="H13" i="39" s="1"/>
  <c r="C11" i="21"/>
  <c r="H9" i="40"/>
  <c r="F9" i="40"/>
  <c r="J9" i="40"/>
  <c r="B3" i="46"/>
  <c r="B4" i="46"/>
  <c r="D4" i="46"/>
  <c r="J22" i="44"/>
  <c r="C36" i="44"/>
  <c r="J13" i="39"/>
  <c r="F13" i="39"/>
  <c r="C20" i="68"/>
  <c r="C23" i="68" s="1"/>
  <c r="L57" i="68"/>
  <c r="L60" i="68" s="1"/>
  <c r="C21" i="44"/>
  <c r="C22" i="44" s="1"/>
  <c r="C28" i="44" s="1"/>
  <c r="C19" i="15"/>
  <c r="C20" i="15" s="1"/>
  <c r="C23" i="15" s="1"/>
  <c r="R27" i="6"/>
  <c r="R6" i="1"/>
  <c r="C18" i="12"/>
  <c r="C23" i="12" s="1"/>
  <c r="C18" i="43"/>
  <c r="C19" i="43" s="1"/>
  <c r="C25" i="43" s="1"/>
  <c r="C24" i="43" s="1"/>
  <c r="C25" i="44"/>
  <c r="C31" i="44" s="1"/>
  <c r="F35" i="15"/>
  <c r="M21" i="15"/>
  <c r="J20" i="15" l="1"/>
  <c r="C34" i="15"/>
  <c r="F62" i="15"/>
  <c r="C61" i="15" s="1"/>
  <c r="W9" i="40"/>
  <c r="AC9" i="40"/>
  <c r="V44" i="40" s="1"/>
  <c r="I44" i="40" s="1"/>
  <c r="I48" i="40" s="1"/>
  <c r="J48" i="40" s="1"/>
  <c r="N70" i="39"/>
  <c r="N72" i="39" s="1"/>
  <c r="F9" i="39" s="1"/>
  <c r="M72" i="39"/>
  <c r="J9" i="39" s="1"/>
  <c r="U9" i="40"/>
  <c r="AB9" i="40"/>
  <c r="T44" i="40" s="1"/>
  <c r="G44" i="40" s="1"/>
  <c r="R16" i="1"/>
  <c r="J11" i="21"/>
  <c r="F11" i="21"/>
  <c r="H11" i="21"/>
  <c r="S9" i="40"/>
  <c r="AA9" i="40"/>
  <c r="R44" i="40" s="1"/>
  <c r="B3" i="67"/>
  <c r="B4" i="67"/>
  <c r="AC13" i="39"/>
  <c r="W13" i="39"/>
  <c r="S13" i="39"/>
  <c r="AA13" i="39"/>
  <c r="AB13" i="39"/>
  <c r="U13" i="39"/>
  <c r="C26" i="68"/>
  <c r="C29" i="68" s="1"/>
  <c r="C26" i="15"/>
  <c r="C29" i="15" s="1"/>
  <c r="Q50" i="15" s="1"/>
  <c r="Q67" i="68"/>
  <c r="Q58" i="68"/>
  <c r="C22" i="43"/>
  <c r="C21" i="43" s="1"/>
  <c r="C28" i="43" s="1"/>
  <c r="C30" i="43" s="1"/>
  <c r="C32" i="43" s="1"/>
  <c r="B2" i="43" s="1"/>
  <c r="C15" i="44"/>
  <c r="J21" i="44"/>
  <c r="J19" i="44" s="1"/>
  <c r="C35" i="44"/>
  <c r="C33" i="44" s="1"/>
  <c r="Q51" i="44"/>
  <c r="J16" i="44"/>
  <c r="C38" i="44"/>
  <c r="K33" i="9"/>
  <c r="K34" i="9" s="1"/>
  <c r="H9" i="39" l="1"/>
  <c r="AB9" i="39" s="1"/>
  <c r="T49" i="39" s="1"/>
  <c r="G49" i="39" s="1"/>
  <c r="G53" i="39" s="1"/>
  <c r="H53" i="39" s="1"/>
  <c r="U11" i="21"/>
  <c r="AB11" i="21"/>
  <c r="T48" i="21" s="1"/>
  <c r="G48" i="21" s="1"/>
  <c r="AA9" i="39"/>
  <c r="R49" i="39" s="1"/>
  <c r="S9" i="39"/>
  <c r="W11" i="21"/>
  <c r="AC11" i="21"/>
  <c r="V48" i="21" s="1"/>
  <c r="I48" i="21" s="1"/>
  <c r="I52" i="21" s="1"/>
  <c r="J52" i="21" s="1"/>
  <c r="R45" i="40"/>
  <c r="E44" i="40"/>
  <c r="G48" i="40"/>
  <c r="H48" i="40" s="1"/>
  <c r="G49" i="40"/>
  <c r="H49" i="40" s="1"/>
  <c r="AC9" i="39"/>
  <c r="W9" i="39"/>
  <c r="V49" i="39"/>
  <c r="I49" i="39" s="1"/>
  <c r="S11" i="21"/>
  <c r="AA11" i="21"/>
  <c r="R48" i="21" s="1"/>
  <c r="C56" i="68"/>
  <c r="C63" i="68" s="1"/>
  <c r="J59" i="68"/>
  <c r="J60" i="68" s="1"/>
  <c r="Q49" i="68" s="1"/>
  <c r="Q50" i="68"/>
  <c r="J19" i="68"/>
  <c r="J17" i="68" s="1"/>
  <c r="J14" i="68"/>
  <c r="C13" i="68"/>
  <c r="C36" i="68"/>
  <c r="C36" i="15"/>
  <c r="J19" i="15"/>
  <c r="J17" i="15" s="1"/>
  <c r="J59" i="15"/>
  <c r="J60" i="15" s="1"/>
  <c r="L46" i="15" s="1"/>
  <c r="C13" i="15"/>
  <c r="C37" i="15" s="1"/>
  <c r="J14" i="15"/>
  <c r="J13" i="15" s="1"/>
  <c r="J23" i="15" s="1"/>
  <c r="C33" i="15"/>
  <c r="C31" i="15" s="1"/>
  <c r="C56" i="15"/>
  <c r="C63" i="15" s="1"/>
  <c r="J24" i="44"/>
  <c r="J15" i="44"/>
  <c r="J25" i="44" s="1"/>
  <c r="C43" i="44"/>
  <c r="Q72" i="44"/>
  <c r="C39" i="44"/>
  <c r="C32" i="44" s="1"/>
  <c r="C42" i="44" s="1"/>
  <c r="B5" i="43"/>
  <c r="B4" i="43"/>
  <c r="B3" i="43"/>
  <c r="U9" i="39" l="1"/>
  <c r="E49" i="39"/>
  <c r="R50" i="39"/>
  <c r="C50" i="39" s="1"/>
  <c r="I54" i="39"/>
  <c r="J54" i="39" s="1"/>
  <c r="C45" i="40"/>
  <c r="C44" i="40"/>
  <c r="G54" i="39"/>
  <c r="H54" i="39" s="1"/>
  <c r="G52" i="21"/>
  <c r="H52" i="21" s="1"/>
  <c r="G53" i="21"/>
  <c r="H53" i="21" s="1"/>
  <c r="I53" i="39"/>
  <c r="J53" i="39" s="1"/>
  <c r="R49" i="21"/>
  <c r="E48" i="21"/>
  <c r="I49" i="40"/>
  <c r="J49" i="40" s="1"/>
  <c r="E48" i="40"/>
  <c r="F48" i="40" s="1"/>
  <c r="E49" i="40"/>
  <c r="F49" i="40" s="1"/>
  <c r="E53" i="39"/>
  <c r="F53" i="39" s="1"/>
  <c r="E54" i="39"/>
  <c r="F54" i="39" s="1"/>
  <c r="C55" i="68"/>
  <c r="C64" i="68" s="1"/>
  <c r="C57" i="68" s="1"/>
  <c r="C66" i="68" s="1"/>
  <c r="C67" i="68" s="1"/>
  <c r="C37" i="68"/>
  <c r="C30" i="68" s="1"/>
  <c r="C39" i="68" s="1"/>
  <c r="Q71" i="68"/>
  <c r="J35" i="68"/>
  <c r="J22" i="68"/>
  <c r="J13" i="68"/>
  <c r="J23" i="68" s="1"/>
  <c r="J35" i="15"/>
  <c r="Q49" i="15"/>
  <c r="C60" i="15"/>
  <c r="C58" i="15" s="1"/>
  <c r="C30" i="15"/>
  <c r="C39" i="15" s="1"/>
  <c r="C55" i="15"/>
  <c r="C64" i="15" s="1"/>
  <c r="Q71" i="15"/>
  <c r="J22" i="15"/>
  <c r="J16" i="15" s="1"/>
  <c r="J25" i="15" s="1"/>
  <c r="J18" i="44"/>
  <c r="J27" i="44" s="1"/>
  <c r="Q71" i="44"/>
  <c r="Q70" i="44" s="1"/>
  <c r="C44" i="44"/>
  <c r="C45" i="44" s="1"/>
  <c r="B2" i="44" s="1"/>
  <c r="L51" i="15"/>
  <c r="L51" i="68"/>
  <c r="C49" i="39" l="1"/>
  <c r="I53" i="21"/>
  <c r="J53" i="21" s="1"/>
  <c r="E52" i="21"/>
  <c r="F52" i="21" s="1"/>
  <c r="E53" i="21"/>
  <c r="F53" i="21" s="1"/>
  <c r="C48" i="21"/>
  <c r="C49" i="21"/>
  <c r="B3" i="21" s="1"/>
  <c r="B56" i="40"/>
  <c r="F56" i="40" s="1"/>
  <c r="B60" i="40"/>
  <c r="F60" i="40" s="1"/>
  <c r="B55" i="40"/>
  <c r="F55" i="40" s="1"/>
  <c r="B61" i="40"/>
  <c r="F61" i="40" s="1"/>
  <c r="B58" i="40"/>
  <c r="F58" i="40" s="1"/>
  <c r="B53" i="40"/>
  <c r="F53" i="40" s="1"/>
  <c r="B57" i="40"/>
  <c r="F57" i="40" s="1"/>
  <c r="B59" i="40"/>
  <c r="F59" i="40" s="1"/>
  <c r="F63" i="40"/>
  <c r="B2" i="40" s="1"/>
  <c r="B54" i="40"/>
  <c r="F54" i="40" s="1"/>
  <c r="B62" i="40"/>
  <c r="F62" i="40" s="1"/>
  <c r="J39" i="68"/>
  <c r="J40" i="68" s="1"/>
  <c r="J16" i="68"/>
  <c r="J25" i="68" s="1"/>
  <c r="B59" i="39"/>
  <c r="F59" i="39" s="1"/>
  <c r="B65" i="39"/>
  <c r="F65" i="39" s="1"/>
  <c r="B63" i="39"/>
  <c r="F63" i="39" s="1"/>
  <c r="B64" i="39"/>
  <c r="F64" i="39" s="1"/>
  <c r="B58" i="39"/>
  <c r="F58" i="39" s="1"/>
  <c r="B61" i="39"/>
  <c r="F61" i="39" s="1"/>
  <c r="B67" i="39"/>
  <c r="F67" i="39" s="1"/>
  <c r="B60" i="39"/>
  <c r="F60" i="39" s="1"/>
  <c r="B62" i="39"/>
  <c r="F62" i="39" s="1"/>
  <c r="B66" i="39"/>
  <c r="F66" i="39" s="1"/>
  <c r="Q68" i="68"/>
  <c r="C70" i="68"/>
  <c r="Q70" i="68"/>
  <c r="Q69" i="68" s="1"/>
  <c r="C40" i="68"/>
  <c r="J39" i="15"/>
  <c r="J40" i="15" s="1"/>
  <c r="C57" i="15"/>
  <c r="C66" i="15" s="1"/>
  <c r="C67" i="15" s="1"/>
  <c r="C70" i="15" s="1"/>
  <c r="Q70" i="15"/>
  <c r="Q69" i="15" s="1"/>
  <c r="L57" i="15"/>
  <c r="L60" i="15" s="1"/>
  <c r="Q58" i="15" s="1"/>
  <c r="Q68" i="15"/>
  <c r="C40" i="15"/>
  <c r="Q66" i="15" s="1"/>
  <c r="B4" i="44"/>
  <c r="B5" i="44"/>
  <c r="B3" i="44"/>
  <c r="B2" i="21" l="1"/>
  <c r="C10" i="12" s="1"/>
  <c r="C8" i="12"/>
  <c r="B5" i="40"/>
  <c r="B4" i="40"/>
  <c r="B3" i="40"/>
  <c r="F68" i="39"/>
  <c r="B2" i="39" s="1"/>
  <c r="B4" i="39" s="1"/>
  <c r="Q66" i="68"/>
  <c r="Q76" i="68" s="1"/>
  <c r="Q57" i="68"/>
  <c r="Q63" i="68" s="1"/>
  <c r="C43" i="68"/>
  <c r="B2" i="68"/>
  <c r="Q48" i="68"/>
  <c r="Q54" i="68" s="1"/>
  <c r="J42" i="68"/>
  <c r="J43" i="68" s="1"/>
  <c r="C46" i="68"/>
  <c r="Q48" i="15"/>
  <c r="Q54" i="15" s="1"/>
  <c r="C46" i="15"/>
  <c r="B2" i="15"/>
  <c r="Q67" i="15"/>
  <c r="Q76" i="15" s="1"/>
  <c r="C43" i="15"/>
  <c r="J42" i="15"/>
  <c r="J43" i="15" s="1"/>
  <c r="Q57" i="15"/>
  <c r="Q63" i="15" s="1"/>
  <c r="C19" i="9"/>
  <c r="C21" i="9"/>
  <c r="B5" i="39" l="1"/>
  <c r="B3" i="39"/>
  <c r="L43" i="9"/>
  <c r="B3" i="68"/>
  <c r="B3" i="15"/>
  <c r="C20" i="9"/>
  <c r="C6" i="12" l="1"/>
  <c r="C24" i="12" s="1"/>
  <c r="C29" i="12" l="1"/>
  <c r="C35" i="12"/>
  <c r="C33" i="12" s="1"/>
  <c r="C28" i="12"/>
  <c r="C26" i="12" s="1"/>
  <c r="C31" i="12" l="1"/>
  <c r="C30" i="12" s="1"/>
  <c r="C36" i="12" s="1"/>
  <c r="B2" i="12" s="1"/>
  <c r="D19" i="9"/>
  <c r="L44" i="9" l="1"/>
  <c r="G19" i="9"/>
  <c r="D22" i="9"/>
  <c r="B5" i="12"/>
  <c r="B4" i="12"/>
  <c r="B3" i="12"/>
  <c r="D20" i="9"/>
  <c r="D21" i="9"/>
  <c r="G21" i="9" l="1"/>
  <c r="G20" i="9"/>
  <c r="C32" i="9"/>
  <c r="N43" i="9"/>
  <c r="G22" i="9"/>
  <c r="C42" i="9" l="1"/>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 r="O41" i="9" l="1"/>
  <c r="R8" i="54" s="1"/>
  <c r="B54" i="63" s="1"/>
  <c r="D46" i="9"/>
  <c r="I14" i="66"/>
  <c r="B8" i="66" s="1"/>
  <c r="F46" i="9"/>
  <c r="E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<sst xmlns="http://schemas.openxmlformats.org/spreadsheetml/2006/main" count="7799" uniqueCount="3215">
  <si>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</si>
  <si>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</si>
  <si>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</si>
  <si>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</si>
  <si>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</si>
  <si>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</si>
  <si>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</si>
  <si>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</si>
  <si>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</si>
  <si>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</si>
  <si>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</si>
  <si>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</si>
  <si>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</si>
  <si>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</si>
  <si>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</si>
  <si>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</si>
  <si>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</si>
  <si>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</si>
  <si>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</si>
  <si>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</si>
  <si>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</si>
  <si>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</si>
  <si>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</si>
  <si>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</si>
  <si>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</si>
  <si>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</si>
  <si>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</si>
  <si>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</si>
  <si>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</si>
  <si>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</si>
  <si>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</si>
  <si>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</si>
  <si>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</si>
  <si>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</si>
  <si>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</si>
  <si>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</si>
  <si>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</si>
  <si>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</si>
  <si>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</si>
  <si>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</si>
  <si>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</si>
  <si>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</si>
  <si>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</si>
  <si>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</si>
  <si>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</si>
  <si>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</si>
  <si>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</si>
  <si>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</si>
  <si>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</si>
  <si>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</si>
  <si>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</si>
  <si>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</si>
  <si>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</si>
  <si>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</si>
  <si>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</si>
  <si>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</si>
  <si>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</si>
  <si>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</si>
  <si>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</si>
  <si>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</si>
  <si>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</si>
  <si>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</si>
  <si>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</si>
  <si>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</si>
  <si>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</si>
  <si>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</si>
  <si>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</si>
  <si>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</si>
  <si>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</si>
  <si>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</si>
  <si>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</si>
  <si>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</si>
  <si>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</si>
  <si>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</si>
  <si>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</si>
  <si>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</si>
  <si>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</si>
  <si>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</si>
  <si>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</si>
  <si>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</si>
  <si>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</si>
  <si>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</si>
  <si>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</si>
  <si>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</si>
  <si>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</si>
  <si>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</si>
  <si>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</si>
  <si>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</si>
  <si>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</si>
  <si>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</si>
  <si>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</si>
  <si>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</si>
  <si>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</si>
  <si>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</si>
  <si>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</si>
  <si>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</si>
  <si>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</si>
  <si>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</si>
  <si>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</si>
  <si>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</si>
  <si>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</si>
  <si>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</si>
  <si>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</si>
  <si>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</si>
  <si>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</si>
  <si>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</si>
  <si>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</si>
  <si>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</si>
  <si>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</si>
  <si>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</si>
  <si>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</si>
  <si>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</si>
  <si>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</si>
  <si>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</si>
  <si>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</si>
  <si>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</si>
  <si>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</si>
  <si>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</si>
  <si>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</si>
  <si>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</si>
  <si>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</si>
  <si>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</si>
  <si>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</si>
  <si>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</si>
  <si>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</si>
  <si>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</si>
  <si>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</si>
  <si>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</si>
  <si>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</si>
  <si>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</si>
  <si>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</si>
  <si>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</si>
  <si>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</si>
  <si>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</si>
  <si>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</si>
  <si>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</si>
  <si>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</si>
  <si>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</si>
  <si>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</si>
  <si>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</si>
  <si>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</si>
  <si>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</si>
  <si>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</si>
  <si>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</si>
  <si>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</si>
  <si>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</si>
  <si>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</si>
  <si>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</si>
  <si>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</si>
  <si>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</si>
  <si>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</si>
  <si>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</si>
  <si>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</si>
  <si>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</si>
  <si>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</si>
  <si>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</si>
  <si>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</si>
  <si>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</si>
  <si>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</si>
  <si>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</si>
  <si>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</si>
  <si>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</si>
  <si>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</si>
  <si>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</si>
  <si>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</si>
  <si>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</si>
  <si>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</si>
  <si>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</si>
  <si>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</si>
  <si>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</si>
  <si>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</si>
  <si>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</si>
  <si>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</si>
  <si>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</si>
  <si>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</si>
  <si>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</si>
  <si>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</si>
  <si>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</si>
  <si>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</si>
  <si>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</si>
  <si>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</si>
  <si>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</si>
  <si>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</si>
  <si>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</si>
  <si>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</si>
  <si>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</si>
  <si>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</si>
  <si>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</si>
  <si>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</si>
  <si>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</si>
  <si>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</si>
  <si>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</si>
  <si>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</si>
  <si>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</si>
  <si>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</si>
  <si>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</si>
  <si>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</si>
  <si>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</si>
  <si>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</si>
  <si>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</si>
  <si>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</si>
  <si>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</si>
  <si>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</si>
  <si>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</si>
  <si>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</si>
  <si>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</si>
  <si>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</si>
  <si>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</si>
  <si>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</si>
  <si>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</si>
  <si>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</si>
  <si>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</si>
  <si>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</si>
  <si>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</si>
  <si>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</si>
  <si>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</si>
  <si>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</si>
  <si>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</si>
  <si>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</si>
  <si>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</si>
  <si>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</si>
  <si>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</si>
  <si>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</si>
  <si>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</si>
  <si>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</si>
  <si>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</si>
  <si>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</si>
  <si>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</si>
  <si>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</si>
  <si>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</si>
  <si>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</si>
  <si>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</si>
  <si>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</si>
  <si>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</si>
  <si>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</si>
  <si>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</si>
  <si>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</si>
  <si>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</si>
  <si>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</si>
  <si>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</si>
  <si>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</si>
  <si>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</si>
  <si>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</si>
  <si>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</si>
  <si>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</si>
  <si>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</si>
  <si>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</si>
  <si>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</si>
  <si>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</si>
  <si>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</si>
  <si>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</si>
  <si>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</si>
  <si>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</si>
  <si>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</si>
  <si>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</si>
  <si>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</si>
  <si>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</si>
  <si>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</si>
  <si>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</si>
  <si>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</si>
  <si>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</si>
  <si>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</si>
  <si>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</si>
  <si>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</si>
  <si>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</si>
  <si>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</si>
  <si>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</si>
  <si>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</si>
  <si>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</si>
  <si>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</si>
  <si>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</si>
  <si>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</si>
  <si>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</si>
  <si>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</si>
  <si>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</si>
  <si>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</si>
  <si>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</si>
  <si>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</si>
  <si>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</si>
  <si>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</si>
  <si>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</si>
  <si>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</si>
  <si>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</si>
  <si>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</si>
  <si>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</si>
  <si>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</si>
  <si>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</si>
  <si>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</si>
  <si>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</si>
  <si>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</si>
  <si>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</si>
  <si>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</si>
  <si>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</si>
  <si>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</si>
  <si>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</si>
  <si>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</si>
  <si>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</si>
  <si>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</si>
  <si>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</si>
  <si>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</si>
  <si>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</si>
  <si>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</si>
  <si>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</si>
  <si>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</si>
  <si>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</si>
  <si>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</si>
  <si>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</si>
  <si>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</si>
  <si>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</si>
  <si>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</si>
  <si>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</si>
  <si>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</si>
  <si>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</si>
  <si>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</si>
  <si>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</si>
  <si>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</si>
  <si>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</si>
  <si>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</si>
  <si>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</si>
  <si>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</si>
  <si>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</si>
  <si>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</si>
  <si>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</si>
  <si>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</si>
  <si>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</si>
  <si>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</si>
  <si>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</si>
  <si>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</si>
  <si>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</si>
  <si>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</si>
  <si>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</si>
  <si>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</si>
  <si>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</si>
  <si>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</si>
  <si>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</si>
  <si>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</si>
  <si>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</si>
  <si>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</si>
  <si>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</si>
  <si>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</si>
  <si>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</si>
  <si>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</si>
  <si>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</si>
  <si>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</si>
  <si>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</si>
  <si>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</si>
  <si>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</si>
  <si>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</si>
  <si>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</si>
  <si>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</si>
  <si>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</si>
  <si>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</si>
  <si>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</si>
  <si>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</si>
  <si>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</si>
  <si>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</si>
  <si>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</si>
  <si>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</si>
  <si>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</si>
  <si>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</si>
  <si>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</si>
  <si>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</si>
  <si>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</si>
  <si>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</si>
  <si>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</si>
  <si>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</si>
  <si>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</si>
  <si>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</si>
  <si>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</si>
  <si>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</si>
  <si>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</si>
  <si>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</si>
  <si>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</si>
  <si>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</si>
  <si>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</si>
  <si>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</si>
  <si>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</si>
  <si>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</si>
  <si>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</si>
  <si>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</si>
  <si>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</si>
  <si>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</si>
  <si>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</si>
  <si>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</si>
  <si>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</si>
  <si>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</si>
  <si>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</si>
  <si>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</si>
  <si>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</si>
  <si>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</si>
  <si>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</si>
  <si>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</si>
  <si>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</si>
  <si>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</si>
  <si>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</si>
  <si>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</si>
  <si>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</si>
  <si>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</si>
  <si>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</si>
  <si>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</si>
  <si>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</si>
  <si>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</si>
  <si>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</si>
  <si>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</si>
  <si>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</si>
  <si>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</si>
  <si>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</si>
  <si>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</si>
  <si>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</si>
  <si>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</si>
  <si>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</si>
  <si>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</si>
  <si>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</si>
  <si>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</si>
  <si>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</si>
  <si>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</si>
  <si>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</si>
  <si>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</si>
  <si>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</si>
  <si>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</si>
  <si>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</si>
  <si>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</si>
  <si>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</si>
  <si>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</si>
  <si>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</si>
  <si>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</si>
  <si>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</si>
  <si>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</si>
  <si>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</si>
  <si>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</si>
  <si>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</si>
  <si>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</si>
  <si>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</si>
  <si>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</si>
  <si>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</si>
  <si>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</si>
  <si>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</si>
  <si>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</si>
  <si>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</si>
  <si>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</si>
  <si>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</si>
  <si>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</si>
  <si>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</si>
  <si>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</si>
  <si>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</si>
  <si>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</si>
  <si>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</si>
  <si>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</si>
  <si>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</si>
  <si>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</si>
  <si>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</si>
  <si>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</si>
  <si>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</si>
  <si>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</si>
  <si>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</si>
  <si>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</si>
  <si>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</si>
  <si>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</si>
  <si>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</si>
  <si>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</si>
  <si>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</si>
  <si>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</si>
  <si>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</si>
  <si>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</si>
  <si>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</si>
  <si>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</si>
  <si>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</si>
  <si>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</si>
  <si>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</si>
  <si>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</si>
  <si>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</si>
  <si>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</si>
  <si>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</si>
  <si>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</si>
  <si>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</si>
  <si>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</si>
  <si>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</si>
  <si>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</si>
  <si>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</si>
  <si>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</si>
  <si>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</si>
  <si>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</si>
  <si>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</si>
  <si>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</si>
  <si>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</si>
  <si>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</si>
  <si>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</si>
  <si>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</si>
  <si>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</si>
  <si>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</si>
  <si>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</si>
  <si>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</si>
  <si>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</si>
  <si>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</si>
  <si>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</si>
  <si>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</si>
  <si>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</si>
  <si>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</si>
  <si>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</si>
  <si>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</si>
  <si>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</si>
  <si>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</si>
  <si>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</si>
  <si>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</si>
  <si>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</si>
  <si>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</si>
  <si>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</si>
  <si>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</si>
  <si>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</si>
  <si>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</si>
  <si>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</si>
  <si>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</si>
  <si>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</si>
  <si>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</si>
  <si>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</si>
  <si>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</si>
  <si>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</si>
  <si>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</si>
  <si>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</si>
  <si>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</si>
  <si>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</si>
  <si>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</si>
  <si>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</si>
  <si>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</si>
  <si>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</si>
  <si>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</si>
  <si>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</si>
  <si>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</si>
  <si>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</si>
  <si>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</si>
  <si>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</si>
  <si>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</si>
  <si>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</si>
  <si>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</si>
  <si>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</si>
  <si>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</si>
  <si>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</si>
  <si>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</si>
  <si>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</si>
  <si>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</si>
  <si>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</si>
  <si>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</si>
  <si>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</si>
  <si>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</si>
  <si>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</si>
  <si>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</si>
  <si>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</si>
  <si>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</si>
  <si>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</si>
  <si>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</si>
  <si>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</si>
  <si>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</si>
  <si>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</si>
  <si>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</si>
  <si>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</si>
  <si>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</si>
  <si>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</si>
  <si>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</si>
  <si>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</si>
  <si>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</si>
  <si>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</si>
  <si>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</si>
  <si>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</si>
  <si>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</si>
  <si>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</si>
  <si>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</si>
  <si>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</si>
  <si>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</si>
  <si>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</si>
  <si>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</si>
  <si>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</si>
  <si>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</si>
  <si>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</si>
  <si>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</si>
  <si>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</si>
  <si>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</si>
  <si>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</si>
  <si>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</si>
  <si>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</si>
  <si>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</si>
  <si>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</si>
  <si>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</si>
  <si>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</si>
  <si>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</si>
  <si>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</si>
  <si>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</si>
  <si>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</si>
  <si>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</si>
  <si>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</si>
  <si>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</si>
  <si>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</si>
  <si>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</si>
  <si>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</si>
  <si>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</si>
  <si>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</si>
  <si>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</si>
  <si>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</si>
  <si>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</si>
  <si>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</si>
  <si>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</si>
  <si>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</si>
  <si>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</si>
  <si>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</si>
  <si>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</si>
  <si>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</si>
  <si>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</si>
  <si>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</si>
  <si>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</si>
  <si>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</si>
  <si>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</si>
  <si>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</si>
  <si>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</si>
  <si>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</si>
  <si>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</si>
  <si>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</si>
  <si>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</si>
  <si>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</si>
  <si>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</si>
  <si>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</si>
  <si>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</si>
  <si>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</si>
  <si>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</si>
  <si>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</si>
  <si>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</si>
  <si>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</si>
  <si>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</si>
  <si>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</si>
  <si>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</si>
  <si>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</si>
  <si>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</si>
  <si>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</si>
  <si>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</si>
  <si>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</si>
  <si>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</si>
  <si>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</si>
  <si>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</si>
  <si>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</si>
  <si>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</si>
  <si>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</si>
  <si>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</si>
  <si>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</si>
  <si>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</si>
  <si>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</si>
  <si>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</si>
  <si>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</si>
  <si>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</si>
  <si>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</si>
  <si>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</si>
  <si>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</si>
  <si>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</si>
  <si>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</si>
  <si>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</si>
  <si>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</si>
  <si>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</si>
  <si>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</si>
  <si>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</si>
  <si>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</si>
  <si>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</si>
  <si>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</si>
  <si>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</si>
  <si>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</si>
  <si>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</si>
  <si>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</si>
  <si>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</si>
  <si>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</si>
  <si>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</si>
  <si>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</si>
  <si>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</si>
  <si>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</si>
  <si>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</si>
  <si>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</si>
  <si>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</si>
  <si>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</si>
  <si>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</si>
  <si>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</si>
  <si>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</si>
  <si>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</si>
  <si>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</si>
  <si>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</si>
  <si>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</si>
  <si>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</si>
  <si>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</si>
  <si>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</si>
  <si>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</si>
  <si>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</si>
  <si>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</si>
  <si>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</si>
  <si>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</si>
  <si>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</si>
  <si>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</si>
  <si>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</si>
  <si>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</si>
  <si>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</si>
  <si>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</si>
  <si>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</si>
  <si>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</si>
  <si>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</si>
  <si>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</si>
  <si>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</si>
  <si>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</si>
  <si>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</si>
  <si>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</si>
  <si>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</si>
  <si>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</si>
  <si>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</si>
  <si>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</si>
  <si>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</si>
  <si>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</si>
  <si>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</si>
  <si>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</si>
  <si>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</si>
  <si>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</si>
  <si>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</si>
  <si>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</si>
  <si>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</si>
  <si>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</si>
  <si>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</si>
  <si>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</si>
  <si>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</si>
  <si>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</si>
  <si>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</si>
  <si>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</si>
  <si>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</si>
  <si>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</si>
  <si>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</si>
  <si>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</si>
  <si>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</si>
  <si>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</si>
  <si>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</si>
  <si>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</si>
  <si>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</si>
  <si>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</si>
  <si>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</si>
  <si>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</si>
  <si>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</si>
  <si>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</si>
  <si>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</si>
  <si>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</si>
  <si>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</si>
  <si>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</si>
  <si>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</si>
  <si>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</si>
  <si>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</si>
  <si>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</si>
  <si>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</si>
  <si>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</si>
  <si>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</si>
  <si>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</si>
  <si>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</si>
  <si>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</si>
  <si>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</si>
  <si>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</si>
  <si>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</si>
  <si>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</si>
  <si>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</si>
  <si>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</si>
  <si>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</si>
  <si>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</si>
  <si>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</si>
  <si>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</si>
  <si>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</si>
  <si>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</si>
  <si>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</si>
  <si>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</si>
  <si>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</si>
  <si>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</si>
  <si>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</si>
  <si>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</si>
  <si>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</si>
  <si>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</si>
  <si>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</si>
  <si>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</si>
  <si>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</si>
  <si>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</si>
  <si>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</si>
  <si>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</si>
  <si>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</si>
  <si>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</si>
  <si>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</si>
  <si>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</si>
  <si>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</si>
  <si>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</si>
  <si>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</si>
  <si>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</si>
  <si>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</si>
  <si>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</si>
  <si>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</si>
  <si>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</si>
  <si>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</si>
  <si>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</si>
  <si>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</si>
  <si>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</si>
  <si>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</si>
  <si>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</si>
  <si>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</si>
  <si>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</si>
  <si>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</si>
  <si>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</si>
  <si>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</si>
  <si>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</si>
  <si>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</si>
  <si>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</si>
  <si>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</si>
  <si>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</si>
  <si>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</si>
  <si>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</si>
  <si>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</si>
  <si>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</si>
  <si>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</si>
  <si>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</si>
  <si>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</si>
  <si>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</si>
  <si>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</si>
  <si>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</si>
  <si>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</si>
  <si>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</si>
  <si>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</si>
  <si>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</si>
  <si>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</si>
  <si>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</si>
  <si>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</si>
  <si>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</si>
  <si>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</si>
  <si>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</si>
  <si>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</si>
  <si>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</si>
  <si>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</si>
  <si>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</si>
  <si>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</si>
  <si>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</si>
  <si>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</si>
  <si>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</si>
  <si>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</si>
  <si>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</si>
  <si>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</si>
  <si>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</si>
  <si>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</si>
  <si>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</si>
  <si>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</si>
  <si>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</si>
  <si>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</si>
  <si>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</si>
  <si>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</si>
  <si>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</si>
  <si>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</si>
  <si>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</si>
  <si>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</si>
  <si>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</si>
  <si>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</si>
  <si>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</si>
  <si>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</si>
  <si>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</si>
  <si>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</si>
  <si>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</si>
  <si>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</si>
  <si>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</si>
  <si>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</si>
  <si>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</si>
  <si>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</si>
  <si>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</si>
  <si>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</si>
  <si>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</si>
  <si>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</si>
  <si>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</si>
  <si>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</si>
  <si>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</si>
  <si>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</si>
  <si>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</si>
  <si>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</si>
  <si>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</si>
  <si>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</si>
  <si>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</si>
  <si>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</si>
  <si>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</si>
  <si>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</si>
  <si>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</si>
  <si>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</si>
  <si>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</si>
  <si>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</si>
  <si>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</si>
  <si>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</si>
  <si>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</si>
  <si>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</si>
  <si>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</si>
  <si>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</si>
  <si>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</si>
  <si>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</si>
  <si>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</si>
  <si>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</si>
  <si>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</si>
  <si>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</si>
  <si>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</si>
  <si>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</si>
  <si>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</si>
  <si>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</si>
  <si>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</si>
  <si>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</si>
  <si>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</si>
  <si>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</si>
  <si>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</si>
  <si>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</si>
  <si>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</si>
  <si>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</si>
  <si>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</si>
  <si>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</si>
  <si>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</si>
  <si>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</si>
  <si>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</si>
  <si>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</si>
  <si>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</si>
  <si>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</si>
  <si>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</si>
  <si>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</si>
  <si>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</si>
  <si>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</si>
  <si>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</si>
  <si>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</si>
  <si>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</si>
  <si>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</si>
  <si>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</si>
  <si>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</si>
  <si>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</si>
  <si>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</si>
  <si>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</si>
  <si>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</si>
  <si>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</si>
  <si>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</si>
  <si>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</si>
  <si>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</si>
  <si>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</si>
  <si>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</si>
  <si>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</si>
  <si>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</si>
  <si>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</si>
  <si>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</si>
  <si>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</si>
  <si>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</si>
  <si>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</si>
  <si>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</si>
  <si>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</si>
  <si>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</si>
  <si>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</si>
  <si>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</si>
  <si>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</si>
  <si>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</si>
  <si>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</si>
  <si>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</si>
  <si>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</si>
  <si>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</si>
  <si>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</si>
  <si>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</si>
  <si>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</si>
  <si>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</si>
  <si>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</si>
  <si>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</si>
  <si>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</si>
  <si>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</si>
  <si>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</si>
  <si>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</si>
  <si>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</si>
  <si>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</si>
  <si>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</si>
  <si>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</si>
  <si>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</si>
  <si>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</si>
  <si>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</si>
  <si>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</si>
  <si>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</si>
  <si>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</si>
  <si>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</si>
  <si>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</si>
  <si>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</si>
  <si>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</si>
  <si>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</si>
  <si>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</si>
  <si>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</si>
  <si>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</si>
  <si>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</si>
  <si>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</si>
  <si>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</si>
  <si>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</si>
  <si>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</si>
  <si>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</si>
  <si>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</si>
  <si>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</si>
  <si>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</si>
  <si>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</si>
  <si>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</si>
  <si>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</si>
  <si>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</si>
  <si>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</si>
  <si>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</si>
  <si>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</si>
  <si>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</si>
  <si>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</si>
  <si>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</si>
  <si>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</si>
  <si>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</si>
  <si>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</si>
  <si>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</si>
  <si>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</si>
  <si>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</si>
  <si>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</si>
  <si>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</si>
  <si>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</si>
  <si>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</si>
  <si>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</si>
  <si>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</si>
  <si>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</si>
  <si>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</si>
  <si>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</si>
  <si>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</si>
  <si>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</si>
  <si>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</si>
  <si>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</si>
  <si>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</si>
  <si>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</si>
  <si>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</si>
  <si>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</si>
  <si>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</si>
  <si>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</si>
  <si>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</si>
  <si>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</si>
  <si>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</si>
  <si>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</si>
  <si>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</si>
  <si>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</si>
  <si>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</si>
  <si>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</si>
  <si>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</si>
  <si>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</si>
  <si>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</si>
  <si>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</si>
  <si>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</si>
  <si>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</si>
  <si>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</si>
  <si>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</si>
  <si>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</si>
  <si>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</si>
  <si>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</si>
  <si>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</si>
  <si>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</si>
  <si>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</si>
  <si>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</si>
  <si>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</si>
  <si>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</si>
  <si>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</si>
  <si>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</si>
  <si>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</si>
  <si>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</si>
  <si>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</si>
  <si>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</si>
  <si>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</si>
  <si>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</si>
  <si>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</si>
  <si>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</si>
  <si>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</si>
  <si>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</si>
  <si>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</si>
  <si>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</si>
  <si>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</si>
  <si>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</si>
  <si>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</si>
  <si>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</si>
  <si>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</si>
  <si>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</si>
  <si>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</si>
  <si>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</si>
  <si>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</si>
  <si>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</si>
  <si>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</si>
  <si>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</si>
  <si>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</si>
  <si>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</si>
  <si>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</si>
  <si>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</si>
  <si>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</si>
  <si>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</si>
  <si>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</si>
  <si>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</si>
  <si>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</si>
  <si>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</si>
  <si>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</si>
  <si>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</si>
  <si>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</si>
  <si>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</si>
  <si>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</si>
  <si>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</si>
  <si>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</si>
  <si>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</si>
  <si>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</si>
  <si>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</si>
  <si>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</si>
  <si>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</si>
  <si>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</si>
  <si>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</si>
  <si>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</si>
  <si>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</si>
  <si>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</si>
  <si>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</si>
  <si>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</si>
  <si>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</si>
  <si>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</si>
  <si>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</si>
  <si>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</si>
  <si>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</si>
  <si>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</si>
  <si>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</si>
  <si>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</si>
  <si>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</si>
  <si>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</si>
  <si>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</si>
  <si>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</si>
  <si>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</si>
  <si>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</si>
  <si>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</si>
  <si>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</si>
  <si>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</si>
  <si>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</si>
  <si>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</si>
  <si>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</si>
  <si>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</si>
  <si>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</si>
  <si>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</si>
  <si>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</si>
  <si>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</si>
  <si>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</si>
  <si>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</si>
  <si>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</si>
  <si>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</si>
  <si>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</si>
  <si>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</si>
  <si>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</si>
  <si>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</si>
  <si>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</si>
  <si>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</si>
  <si>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</si>
  <si>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</si>
  <si>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</si>
  <si>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</si>
  <si>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</si>
  <si>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</si>
  <si>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</si>
  <si>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</si>
  <si>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</si>
  <si>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</si>
  <si>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</si>
  <si>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</si>
  <si>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</si>
  <si>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</si>
  <si>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</si>
  <si>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</si>
  <si>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</si>
  <si>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</si>
  <si>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</si>
  <si>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</si>
  <si>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</si>
  <si>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</si>
  <si>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</si>
  <si>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</si>
  <si>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</si>
  <si>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</si>
  <si>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</si>
  <si>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</si>
  <si>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</si>
  <si>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</si>
  <si>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</si>
  <si>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</si>
  <si>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</si>
  <si>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</si>
  <si>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</si>
  <si>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</si>
  <si>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</si>
  <si>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</si>
  <si>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</si>
  <si>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</si>
  <si>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</si>
  <si>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</si>
  <si>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</si>
  <si>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</si>
  <si>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</si>
  <si>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</si>
  <si>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</si>
  <si>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</si>
  <si>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</si>
  <si>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</si>
  <si>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</si>
  <si>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</si>
  <si>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</si>
  <si>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</si>
  <si>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</si>
  <si>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</si>
  <si>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</si>
  <si>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</si>
  <si>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</si>
  <si>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</si>
  <si>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</si>
  <si>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</si>
  <si>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</si>
  <si>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</si>
  <si>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</si>
  <si>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</si>
  <si>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</si>
  <si>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</si>
  <si>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</si>
  <si>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</si>
  <si>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</si>
  <si>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</si>
  <si>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</si>
  <si>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</si>
  <si>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</si>
  <si>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</si>
  <si>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</si>
  <si>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</si>
  <si>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</si>
  <si>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</si>
  <si>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</si>
  <si>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</si>
  <si>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</si>
  <si>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</si>
  <si>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</si>
  <si>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</si>
  <si>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</si>
  <si>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</si>
  <si>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</si>
  <si>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</si>
  <si>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</si>
  <si>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</si>
  <si>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</si>
  <si>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</si>
  <si>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</si>
  <si>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</si>
  <si>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</si>
  <si>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</si>
  <si>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</si>
  <si>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</si>
  <si>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</si>
  <si>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</si>
  <si>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</si>
  <si>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</si>
  <si>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</si>
  <si>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</si>
  <si>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</si>
  <si>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</si>
  <si>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</si>
  <si>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</si>
  <si>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</si>
  <si>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</si>
  <si>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</si>
  <si>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</si>
  <si>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</si>
  <si>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</si>
  <si>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</si>
  <si>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</si>
  <si>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</si>
  <si>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</si>
  <si>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</si>
  <si>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</si>
  <si>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</si>
  <si>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</si>
  <si>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</si>
  <si>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</si>
  <si>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</si>
  <si>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</si>
  <si>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</si>
  <si>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</si>
  <si>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</si>
  <si>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</si>
  <si>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</si>
  <si>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</si>
  <si>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</si>
  <si>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</si>
  <si>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</si>
  <si>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</si>
  <si>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</si>
  <si>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</si>
  <si>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</si>
  <si>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</si>
  <si>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</si>
  <si>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</si>
  <si>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</si>
  <si>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</si>
  <si>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</si>
  <si>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</si>
  <si>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</si>
  <si>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</si>
  <si>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</si>
  <si>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</si>
  <si>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</si>
  <si>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</si>
  <si>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</si>
  <si>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</si>
  <si>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</si>
  <si>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</si>
  <si>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</si>
  <si>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</si>
  <si>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</si>
  <si>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</si>
  <si>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</si>
  <si>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</si>
  <si>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</si>
  <si>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</si>
  <si>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</si>
  <si>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</si>
  <si>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</si>
  <si>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</si>
  <si>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</si>
  <si>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</si>
  <si>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</si>
  <si>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</si>
  <si>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</si>
  <si>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</si>
  <si>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</si>
  <si>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</si>
  <si>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</si>
  <si>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</si>
  <si>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</si>
  <si>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</si>
  <si>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</si>
  <si>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</si>
  <si>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</si>
  <si>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</si>
  <si>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</si>
  <si>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</si>
  <si>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</si>
  <si>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</si>
  <si>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</si>
  <si>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</si>
  <si>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</si>
  <si>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</si>
  <si>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</si>
  <si>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</si>
  <si>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</si>
  <si>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</si>
  <si>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</si>
  <si>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</si>
  <si>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</si>
  <si>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</si>
  <si>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</si>
  <si>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</si>
  <si>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</si>
  <si>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</si>
  <si>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</si>
  <si>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</si>
  <si>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</si>
  <si>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</si>
  <si>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</si>
  <si>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</si>
  <si>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</si>
  <si>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</si>
  <si>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</si>
  <si>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</si>
  <si>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</si>
  <si>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</si>
  <si>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</si>
  <si>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</si>
  <si>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</si>
  <si>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</si>
  <si>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</si>
  <si>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</si>
  <si>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</si>
  <si>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</si>
  <si>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</si>
  <si>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</si>
  <si>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</si>
  <si>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</si>
  <si>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</si>
  <si>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</si>
  <si>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</si>
  <si>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</si>
  <si>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</si>
  <si>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</si>
  <si>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</si>
  <si>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</si>
  <si>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</si>
  <si>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</si>
  <si>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</si>
  <si>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</si>
  <si>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</si>
  <si>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</si>
  <si>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</si>
  <si>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</si>
  <si>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</si>
  <si>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</si>
  <si>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</si>
  <si>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</si>
  <si>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</si>
  <si>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</si>
  <si>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</si>
  <si>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</si>
  <si>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</si>
  <si>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</si>
  <si>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</si>
  <si>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</si>
  <si>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</si>
  <si>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</si>
  <si>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</si>
  <si>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</si>
  <si>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</si>
  <si>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</si>
  <si>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</si>
  <si>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</si>
  <si>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</si>
  <si>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</si>
  <si>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</si>
  <si>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</si>
  <si>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</si>
  <si>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</si>
  <si>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</si>
  <si>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</si>
  <si>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</si>
  <si>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</si>
  <si>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</si>
  <si>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</si>
  <si>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</si>
  <si>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</si>
  <si>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</si>
  <si>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</si>
  <si>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</si>
  <si>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</si>
  <si>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</si>
  <si>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</si>
  <si>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</si>
  <si>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</si>
  <si>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</si>
  <si>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</si>
  <si>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</si>
  <si>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</si>
  <si>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</si>
  <si>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</si>
  <si>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</si>
  <si>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</si>
  <si>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</si>
  <si>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</si>
  <si>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</si>
  <si>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</si>
  <si>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</si>
  <si>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</si>
  <si>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</si>
  <si>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</si>
  <si>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</si>
  <si>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</si>
  <si>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</si>
  <si>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</si>
  <si>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</si>
  <si>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</si>
  <si>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</si>
  <si>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</si>
  <si>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</si>
  <si>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</si>
  <si>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</si>
  <si>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</si>
  <si>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</si>
  <si>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</si>
  <si>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</si>
  <si>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</si>
  <si>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</si>
  <si>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</si>
  <si>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</si>
  <si>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</si>
  <si>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</si>
  <si>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</si>
  <si>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</si>
  <si>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</si>
  <si>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</si>
  <si>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</si>
  <si>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</si>
  <si>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</si>
  <si>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</si>
  <si>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</si>
  <si>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</si>
  <si>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</si>
  <si>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</si>
  <si>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</si>
  <si>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</si>
  <si>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</si>
  <si>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</si>
  <si>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</si>
  <si>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</si>
  <si>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</si>
  <si>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</si>
  <si>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</si>
  <si>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</si>
  <si>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</si>
  <si>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</si>
  <si>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</si>
  <si>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</si>
  <si>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</si>
  <si>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</si>
  <si>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</si>
  <si>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</si>
  <si>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</si>
  <si>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</si>
  <si>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</si>
  <si>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</si>
  <si>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</si>
  <si>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</si>
  <si>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</si>
  <si>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</si>
  <si>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</si>
  <si>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</si>
  <si>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</si>
  <si>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</si>
  <si>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</si>
  <si>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</si>
  <si>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</si>
  <si>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</si>
  <si>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</si>
  <si>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</si>
  <si>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</si>
  <si>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</si>
  <si>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</si>
  <si>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</si>
  <si>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</si>
  <si>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</si>
  <si>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</si>
  <si>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</si>
  <si>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</si>
  <si>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</si>
  <si>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</si>
  <si>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</si>
  <si>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</si>
  <si>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</si>
  <si>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</si>
  <si>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</si>
  <si>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</si>
  <si>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</si>
  <si>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</si>
  <si>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</si>
  <si>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</si>
  <si>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</si>
  <si>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</si>
  <si>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</si>
  <si>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</si>
  <si>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</si>
  <si>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</si>
  <si>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</si>
  <si>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</si>
  <si>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</si>
  <si>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</si>
  <si>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</si>
  <si>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</si>
  <si>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</si>
  <si>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</si>
  <si>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</si>
  <si>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</si>
  <si>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</si>
  <si>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</si>
  <si>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</si>
  <si>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</si>
  <si>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</si>
  <si>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</si>
  <si>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</si>
  <si>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</si>
  <si>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</si>
  <si>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</si>
  <si>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</si>
  <si>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</si>
  <si>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</si>
  <si>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</si>
  <si>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</si>
  <si>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</si>
  <si>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</si>
  <si>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</si>
  <si>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</si>
  <si>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</si>
  <si>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</si>
  <si>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</si>
  <si>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</si>
  <si>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</si>
  <si>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</si>
  <si>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</si>
  <si>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</si>
  <si>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</si>
  <si>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</si>
  <si>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</si>
  <si>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</si>
  <si>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</si>
  <si>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</si>
  <si>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</si>
  <si>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</si>
  <si>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</si>
  <si>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</si>
  <si>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</si>
  <si>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</si>
  <si>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</si>
  <si>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</si>
  <si>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</si>
  <si>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</si>
  <si>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</si>
  <si>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</si>
  <si>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</si>
  <si>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</si>
  <si>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</si>
  <si>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</si>
  <si>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</si>
  <si>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</si>
  <si>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</si>
  <si>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</si>
  <si>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</si>
  <si>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</si>
  <si>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</si>
  <si>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</si>
  <si>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</si>
  <si>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</si>
  <si>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</si>
  <si>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</si>
  <si>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</si>
  <si>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</si>
  <si>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</si>
  <si>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</si>
  <si>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</si>
  <si>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</si>
  <si>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</si>
  <si>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</si>
  <si>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</si>
  <si>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</si>
  <si>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</si>
  <si>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</si>
  <si>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</si>
  <si>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</si>
  <si>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</si>
  <si>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</si>
  <si>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</si>
  <si>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</si>
  <si>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</si>
  <si>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</si>
  <si>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</si>
  <si>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</si>
  <si>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</si>
  <si>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</si>
  <si>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</si>
  <si>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</si>
  <si>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</si>
  <si>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</si>
  <si>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</si>
  <si>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</si>
  <si>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</si>
  <si>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</si>
  <si>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</si>
  <si>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</si>
  <si>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</si>
  <si>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</si>
  <si>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</si>
  <si>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</si>
  <si>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</si>
  <si>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</si>
  <si>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</si>
  <si>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</si>
  <si>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</si>
  <si>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</si>
  <si>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</si>
  <si>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</si>
  <si>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</si>
  <si>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</si>
  <si>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</si>
  <si>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</si>
  <si>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</si>
  <si>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</si>
  <si>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</si>
  <si>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</si>
  <si>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</si>
  <si>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</si>
  <si>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</si>
  <si>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</si>
  <si>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</si>
  <si>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</si>
  <si>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</si>
  <si>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</si>
  <si>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</si>
  <si>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</si>
  <si>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</si>
  <si>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</si>
  <si>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</si>
  <si>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</si>
  <si>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</si>
  <si>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</si>
  <si>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</si>
  <si>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</si>
  <si>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</si>
  <si>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</si>
  <si>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</si>
  <si>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</si>
  <si>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</si>
  <si>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</si>
  <si>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</si>
  <si>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</si>
  <si>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</si>
  <si>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</si>
  <si>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</si>
  <si>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</si>
  <si>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</si>
  <si>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</si>
  <si>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</si>
  <si>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</si>
  <si>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</si>
  <si>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</si>
  <si>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</si>
  <si>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</si>
  <si>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</si>
  <si>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</si>
  <si>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</si>
  <si>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</si>
  <si>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</si>
  <si>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</si>
  <si>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</si>
  <si>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</si>
  <si>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</si>
  <si>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</si>
  <si>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</si>
  <si>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</si>
  <si>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</si>
  <si>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</si>
  <si>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</si>
  <si>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</si>
  <si>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</si>
  <si>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</si>
  <si>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</si>
  <si>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</si>
  <si>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</si>
  <si>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</si>
  <si>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</si>
  <si>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</si>
  <si>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</si>
  <si>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</si>
  <si>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</si>
  <si>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</si>
  <si>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</si>
  <si>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</si>
  <si>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</si>
  <si>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</si>
  <si>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</si>
  <si>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</si>
  <si>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</si>
  <si>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</si>
  <si>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</si>
  <si>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</si>
  <si>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</si>
  <si>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</si>
  <si>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</si>
  <si>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</si>
  <si>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</si>
  <si>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</si>
  <si>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</si>
  <si>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</si>
  <si>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</si>
  <si>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</si>
  <si>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</si>
  <si>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</si>
  <si>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</si>
  <si>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</si>
  <si>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</si>
  <si>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</si>
  <si>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</si>
  <si>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</si>
  <si>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</si>
  <si>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</si>
  <si>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</si>
  <si>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</si>
  <si>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</si>
  <si>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</si>
  <si>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</si>
  <si>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</si>
  <si>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</si>
  <si>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</si>
  <si>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</si>
  <si>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</si>
  <si>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</si>
  <si>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</si>
  <si>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</si>
  <si>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</si>
  <si>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</si>
  <si>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</si>
  <si>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</si>
  <si>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</si>
  <si>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</si>
  <si>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</si>
  <si>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</si>
  <si>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</si>
  <si>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</si>
  <si>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</si>
  <si>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</si>
  <si>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</si>
  <si>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</si>
  <si>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</si>
  <si>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</si>
  <si>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</si>
  <si>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</si>
  <si>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</si>
  <si>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</si>
  <si>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</si>
  <si>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</si>
  <si>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</si>
  <si>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</si>
  <si>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</si>
  <si>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</si>
  <si>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</si>
  <si>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</si>
  <si>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</si>
  <si>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</si>
  <si>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</si>
  <si>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</si>
  <si>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</si>
  <si>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</si>
  <si>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</si>
  <si>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</si>
  <si>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</si>
  <si>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</si>
  <si>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</si>
  <si>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</si>
  <si>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</si>
  <si>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</si>
  <si>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</si>
  <si>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</si>
  <si>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</si>
  <si>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</si>
  <si>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</si>
  <si>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</si>
  <si>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</si>
  <si>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</si>
  <si>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</si>
  <si>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</si>
  <si>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</si>
  <si>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</si>
  <si>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</si>
  <si>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</si>
  <si>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</si>
  <si>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</si>
  <si>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</si>
  <si>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</si>
  <si>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</si>
  <si>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</si>
  <si>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</si>
  <si>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</si>
  <si>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</si>
  <si>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</si>
  <si>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</si>
  <si>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</si>
  <si>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</si>
  <si>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</si>
  <si>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</si>
  <si>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</si>
  <si>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</si>
  <si>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</si>
  <si>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</si>
  <si>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</si>
  <si>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</si>
  <si>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</si>
  <si>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</si>
  <si>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</si>
  <si>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</si>
  <si>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</si>
  <si>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</si>
  <si>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</si>
  <si>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</si>
  <si>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</si>
  <si>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</si>
  <si>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</si>
  <si>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</si>
  <si>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</si>
  <si>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</si>
  <si>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</si>
  <si>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</si>
  <si>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</si>
  <si>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</si>
  <si>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</si>
  <si>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</si>
  <si>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</si>
  <si>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</si>
  <si>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</si>
  <si>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</si>
  <si>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</si>
  <si>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</si>
  <si>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</si>
  <si>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</si>
  <si>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</si>
  <si>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</si>
  <si>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</si>
  <si>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</si>
  <si>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</si>
  <si>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</si>
  <si>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</si>
  <si>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</si>
  <si>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</si>
  <si>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</si>
  <si>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</si>
  <si>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</si>
  <si>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</si>
  <si>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</si>
  <si>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</si>
  <si>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</si>
  <si>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</si>
  <si>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</si>
  <si>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</si>
  <si>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</si>
  <si>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</si>
  <si>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</si>
  <si>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</si>
  <si>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</si>
  <si>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</si>
  <si>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</si>
  <si>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</si>
  <si>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</si>
  <si>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</si>
  <si>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</si>
  <si>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</si>
  <si>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</si>
  <si>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</si>
  <si>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</si>
  <si>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</si>
  <si>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</si>
  <si>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</si>
  <si>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</si>
  <si>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</si>
  <si>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</si>
  <si>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</si>
  <si>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</si>
  <si>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</si>
  <si>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</si>
  <si>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</si>
  <si>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</si>
  <si>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</si>
  <si>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</si>
  <si>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</si>
  <si>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</si>
  <si>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</si>
  <si>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</si>
  <si>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</si>
  <si>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</si>
  <si>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</si>
  <si>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</si>
  <si>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</si>
  <si>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</si>
  <si>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</si>
  <si>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</si>
  <si>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</si>
  <si>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</si>
  <si>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</si>
  <si>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</si>
  <si>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</si>
  <si>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</si>
  <si>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</si>
  <si>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</si>
  <si>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</si>
  <si>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</si>
  <si>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</si>
  <si>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</si>
  <si>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</si>
  <si>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</si>
  <si>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</si>
  <si>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</si>
  <si>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</si>
  <si>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</si>
  <si>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</si>
  <si>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</si>
  <si>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</si>
  <si>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</si>
  <si>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</si>
  <si>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</si>
  <si>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</si>
  <si>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</si>
  <si>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</si>
  <si>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</si>
  <si>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</si>
  <si>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</si>
  <si>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</si>
  <si>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</si>
  <si>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</si>
  <si>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</si>
  <si>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</si>
  <si>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</si>
  <si>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</si>
  <si>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</si>
  <si>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</si>
  <si>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</si>
  <si>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</si>
  <si>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</si>
  <si>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</si>
  <si>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</si>
  <si>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</si>
  <si>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</si>
  <si>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</si>
  <si>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</si>
  <si>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</si>
  <si>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</si>
  <si>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</si>
  <si>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</si>
  <si>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</si>
  <si>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</si>
  <si>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</si>
  <si>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</si>
  <si>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</si>
  <si>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</si>
  <si>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</si>
  <si>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</si>
  <si>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</si>
  <si>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</si>
  <si>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</si>
  <si>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</si>
  <si>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</si>
  <si>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</si>
  <si>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</si>
  <si>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</si>
  <si>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</si>
  <si>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</si>
  <si>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</si>
  <si>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</si>
  <si>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</si>
  <si>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</si>
  <si>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</si>
  <si>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</si>
  <si>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</si>
  <si>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</si>
  <si>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</si>
  <si>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</si>
  <si>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</si>
  <si>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</si>
  <si>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</si>
  <si>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</si>
  <si>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</si>
  <si>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</si>
  <si>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</si>
  <si>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</si>
  <si>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</si>
  <si>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</si>
  <si>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</si>
  <si>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</si>
  <si>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</si>
  <si>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</si>
  <si>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</si>
  <si>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</si>
  <si>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</si>
  <si>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</si>
  <si>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</si>
  <si>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</si>
  <si>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</si>
  <si>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</si>
  <si>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</si>
  <si>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</si>
  <si>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</si>
  <si>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</si>
  <si>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</si>
  <si>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</si>
  <si>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</si>
  <si>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</si>
  <si>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</si>
  <si>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</si>
  <si>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</si>
  <si>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</si>
  <si>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</si>
  <si>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</si>
  <si>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</si>
  <si>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</si>
  <si>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</si>
  <si>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</si>
  <si>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</si>
  <si>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</si>
  <si>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</si>
  <si>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</si>
  <si>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</si>
  <si>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</si>
  <si>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</si>
  <si>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</si>
  <si>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</si>
  <si>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</si>
  <si>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</si>
  <si>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</si>
  <si>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</si>
  <si>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</si>
  <si>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</si>
  <si>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</si>
  <si>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</si>
  <si>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</si>
  <si>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</si>
  <si>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</si>
  <si>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</si>
  <si>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</si>
  <si>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</si>
  <si>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</si>
  <si>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</si>
  <si>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</si>
  <si>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</si>
  <si>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</si>
  <si>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</si>
  <si>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</si>
  <si>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</si>
  <si>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</si>
  <si>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</si>
  <si>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</si>
  <si>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</si>
  <si>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</si>
  <si>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</si>
  <si>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</si>
  <si>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</si>
  <si>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</si>
  <si>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</si>
  <si>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</si>
  <si>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</si>
  <si>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</si>
  <si>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</si>
  <si>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</si>
  <si>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</si>
  <si>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</si>
  <si>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</si>
  <si>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</si>
  <si>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</si>
  <si>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</si>
  <si>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</si>
  <si>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</si>
  <si>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</si>
  <si>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</si>
  <si>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</si>
  <si>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</si>
  <si>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</si>
  <si>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</si>
  <si>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</si>
  <si>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</si>
  <si>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</si>
  <si>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</si>
  <si>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</si>
  <si>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</si>
  <si>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</si>
  <si>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</si>
  <si>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</si>
  <si>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</si>
  <si>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</si>
  <si>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</si>
  <si>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</si>
  <si>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</si>
  <si>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</si>
  <si>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</si>
  <si>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</si>
  <si>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</si>
  <si>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</si>
  <si>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</si>
  <si>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</si>
  <si>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</si>
  <si>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</si>
  <si>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</si>
  <si>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</si>
  <si>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</si>
  <si>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</si>
  <si>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</si>
  <si>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</si>
  <si>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</si>
  <si>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</si>
  <si>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</si>
  <si>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</si>
  <si>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</si>
  <si>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</si>
  <si>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</si>
  <si>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</si>
  <si>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</si>
  <si>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</si>
  <si>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</si>
  <si>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</si>
  <si>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</si>
  <si>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</si>
  <si>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</si>
  <si>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</si>
  <si>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</si>
  <si>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</si>
  <si>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</si>
  <si>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</si>
  <si>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</si>
  <si>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</si>
  <si>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</si>
  <si>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</si>
  <si>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</si>
  <si>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</si>
  <si>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</si>
  <si>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</si>
  <si>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</si>
  <si>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</si>
  <si>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</si>
  <si>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</si>
  <si>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</si>
  <si>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</si>
  <si>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</si>
  <si>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</si>
  <si>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</si>
  <si>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</si>
  <si>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</si>
  <si>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</si>
  <si>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</si>
  <si>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</si>
  <si>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</si>
  <si>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</si>
  <si>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</si>
  <si>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</si>
  <si>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</si>
  <si>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</si>
  <si>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</si>
  <si>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</si>
  <si>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</si>
  <si>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</si>
  <si>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</si>
  <si>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</si>
  <si>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</si>
  <si>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</si>
  <si>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</si>
  <si>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</si>
  <si>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</si>
  <si>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</si>
  <si>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</si>
  <si>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</si>
  <si>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</si>
  <si>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</si>
  <si>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</si>
  <si>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</si>
  <si>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</si>
  <si>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</si>
  <si>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</si>
  <si>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</si>
  <si>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</si>
  <si>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</si>
  <si>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</si>
  <si>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</si>
  <si>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</si>
  <si>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</si>
  <si>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</si>
  <si>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</si>
  <si>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</si>
  <si>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</si>
  <si>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</si>
  <si>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</si>
  <si>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</si>
  <si>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</si>
  <si>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</si>
  <si>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</si>
  <si>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</si>
  <si>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</si>
  <si>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</si>
  <si>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</si>
  <si>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</si>
  <si>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</si>
  <si>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</si>
  <si>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</si>
  <si>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</si>
  <si>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</si>
  <si>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</si>
  <si>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</si>
  <si>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</si>
  <si>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</si>
  <si>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</si>
  <si>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</si>
  <si>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</si>
  <si>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</si>
  <si>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</si>
  <si>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</si>
  <si>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</si>
  <si>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</si>
  <si>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</si>
  <si>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</si>
  <si>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</si>
  <si>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</si>
  <si>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</si>
  <si>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</si>
  <si>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</si>
  <si>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</si>
  <si>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</si>
  <si>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</si>
  <si>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</si>
  <si>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</si>
  <si>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</si>
  <si>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</si>
  <si>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</si>
  <si>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</si>
  <si>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</si>
  <si>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</si>
  <si>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</si>
  <si>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</si>
  <si>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</si>
  <si>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</si>
  <si>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</si>
  <si>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</si>
  <si>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</si>
  <si>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</si>
  <si>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</si>
  <si>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</si>
  <si>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</si>
  <si>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</si>
  <si>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</si>
  <si>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</si>
  <si>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</si>
  <si>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</si>
  <si>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</si>
  <si>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</si>
  <si>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</si>
  <si>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</si>
  <si>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</si>
  <si>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</si>
  <si>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</si>
  <si>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</si>
  <si>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</si>
  <si>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</si>
  <si>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</si>
  <si>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</si>
  <si>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</si>
  <si>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</si>
  <si>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</si>
  <si>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</si>
  <si>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</si>
  <si>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</si>
  <si>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</si>
  <si>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</si>
  <si>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</si>
  <si>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</si>
  <si>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</si>
  <si>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</si>
  <si>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</si>
  <si>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</si>
  <si>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</si>
  <si>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</si>
  <si>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</si>
  <si>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</si>
  <si>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</si>
  <si>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</si>
  <si>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</si>
  <si>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</si>
  <si>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</si>
  <si>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</si>
  <si>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</si>
  <si>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</si>
  <si>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</si>
  <si>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</si>
  <si>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</si>
  <si>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</si>
  <si>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</si>
  <si>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</si>
  <si>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</si>
  <si>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</si>
  <si>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</si>
  <si>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</si>
  <si>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</si>
  <si>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</si>
  <si>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</si>
  <si>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</si>
  <si>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</si>
  <si>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</si>
  <si>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</si>
  <si>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</si>
  <si>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</si>
  <si>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</si>
  <si>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</si>
  <si>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</si>
  <si>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</si>
  <si>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</si>
  <si>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</si>
  <si>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</si>
  <si>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</si>
  <si>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</si>
  <si>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</si>
  <si>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</si>
  <si>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</si>
  <si>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</si>
  <si>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</si>
  <si>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</si>
  <si>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</si>
  <si>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</si>
  <si>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</si>
  <si>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</si>
  <si>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</si>
  <si>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</si>
  <si>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</si>
  <si>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</si>
  <si>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</si>
  <si>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</si>
  <si>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</si>
  <si>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</si>
  <si>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</si>
  <si>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</si>
  <si>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</si>
  <si>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</si>
  <si>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</si>
  <si>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</si>
  <si>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</si>
  <si>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</si>
  <si>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</si>
  <si>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</si>
  <si>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</si>
  <si>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</si>
  <si>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</si>
  <si>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</si>
  <si>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</si>
  <si>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</si>
  <si>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</si>
  <si>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</si>
  <si>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</si>
  <si>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</si>
  <si>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</si>
  <si>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</si>
  <si>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</si>
  <si>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</si>
  <si>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</si>
  <si>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</si>
  <si>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</si>
  <si>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</si>
  <si>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</si>
  <si>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</si>
  <si>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</si>
  <si>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</si>
  <si>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</si>
  <si>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</si>
  <si>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</si>
  <si>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</si>
  <si>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</si>
  <si>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</si>
  <si>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</si>
  <si>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</si>
  <si>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</si>
  <si>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</si>
  <si>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</si>
  <si>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</si>
  <si>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</si>
  <si>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</si>
  <si>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</si>
  <si>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</si>
  <si>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</si>
  <si>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</si>
  <si>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</si>
  <si>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</si>
  <si>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</si>
  <si>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</si>
  <si>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</si>
  <si>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</si>
  <si>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</si>
  <si>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</si>
  <si>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</si>
  <si>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</si>
  <si>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</si>
  <si>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</si>
  <si>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</si>
  <si>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</si>
  <si>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</si>
  <si>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</si>
  <si>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</si>
  <si>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</si>
  <si>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</si>
  <si>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</si>
  <si>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</si>
  <si>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</si>
  <si>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</si>
  <si>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</si>
  <si>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</si>
  <si>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</si>
  <si>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</si>
  <si>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</si>
  <si>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</si>
  <si>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</si>
  <si>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</si>
  <si>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</si>
  <si>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</si>
  <si>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</si>
  <si>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</si>
  <si>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</si>
  <si>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</si>
  <si>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</si>
  <si>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</si>
  <si>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</si>
  <si>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</si>
  <si>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</si>
  <si>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</si>
  <si>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</si>
  <si>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</si>
  <si>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</si>
  <si>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</si>
  <si>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</si>
  <si>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</si>
  <si>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</si>
  <si>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</si>
  <si>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</si>
  <si>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</si>
  <si>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</si>
  <si>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</si>
  <si>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</si>
  <si>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</si>
  <si>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</si>
  <si>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</si>
  <si>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</si>
  <si>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</si>
  <si>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</si>
  <si>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</si>
  <si>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</si>
  <si>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</si>
  <si>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</si>
  <si>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</si>
  <si>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</si>
  <si>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</si>
  <si>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</si>
  <si>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</si>
  <si>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</si>
  <si>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</si>
  <si>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</si>
  <si>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</si>
  <si>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</si>
  <si>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</si>
  <si>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</si>
  <si>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</si>
  <si>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</si>
  <si>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</si>
  <si>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</si>
  <si>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</si>
  <si>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</si>
  <si>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</si>
  <si>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</si>
  <si>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</si>
  <si>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</si>
  <si>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</si>
  <si>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</si>
  <si>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</si>
  <si>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</si>
  <si>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</si>
  <si>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</si>
  <si>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</si>
  <si>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</si>
  <si>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</si>
  <si>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</si>
  <si>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</si>
  <si>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</si>
  <si>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</si>
  <si>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</si>
  <si>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</si>
  <si>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</si>
  <si>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</si>
  <si>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</si>
  <si>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</si>
  <si>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</si>
  <si>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</si>
  <si>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</si>
  <si>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</si>
  <si>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</si>
  <si>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</si>
  <si>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</si>
  <si>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</si>
  <si>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</si>
  <si>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</si>
  <si>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</si>
  <si>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</si>
  <si>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</si>
  <si>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</si>
  <si>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</si>
  <si>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</si>
  <si>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</si>
  <si>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</si>
  <si>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</si>
  <si>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</si>
  <si>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</si>
  <si>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</si>
  <si>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</si>
  <si>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</si>
  <si>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</si>
  <si>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</si>
  <si>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</si>
  <si>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</si>
  <si>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</si>
  <si>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</si>
  <si>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</si>
  <si>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</si>
  <si>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</si>
  <si>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</si>
  <si>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</si>
  <si>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</si>
  <si>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</si>
  <si>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</si>
  <si>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</si>
  <si>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</si>
  <si>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</si>
  <si>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</si>
  <si>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</si>
  <si>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</si>
  <si>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</si>
  <si>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</si>
  <si>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</si>
  <si>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</si>
  <si>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</si>
  <si>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</si>
  <si>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</si>
  <si>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</si>
  <si>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</si>
  <si>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</si>
  <si>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</si>
  <si>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</si>
  <si>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</si>
  <si>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</si>
  <si>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</si>
  <si>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</si>
  <si>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</si>
  <si>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</si>
  <si>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</si>
  <si>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</si>
  <si>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</si>
  <si>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</si>
  <si>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</si>
  <si>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</si>
  <si>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</si>
  <si>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</si>
  <si>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</si>
  <si>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</si>
  <si>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</si>
  <si>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</si>
  <si>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</si>
  <si>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</si>
  <si>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</si>
  <si>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</si>
  <si>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</si>
  <si>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</si>
  <si>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</si>
  <si>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</si>
  <si>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</si>
  <si>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</si>
  <si>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</si>
  <si>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</si>
  <si>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</si>
  <si>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</si>
  <si>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</si>
  <si>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</si>
  <si>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</si>
  <si>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</si>
  <si>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</si>
  <si>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</si>
  <si>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</si>
  <si>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</si>
  <si>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</si>
  <si>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</si>
  <si>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</si>
  <si>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</si>
  <si>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</si>
  <si>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</si>
  <si>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</si>
  <si>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</si>
  <si>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</si>
  <si>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</si>
  <si>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</si>
  <si>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</si>
  <si>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</si>
  <si>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</si>
  <si>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</si>
  <si>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</si>
  <si>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</si>
  <si>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</si>
  <si>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</si>
  <si>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</si>
  <si>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</si>
  <si>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</si>
  <si>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</si>
  <si>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</si>
  <si>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</si>
  <si>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</si>
  <si>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</si>
  <si>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</si>
  <si>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</si>
  <si>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</si>
  <si>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</si>
  <si>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</si>
  <si>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</si>
  <si>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</si>
  <si>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</si>
  <si>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</si>
  <si>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</si>
  <si>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</si>
  <si>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</si>
  <si>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</si>
  <si>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</si>
  <si>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</si>
  <si>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</si>
  <si>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</si>
  <si>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</si>
  <si>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</si>
  <si>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</si>
  <si>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</si>
  <si>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</si>
  <si>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</si>
  <si>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</si>
  <si>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</si>
  <si>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</si>
  <si>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</si>
  <si>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</si>
  <si>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</si>
  <si>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</si>
  <si>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</si>
  <si>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</si>
  <si>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</si>
  <si>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</si>
  <si>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</si>
  <si>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</si>
  <si>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</si>
  <si>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</si>
  <si>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</si>
  <si>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</si>
  <si>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</si>
  <si>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</si>
  <si>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</si>
  <si>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</si>
  <si>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</si>
  <si>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</si>
  <si>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</si>
  <si>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</si>
  <si>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</si>
  <si>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</si>
  <si>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</si>
  <si>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</si>
  <si>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</si>
  <si>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</si>
  <si>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</si>
  <si>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</si>
  <si>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</si>
  <si>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</si>
  <si>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</si>
  <si>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</si>
  <si>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</si>
  <si>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</si>
  <si>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</si>
  <si>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</si>
  <si>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</si>
  <si>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</si>
  <si>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</si>
  <si>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</si>
  <si>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</si>
  <si>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</si>
  <si>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</si>
  <si>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</si>
  <si>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</si>
  <si>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</si>
  <si>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</si>
  <si>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</si>
  <si>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</si>
  <si>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</si>
  <si>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</si>
  <si>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</si>
  <si>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</si>
  <si>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</si>
  <si>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</si>
  <si>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</si>
  <si>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</si>
  <si>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</si>
  <si>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</si>
  <si>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</si>
  <si>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</si>
  <si>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</si>
  <si>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</si>
  <si>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</si>
  <si>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</si>
  <si>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</si>
  <si>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</si>
  <si>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</si>
  <si>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</si>
  <si>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</si>
  <si>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</si>
  <si>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</si>
  <si>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</si>
  <si>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</si>
  <si>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</si>
  <si>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</si>
  <si>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</si>
  <si>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</si>
  <si>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</si>
  <si>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</si>
  <si>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</si>
  <si>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</si>
  <si>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</si>
  <si>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</si>
  <si>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</si>
  <si>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</si>
  <si>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</si>
  <si>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</si>
  <si>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</si>
  <si>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</si>
  <si>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</si>
  <si>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</si>
  <si>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</si>
  <si>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</si>
  <si>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</si>
  <si>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</si>
  <si>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</si>
  <si>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</si>
  <si>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</si>
  <si>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</si>
  <si>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</si>
  <si>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</si>
  <si>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</si>
  <si>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</si>
  <si>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</si>
  <si>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</si>
  <si>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</si>
  <si>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</si>
  <si>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</si>
  <si>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</si>
  <si>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</si>
  <si>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</si>
  <si>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</si>
  <si>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</si>
  <si>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</si>
  <si>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</si>
  <si>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</si>
  <si>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</si>
  <si>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</si>
  <si>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</si>
  <si>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</si>
  <si>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</si>
  <si>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</si>
  <si>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</si>
  <si>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</si>
  <si>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</si>
  <si>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</si>
  <si>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</si>
  <si>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</si>
  <si>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</si>
  <si>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</si>
  <si>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</si>
  <si>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</si>
  <si>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</si>
  <si>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</si>
  <si>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</si>
  <si>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</si>
  <si>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</si>
  <si>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</si>
  <si>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</si>
  <si>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</si>
  <si>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</si>
  <si>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</si>
  <si>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</si>
  <si>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</si>
  <si>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</si>
  <si>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</si>
  <si>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</si>
  <si>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</si>
  <si>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</si>
  <si>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</si>
  <si>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</si>
  <si>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</si>
  <si>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</si>
  <si>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</si>
  <si>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</si>
  <si>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</si>
  <si>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</si>
  <si>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</si>
  <si>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</si>
  <si>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</si>
  <si>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</si>
  <si>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</si>
  <si>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</si>
  <si>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</si>
  <si>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</si>
  <si>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</si>
  <si>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</si>
  <si>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</si>
  <si>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</si>
  <si>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</si>
  <si>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</si>
  <si>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</si>
  <si>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</si>
  <si>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</si>
  <si>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</si>
  <si>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</si>
  <si>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</si>
  <si>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</si>
  <si>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</si>
  <si>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</si>
  <si>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</si>
  <si>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</si>
  <si>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</si>
  <si>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</si>
  <si>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</si>
  <si>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</si>
  <si>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</si>
  <si>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</si>
  <si>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</si>
  <si>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</si>
  <si>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</si>
  <si>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</si>
  <si>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</si>
  <si>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</si>
  <si>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</si>
  <si>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</si>
  <si>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</si>
  <si>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</si>
  <si>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</si>
  <si>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</si>
  <si>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</si>
  <si>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</si>
  <si>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</si>
  <si>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</si>
  <si>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</si>
  <si>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</si>
  <si>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</si>
  <si>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</si>
  <si>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</si>
  <si>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</si>
  <si>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</si>
  <si>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</si>
  <si>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</si>
  <si>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</si>
  <si>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</si>
  <si>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</si>
  <si>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</si>
  <si>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</si>
  <si>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</si>
  <si>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</si>
  <si>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</si>
  <si>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</si>
  <si>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</si>
  <si>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</si>
  <si>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</si>
  <si>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</si>
  <si>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</si>
  <si>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</si>
  <si>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</si>
  <si>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</si>
  <si>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</si>
  <si>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</si>
  <si>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</si>
  <si>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</si>
  <si>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</si>
  <si>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</si>
  <si>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</si>
  <si>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</si>
  <si>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</si>
  <si>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</si>
  <si>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</si>
  <si>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</si>
  <si>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</si>
  <si>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</si>
  <si>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</si>
  <si>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</si>
  <si>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</si>
  <si>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</si>
  <si>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</si>
  <si>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</si>
  <si>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</si>
  <si>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</si>
  <si>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</si>
  <si>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</si>
  <si>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</si>
  <si>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</si>
  <si>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</si>
  <si>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</si>
  <si>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</si>
  <si>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</si>
  <si>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</si>
  <si>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</si>
  <si>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</si>
  <si>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</si>
  <si>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</si>
  <si>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</si>
  <si>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</si>
  <si>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</si>
  <si>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</si>
  <si>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</si>
  <si>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</si>
  <si>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</si>
  <si>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</si>
  <si>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</si>
  <si>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</si>
  <si>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</si>
  <si>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</si>
  <si>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</si>
  <si>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</si>
  <si>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</si>
  <si>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</si>
  <si>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</si>
  <si>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</si>
  <si>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</si>
  <si>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</si>
  <si>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</si>
  <si>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</si>
  <si>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</si>
  <si>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</si>
  <si>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</si>
  <si>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</si>
  <si>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</si>
  <si>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</si>
  <si>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</si>
  <si>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</si>
  <si>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</si>
  <si>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</si>
  <si>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</si>
  <si>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</si>
  <si>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</si>
  <si>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</si>
  <si>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</si>
  <si>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</si>
  <si>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</si>
  <si>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</si>
  <si>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</si>
  <si>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</si>
  <si>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</si>
  <si>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</si>
  <si>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</si>
  <si>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</si>
  <si>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</si>
  <si>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</si>
  <si>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</si>
  <si>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</si>
  <si>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</si>
  <si>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</si>
  <si>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</si>
  <si>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</si>
  <si>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公寓</t>
  </si>
  <si>
    <t>地上</t>
  </si>
  <si>
    <t>平层住宅</t>
  </si>
  <si>
    <t>土地（套用方法）</t>
  </si>
  <si>
    <t>自定义</t>
  </si>
  <si>
    <t>钢混</t>
  </si>
  <si>
    <t>按租金收入计税</t>
  </si>
  <si>
    <t>楼面地价</t>
  </si>
  <si>
    <t>比较法-住宅、综合</t>
  </si>
  <si>
    <t>剩余法-待开发</t>
  </si>
  <si>
    <t>公寓</t>
    <phoneticPr fontId="3" type="noConversion"/>
  </si>
  <si>
    <t>尚德大道东侧、滦河路北侧</t>
    <phoneticPr fontId="3" type="noConversion"/>
  </si>
  <si>
    <t>商业</t>
    <phoneticPr fontId="26" type="noConversion"/>
  </si>
  <si>
    <t>一般</t>
  </si>
  <si>
    <t>较好</t>
  </si>
  <si>
    <t>七通</t>
  </si>
  <si>
    <t>多面临街</t>
  </si>
  <si>
    <t>较规则</t>
  </si>
  <si>
    <t>五通</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</si>
  <si>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</si>
  <si>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</si>
  <si>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</si>
  <si>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</si>
  <si>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</si>
  <si>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</si>
  <si>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</si>
  <si>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</si>
  <si>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</si>
  <si>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</si>
  <si>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</si>
  <si>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</si>
  <si>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</si>
  <si>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李哥庄镇龙翔大街南侧、东三路东侧</t>
  </si>
  <si>
    <t>青岛市</t>
  </si>
  <si>
    <t>商业/办公用地</t>
  </si>
  <si>
    <t>≤4.0</t>
  </si>
  <si>
    <t>拍卖</t>
  </si>
  <si>
    <t>2020-03-26</t>
  </si>
  <si>
    <t>青岛胶州胶东和平投资发展有限公司</t>
  </si>
  <si>
    <t>3星</t>
  </si>
  <si>
    <t>＞1且≤4.0</t>
  </si>
  <si>
    <t>2019-12-12</t>
  </si>
  <si>
    <t>青岛传化盛世资产管理有限公司</t>
  </si>
  <si>
    <t>交大大道西侧、淮河路南侧</t>
  </si>
  <si>
    <t>2019-11-28</t>
  </si>
  <si>
    <t>青岛同创新业投资发展有限公司</t>
  </si>
  <si>
    <t>2星</t>
  </si>
  <si>
    <t>站前大道东侧、产业大道南侧</t>
  </si>
  <si>
    <t>≤1.6</t>
  </si>
  <si>
    <t>青岛临空开发投资有限公司</t>
  </si>
  <si>
    <t>≤3.5</t>
  </si>
  <si>
    <t>胶州路北侧、漳州路西侧</t>
  </si>
  <si>
    <t>≤1.5</t>
  </si>
  <si>
    <t>2019-08-29</t>
  </si>
  <si>
    <t>青岛金泰亿源置业有限公司</t>
  </si>
  <si>
    <t>4星</t>
  </si>
  <si>
    <t>胶州北火车站站房南侧、站前五路北侧(地下空间)</t>
  </si>
  <si>
    <t>≤1</t>
  </si>
  <si>
    <t>2019-06-27</t>
  </si>
  <si>
    <t>青岛胶州城市发展投资有限公司</t>
  </si>
  <si>
    <t>综保四路东侧、综保三路北侧</t>
  </si>
  <si>
    <t>≤2</t>
  </si>
  <si>
    <t>青岛市胶州新城建设发展有限公司</t>
  </si>
  <si>
    <t>王花路南侧、站前纵一路东侧</t>
  </si>
  <si>
    <t>≤1.2</t>
  </si>
  <si>
    <t>青岛临空建设发展有限公司</t>
  </si>
  <si>
    <t>富民路东侧、规划四路北侧</t>
  </si>
  <si>
    <t>≤1.8</t>
  </si>
  <si>
    <t>2019-03-01</t>
  </si>
  <si>
    <t>青岛莱丰置业有限公司</t>
  </si>
  <si>
    <t>富民路东侧、规划四路南侧</t>
  </si>
  <si>
    <t>胶州市204国道北侧、李孟路东侧</t>
  </si>
  <si>
    <t>≤2.5</t>
  </si>
  <si>
    <t>2018-12-25</t>
  </si>
  <si>
    <t>青岛联谊森源进出口有限公司</t>
  </si>
  <si>
    <t>站前大道西侧、规划二路南侧</t>
  </si>
  <si>
    <t>≤2.0</t>
  </si>
  <si>
    <t>胶州市经济技术开发区交大大道西侧、长江一路北侧</t>
  </si>
  <si>
    <t>青岛泰邦达酒店开发有限公司,青岛尚合韵投资有限公司</t>
  </si>
  <si>
    <t>胶州市柳州路西侧、汽车西站北侧</t>
  </si>
  <si>
    <t>≤0.5</t>
  </si>
  <si>
    <t>交运集团公司青岛胶州加油站</t>
  </si>
  <si>
    <t>胶州市兰州路南侧、规划路东侧</t>
  </si>
  <si>
    <t>≤1.4</t>
  </si>
  <si>
    <t>青岛益合达置业有限公司</t>
  </si>
  <si>
    <t>胶州市滦河路北侧、规划街坊路西侧</t>
  </si>
  <si>
    <t>＞1且≤4</t>
  </si>
  <si>
    <t>2018-10-11</t>
  </si>
  <si>
    <t>青岛传化投资有限公司</t>
  </si>
  <si>
    <t>胶州市交大大道西侧、滦河路北侧</t>
  </si>
  <si>
    <t>＜0.4</t>
  </si>
  <si>
    <t>胶州市滦河路北侧、物流大道西侧</t>
  </si>
  <si>
    <t>胶州市站前大道东侧、正阳路西侧</t>
  </si>
  <si>
    <t>青岛南信城投管理咨询有限公司,腾睿地产投资I有限公司(PAAMRealEstateInvestmentIPteLtd)</t>
  </si>
  <si>
    <t>胶州经济技术开发区创新大道东侧、长江一路北侧</t>
  </si>
  <si>
    <t>2018-08-22</t>
  </si>
  <si>
    <t>青岛胶州湾科睿置业有限公司</t>
  </si>
  <si>
    <t>胶州市王花路南侧、站前大道西侧</t>
  </si>
  <si>
    <t>2018-08-17</t>
  </si>
  <si>
    <t>胶州市南外环路南侧、规划温州路西侧</t>
  </si>
  <si>
    <t>青岛中油能源有限公司</t>
  </si>
  <si>
    <t>胶州市澳门路以南、规划河道以西以北</t>
  </si>
  <si>
    <t>≤2.3</t>
  </si>
  <si>
    <t>2018-02-12</t>
  </si>
  <si>
    <t>青岛锦昊嘉辉置业有限公司</t>
  </si>
  <si>
    <t>胶州市香港路以北、海尔大道以西</t>
  </si>
  <si>
    <t>胶州市兰州路南侧、规划二号路东侧</t>
  </si>
  <si>
    <t>＞1且≤1.8</t>
  </si>
  <si>
    <t>2017-12-29</t>
  </si>
  <si>
    <t>青岛银盛泰房地产有限公司</t>
  </si>
  <si>
    <t>胶州市兰州路南侧、胶泰路西侧</t>
  </si>
  <si>
    <t>＞1且≤2</t>
  </si>
  <si>
    <t>＞1且≤3.5</t>
  </si>
  <si>
    <t>2017-12-26</t>
  </si>
  <si>
    <t>青岛澄韵文化旅游发展有限公司</t>
  </si>
  <si>
    <t>胶州市创新大道西侧、长江路南侧</t>
  </si>
  <si>
    <t>2017-11-30</t>
  </si>
  <si>
    <t>青岛胶州湾发展有限公司</t>
  </si>
  <si>
    <t>胶州市长江路南侧、规划路西侧</t>
  </si>
  <si>
    <t>胶州市交大大道东侧、长江路南侧</t>
  </si>
  <si>
    <t>胶州市尚德大道东侧、长江路南侧</t>
  </si>
  <si>
    <t>胶州市长江路南侧、博爱街东侧</t>
  </si>
  <si>
    <t>胶州市长江路南侧、博爱街西侧</t>
  </si>
  <si>
    <t>铺集镇朱诸路南侧、澄月湖北侧</t>
  </si>
  <si>
    <t>2016-11-11</t>
  </si>
  <si>
    <t>胶黄铁路西侧、北京路北侧</t>
  </si>
  <si>
    <t>2016-10-26</t>
  </si>
  <si>
    <t>青岛东方新业房地产开发有限公司</t>
  </si>
  <si>
    <t>交大大道西侧、长江一路南侧</t>
  </si>
  <si>
    <t>小于2.8</t>
  </si>
  <si>
    <t>2016-05-20</t>
  </si>
  <si>
    <t>中启控股集团股份有限公司</t>
  </si>
  <si>
    <t>交大大道西侧、长江路北侧</t>
  </si>
  <si>
    <t>2016-04-06</t>
  </si>
  <si>
    <t>胶州路北侧、二里河西侧</t>
  </si>
  <si>
    <t>小于1.05</t>
  </si>
  <si>
    <t>2015-11-20</t>
  </si>
  <si>
    <t>青岛浩嘉置业有限公司</t>
  </si>
  <si>
    <t>北京路南侧、厦门路东侧</t>
  </si>
  <si>
    <t>大于1并且小于或等于3</t>
  </si>
  <si>
    <t>挂牌</t>
  </si>
  <si>
    <t>2015-11-10</t>
  </si>
  <si>
    <t>青岛金胶州资产经营有限公司</t>
  </si>
  <si>
    <t>扬州路北侧、厦门路东侧</t>
  </si>
  <si>
    <t>2015-10-23</t>
  </si>
  <si>
    <t>胶州市长兴实业总公司</t>
  </si>
  <si>
    <t>北京路南侧、规划路西侧</t>
  </si>
  <si>
    <t>大于1并且小于或等于2.5</t>
  </si>
  <si>
    <t>2015-10-13</t>
  </si>
  <si>
    <t>洋河镇诸黄公路北侧、山大路西侧</t>
  </si>
  <si>
    <t>大于1并且小于或等于2</t>
  </si>
  <si>
    <t>2015-01-30</t>
  </si>
  <si>
    <t>青岛洋青房地产开发有限公司</t>
  </si>
  <si>
    <t>1星</t>
  </si>
  <si>
    <t>香港路南侧、宁波路东侧</t>
  </si>
  <si>
    <t>大于1并且小于或等于3.5</t>
  </si>
  <si>
    <t>青岛新嘉房地产开发有限公司</t>
  </si>
  <si>
    <t>香港路北侧、株洲路西侧</t>
  </si>
  <si>
    <t>大于1并且小于或等于4</t>
  </si>
  <si>
    <t>2015-01-16</t>
  </si>
  <si>
    <t>青岛农村商业银行股份有限公司胶州支行</t>
  </si>
  <si>
    <t>李哥庄镇贾疃村路西侧、大沽河东侧</t>
  </si>
  <si>
    <t>小于0.8</t>
  </si>
  <si>
    <t>北外环路南侧、西外环路西侧</t>
  </si>
  <si>
    <t>2015-01-09</t>
  </si>
  <si>
    <t>青岛明泉橡塑制品有限公司</t>
  </si>
  <si>
    <t>鄱阳湖路北侧、运河一路西侧</t>
  </si>
  <si>
    <t>＜0.8</t>
  </si>
  <si>
    <t>青岛恒洲置业有限公司</t>
  </si>
  <si>
    <t>胶州市滦河路北侧、规划街坊路西侧</t>
    <phoneticPr fontId="3" type="noConversion"/>
  </si>
  <si>
    <t>扬州支路东侧、温州路北侧</t>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</si>
  <si>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公寓</t>
    </r>
    <phoneticPr fontId="14" type="noConversion"/>
  </si>
  <si>
    <t>不动产收益法-公寓</t>
  </si>
  <si>
    <t>上合U领寓</t>
    <phoneticPr fontId="3" type="noConversion"/>
  </si>
  <si>
    <t>协信航空科技城</t>
    <phoneticPr fontId="3" type="noConversion"/>
  </si>
  <si>
    <t>中南星汇城</t>
    <phoneticPr fontId="228" type="noConversion"/>
  </si>
  <si>
    <t>正常</t>
  </si>
  <si>
    <t>30-40（含）</t>
  </si>
  <si>
    <t>高档</t>
  </si>
  <si>
    <t>精装修</t>
  </si>
  <si>
    <t>专业</t>
  </si>
  <si>
    <t>loft</t>
  </si>
  <si>
    <t>毛坯</t>
  </si>
  <si>
    <t>平层</t>
  </si>
  <si>
    <t>20-30（含）</t>
  </si>
  <si>
    <t>公寓</t>
    <phoneticPr fontId="21" type="noConversion"/>
  </si>
  <si>
    <t>钢混</t>
    <phoneticPr fontId="3" type="noConversion"/>
  </si>
  <si>
    <t>公寓</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</si>
  <si>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</si>
  <si>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</si>
  <si>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</si>
  <si>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</si>
  <si>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</si>
  <si>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</si>
  <si>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</si>
  <si>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loft</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</si>
  <si>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</si>
  <si>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</si>
  <si>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</si>
  <si>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</si>
  <si>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</si>
  <si>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售价</t>
  </si>
  <si>
    <t>三通</t>
    <phoneticPr fontId="26"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</si>
  <si>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</si>
  <si>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</si>
  <si>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</si>
  <si>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</si>
  <si>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</si>
  <si>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尚德大道东侧、滦河路北侧</t>
    <phoneticPr fontId="228" type="noConversion"/>
  </si>
  <si>
    <t>交大大道西侧、淮河路南侧</t>
    <phoneticPr fontId="228" type="noConversion"/>
  </si>
  <si>
    <t>扬州支路东侧、温州路北侧</t>
    <phoneticPr fontId="228" type="noConversion"/>
  </si>
  <si>
    <t>省会市名称</t>
  </si>
  <si>
    <t>建筑型式</t>
  </si>
  <si>
    <t>多层</t>
  </si>
  <si>
    <t>小高层</t>
  </si>
  <si>
    <t>高层</t>
  </si>
  <si>
    <t>济南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</si>
</sst>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alignment wrapText="1"/>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0" borderId="0" xfId="16" applyFill="1"/>
    <xf numFmtId="0" fontId="0" fillId="0" borderId="0" xfId="0" applyFill="1">
      <alignment vertical="center"/>
    </xf>
    <xf numFmtId="0" fontId="71" fillId="0" borderId="2" xfId="0" applyFont="1" applyBorder="1" applyAlignment="1" applyProtection="1">
      <alignment horizontal="center" vertical="center"/>
      <protection locked="0"/>
    </xf>
    <xf numFmtId="0" fontId="144" fillId="2" borderId="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27" fillId="6" borderId="0" xfId="16" applyFont="1" applyFill="1"/>
    <xf numFmtId="0" fontId="134" fillId="0" borderId="154" xfId="17" applyFont="1" applyFill="1" applyBorder="1" applyAlignment="1" applyProtection="1">
      <alignment horizontal="center" vertical="top" wrapText="1"/>
      <protection locked="0"/>
    </xf>
    <xf numFmtId="0" fontId="134" fillId="0" borderId="156" xfId="17" applyFont="1" applyFill="1" applyBorder="1" applyAlignment="1" applyProtection="1">
      <alignment horizontal="center" vertical="top" wrapText="1"/>
      <protection locked="0"/>
    </xf>
    <xf numFmtId="0" fontId="134" fillId="0" borderId="155" xfId="17" applyFont="1" applyFill="1" applyBorder="1" applyAlignment="1" applyProtection="1">
      <alignment horizontal="center" vertical="top" wrapText="1"/>
      <protection locked="0"/>
    </xf>
    <xf numFmtId="0" fontId="82" fillId="0" borderId="155" xfId="17" applyFont="1" applyFill="1" applyBorder="1" applyAlignment="1" applyProtection="1">
      <alignment horizontal="center" vertical="top" wrapText="1"/>
      <protection locked="0"/>
    </xf>
    <xf numFmtId="0" fontId="82" fillId="0" borderId="155" xfId="17" applyNumberFormat="1" applyFont="1" applyFill="1" applyBorder="1" applyAlignment="1" applyProtection="1">
      <alignment horizontal="center" vertical="top"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7"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342900</xdr:colOff>
      <xdr:row>0</xdr:row>
      <xdr:rowOff>0</xdr:rowOff>
    </xdr:from>
    <xdr:to>
      <xdr:col>24</xdr:col>
      <xdr:colOff>38099</xdr:colOff>
      <xdr:row>30</xdr:row>
      <xdr:rowOff>99975</xdr:rowOff>
    </xdr:to>
    <xdr:pic>
      <xdr:nvPicPr>
        <xdr:cNvPr id="5" name="图片 4"/>
        <xdr:cNvPicPr>
          <a:picLocks noChangeAspect="1"/>
        </xdr:cNvPicPr>
      </xdr:nvPicPr>
      <xdr:blipFill>
        <a:blip xmlns:r="http://schemas.openxmlformats.org/officeDocument/2006/relationships" r:embed="rId1"/>
        <a:stretch>
          <a:fillRect/>
        </a:stretch>
      </xdr:blipFill>
      <xdr:spPr>
        <a:xfrm>
          <a:off x="10896600" y="0"/>
          <a:ext cx="6553200" cy="5814975"/>
        </a:xfrm>
        <a:prstGeom prst="rect">
          <a:avLst/>
        </a:prstGeom>
      </xdr:spPr>
    </xdr:pic>
    <xdr:clientData/>
  </xdr:twoCellAnchor>
  <xdr:twoCellAnchor editAs="oneCell">
    <xdr:from>
      <xdr:col>14</xdr:col>
      <xdr:colOff>294410</xdr:colOff>
      <xdr:row>30</xdr:row>
      <xdr:rowOff>138545</xdr:rowOff>
    </xdr:from>
    <xdr:to>
      <xdr:col>24</xdr:col>
      <xdr:colOff>103909</xdr:colOff>
      <xdr:row>63</xdr:row>
      <xdr:rowOff>41064</xdr:rowOff>
    </xdr:to>
    <xdr:pic>
      <xdr:nvPicPr>
        <xdr:cNvPr id="6" name="图片 5"/>
        <xdr:cNvPicPr>
          <a:picLocks noChangeAspect="1"/>
        </xdr:cNvPicPr>
      </xdr:nvPicPr>
      <xdr:blipFill>
        <a:blip xmlns:r="http://schemas.openxmlformats.org/officeDocument/2006/relationships" r:embed="rId2"/>
        <a:stretch>
          <a:fillRect/>
        </a:stretch>
      </xdr:blipFill>
      <xdr:spPr>
        <a:xfrm>
          <a:off x="10927774" y="5334000"/>
          <a:ext cx="6736772" cy="5617519"/>
        </a:xfrm>
        <a:prstGeom prst="rect">
          <a:avLst/>
        </a:prstGeom>
      </xdr:spPr>
    </xdr:pic>
    <xdr:clientData/>
  </xdr:twoCellAnchor>
  <xdr:twoCellAnchor editAs="oneCell">
    <xdr:from>
      <xdr:col>14</xdr:col>
      <xdr:colOff>277091</xdr:colOff>
      <xdr:row>64</xdr:row>
      <xdr:rowOff>0</xdr:rowOff>
    </xdr:from>
    <xdr:to>
      <xdr:col>23</xdr:col>
      <xdr:colOff>658090</xdr:colOff>
      <xdr:row>97</xdr:row>
      <xdr:rowOff>117902</xdr:rowOff>
    </xdr:to>
    <xdr:pic>
      <xdr:nvPicPr>
        <xdr:cNvPr id="7" name="图片 6"/>
        <xdr:cNvPicPr>
          <a:picLocks noChangeAspect="1"/>
        </xdr:cNvPicPr>
      </xdr:nvPicPr>
      <xdr:blipFill>
        <a:blip xmlns:r="http://schemas.openxmlformats.org/officeDocument/2006/relationships" r:embed="rId3"/>
        <a:stretch>
          <a:fillRect/>
        </a:stretch>
      </xdr:blipFill>
      <xdr:spPr>
        <a:xfrm>
          <a:off x="10910455" y="11083636"/>
          <a:ext cx="6615545" cy="5832902"/>
        </a:xfrm>
        <a:prstGeom prst="rect">
          <a:avLst/>
        </a:prstGeom>
      </xdr:spPr>
    </xdr:pic>
    <xdr:clientData/>
  </xdr:twoCellAnchor>
  <xdr:twoCellAnchor editAs="oneCell">
    <xdr:from>
      <xdr:col>0</xdr:col>
      <xdr:colOff>26894</xdr:colOff>
      <xdr:row>52</xdr:row>
      <xdr:rowOff>26894</xdr:rowOff>
    </xdr:from>
    <xdr:to>
      <xdr:col>12</xdr:col>
      <xdr:colOff>1302170</xdr:colOff>
      <xdr:row>93</xdr:row>
      <xdr:rowOff>85359</xdr:rowOff>
    </xdr:to>
    <xdr:pic>
      <xdr:nvPicPr>
        <xdr:cNvPr id="2" name="图片 1"/>
        <xdr:cNvPicPr>
          <a:picLocks noChangeAspect="1"/>
        </xdr:cNvPicPr>
      </xdr:nvPicPr>
      <xdr:blipFill>
        <a:blip xmlns:r="http://schemas.openxmlformats.org/officeDocument/2006/relationships" r:embed="rId4"/>
        <a:stretch>
          <a:fillRect/>
        </a:stretch>
      </xdr:blipFill>
      <xdr:spPr>
        <a:xfrm>
          <a:off x="26894" y="9350188"/>
          <a:ext cx="8590476" cy="7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7',24);"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山东省青岛市胶州市出让国有建设用地使用权抵押价格预评估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受贵公司委托，我公司对山东省青岛市胶州市出让国有建设用地使用权抵押价格进行了预评估。</v>
      </c>
      <c r="AM6" s="2855"/>
    </row>
    <row r="7" spans="1:55" s="2829" customFormat="1">
      <c r="A7" s="2830" t="s">
        <v>2654</v>
      </c>
      <c r="B7" s="2831"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111957.3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2020年5月21日（评估专业人员勘察现场之日）</v>
      </c>
    </row>
    <row r="11" spans="1:55" s="2829" customFormat="1">
      <c r="A11" s="2830" t="s">
        <v>2662</v>
      </c>
      <c r="B11" s="2831" t="str">
        <f>'预评函-1'!A14</f>
        <v>根据《国有土地使用证》[]，本次评估估价对象证载（地类）用途为。</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根据《国有土地使用证》[]，估价对象（分摊）出让国有建设用地使用权面积为53313平方米。根据《建设工程规划许可证》[]、《出让合同》[]，估价对象规划建筑面积为111957.3平方米。</v>
      </c>
    </row>
    <row r="16" spans="1:55" s="2829" customFormat="1">
      <c r="A16" s="2830" t="s">
        <v>2666</v>
      </c>
      <c r="B16" s="2831"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估价期日：2020年5月21日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f>'预评函-2'!E5</f>
        <v>0</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v>
      </c>
    </row>
    <row r="39" spans="1:2">
      <c r="A39" s="2830" t="s">
        <v>2716</v>
      </c>
      <c r="B39" s="2831" t="str">
        <f>'预评函-2'!L5</f>
        <v>红线外七通、宗地红线内场地</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53313</v>
      </c>
    </row>
    <row r="44" spans="1:2">
      <c r="A44" s="2830" t="s">
        <v>2737</v>
      </c>
      <c r="B44" s="2831" t="str">
        <f>'预评函-2'!O3</f>
        <v>规划建筑面积/㎡</v>
      </c>
    </row>
    <row r="45" spans="1:2">
      <c r="A45" s="2830" t="s">
        <v>2719</v>
      </c>
      <c r="B45" s="2831">
        <f>'预评函-2'!O5</f>
        <v>111957.3</v>
      </c>
    </row>
    <row r="46" spans="1:2">
      <c r="A46" s="2830" t="s">
        <v>2720</v>
      </c>
      <c r="B46" s="2831">
        <f ca="1">'预评函-2'!P5</f>
        <v>4157</v>
      </c>
    </row>
    <row r="47" spans="1:2">
      <c r="A47" s="2830" t="s">
        <v>2721</v>
      </c>
      <c r="B47" s="2831">
        <f ca="1">'预评函-2'!Q5</f>
        <v>1979</v>
      </c>
    </row>
    <row r="48" spans="1:2">
      <c r="A48" s="2830" t="s">
        <v>2722</v>
      </c>
      <c r="B48" s="2831">
        <f ca="1">'预评函-2'!R5</f>
        <v>22160</v>
      </c>
    </row>
    <row r="49" spans="1:2">
      <c r="A49" s="2830" t="s">
        <v>2738</v>
      </c>
      <c r="B49" s="2831" t="str">
        <f>'预评函-2'!A6</f>
        <v>抵押价格</v>
      </c>
    </row>
    <row r="50" spans="1:2">
      <c r="A50" s="2830" t="s">
        <v>2723</v>
      </c>
      <c r="B50" s="2831">
        <f ca="1">'预评函-2'!R6</f>
        <v>22160</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2.基础设施条件：估价对象实际开发程度为红线外七通、宗地红线内；本次评估设定开发程度为红线外七通、宗地红线内场地。</v>
      </c>
    </row>
    <row r="57" spans="1:2">
      <c r="A57" s="2830" t="s">
        <v>2677</v>
      </c>
      <c r="B57" s="2831" t="str">
        <f>'预评函-3'!A4</f>
        <v>3.估价规划限制条件：详见《建设工程规划许可证》[]、《出让合同》[]。</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234" t="str">
        <f>IF(B10="北京市","北京市",C10)&amp;F10&amp;B16&amp;"国有建设用地使用权"&amp;B9&amp;"预评估"</f>
        <v>山东省青岛市胶州市出让国有建设用地使用权抵押价格预评估</v>
      </c>
      <c r="C1" s="3235"/>
      <c r="D1" s="3235"/>
      <c r="E1" s="3235"/>
      <c r="F1" s="3235"/>
      <c r="G1" s="3235"/>
      <c r="H1" s="3235"/>
      <c r="I1" s="3236"/>
      <c r="J1" s="1675"/>
      <c r="K1" s="2416" t="str">
        <f>IF(B10="北京市","北京市",C10)&amp;F10&amp;B16&amp;"国有建设用地使用权"&amp;B9</f>
        <v>山东省青岛市胶州市出让国有建设用地使用权抵押价格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山东省青岛市胶州市出让国有建设用地使用权</v>
      </c>
      <c r="L2" s="1704"/>
      <c r="M2" s="1704"/>
      <c r="N2" s="1675"/>
      <c r="O2" s="1676"/>
      <c r="P2" s="1675"/>
      <c r="Q2" s="1675"/>
      <c r="R2" s="1675"/>
      <c r="S2" s="1675"/>
      <c r="T2" s="1675"/>
      <c r="U2" s="1675"/>
    </row>
    <row r="3" spans="1:21">
      <c r="A3" s="1642" t="s">
        <v>1937</v>
      </c>
      <c r="B3" s="1643">
        <v>43972</v>
      </c>
      <c r="C3" s="1644" t="s">
        <v>1993</v>
      </c>
      <c r="D3" s="1643">
        <v>43972</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2988</v>
      </c>
      <c r="C4" s="1827">
        <f ca="1">SUMIF(土地估价师,B4,估价师及机构信息!E3:E24)</f>
        <v>2002110030</v>
      </c>
      <c r="D4" s="1824" t="s">
        <v>2989</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2703</v>
      </c>
      <c r="B6" s="1770"/>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2980</v>
      </c>
      <c r="C8" s="1652"/>
      <c r="D8" s="3240" t="s">
        <v>1942</v>
      </c>
      <c r="E8" s="1825" t="s">
        <v>2990</v>
      </c>
      <c r="F8" s="1653"/>
      <c r="G8" s="1641"/>
      <c r="H8" s="1641"/>
      <c r="I8" s="1688"/>
      <c r="J8" s="1675"/>
      <c r="K8" s="1755"/>
      <c r="L8" s="1704"/>
      <c r="M8" s="1704"/>
      <c r="N8" s="1675"/>
      <c r="O8" s="1676"/>
      <c r="P8" s="1675"/>
      <c r="Q8" s="1675"/>
      <c r="R8" s="1675"/>
      <c r="S8" s="1675"/>
      <c r="T8" s="1675"/>
      <c r="U8" s="1675"/>
    </row>
    <row r="9" spans="1:21" ht="15" thickBot="1">
      <c r="A9" s="1654" t="s">
        <v>1941</v>
      </c>
      <c r="B9" s="1655" t="s">
        <v>2990</v>
      </c>
      <c r="C9" s="1656"/>
      <c r="D9" s="3241"/>
      <c r="E9" s="1655" t="s">
        <v>952</v>
      </c>
      <c r="F9" s="1728"/>
      <c r="G9" s="1723"/>
      <c r="H9" s="1723"/>
      <c r="I9" s="1724"/>
      <c r="J9" s="1675"/>
      <c r="K9" s="1755"/>
      <c r="L9" s="1704"/>
      <c r="M9" s="1704"/>
      <c r="N9" s="1675"/>
      <c r="O9" s="1676"/>
      <c r="P9" s="1675"/>
      <c r="Q9" s="1675"/>
      <c r="R9" s="1675"/>
      <c r="S9" s="1675"/>
      <c r="T9" s="1675"/>
      <c r="U9" s="1675"/>
    </row>
    <row r="10" spans="1:21" ht="15" thickTop="1">
      <c r="A10" s="1725" t="s">
        <v>1997</v>
      </c>
      <c r="B10" s="1700" t="s">
        <v>2991</v>
      </c>
      <c r="C10" s="1657" t="s">
        <v>2992</v>
      </c>
      <c r="D10" s="1648"/>
      <c r="E10" s="1658" t="s">
        <v>1944</v>
      </c>
      <c r="F10" s="1659" t="s">
        <v>2993</v>
      </c>
      <c r="G10" s="1726"/>
      <c r="H10" s="1727"/>
      <c r="I10" s="1648"/>
      <c r="J10" s="1675"/>
      <c r="K10" s="1755"/>
      <c r="L10" s="1704"/>
      <c r="M10" s="1704"/>
      <c r="N10" s="1675"/>
      <c r="O10" s="1676"/>
      <c r="P10" s="1675"/>
      <c r="Q10" s="1675"/>
      <c r="R10" s="1675"/>
      <c r="S10" s="1675"/>
      <c r="T10" s="1675"/>
      <c r="U10" s="1675"/>
    </row>
    <row r="11" spans="1:21">
      <c r="A11" s="1678" t="s">
        <v>1998</v>
      </c>
      <c r="B11" s="1679" t="s">
        <v>2994</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237"/>
      <c r="C12" s="3238"/>
      <c r="D12" s="3239"/>
      <c r="E12" s="1680" t="s">
        <v>2059</v>
      </c>
      <c r="F12" s="3255" t="s">
        <v>2886</v>
      </c>
      <c r="G12" s="3256"/>
      <c r="H12" s="3256"/>
      <c r="I12" s="3257"/>
      <c r="J12" s="1675"/>
      <c r="K12" s="1755"/>
      <c r="L12" s="1704"/>
      <c r="M12" s="1704"/>
      <c r="N12" s="1675"/>
      <c r="O12" s="1676"/>
      <c r="P12" s="1675"/>
      <c r="Q12" s="1675"/>
      <c r="R12" s="1675"/>
      <c r="S12" s="1675"/>
      <c r="T12" s="1675"/>
      <c r="U12" s="1675"/>
    </row>
    <row r="13" spans="1:21">
      <c r="A13" s="1668" t="s">
        <v>2057</v>
      </c>
      <c r="B13" s="3237"/>
      <c r="C13" s="3238"/>
      <c r="D13" s="3239"/>
      <c r="E13" s="1680" t="s">
        <v>2059</v>
      </c>
      <c r="F13" s="3255" t="s">
        <v>2887</v>
      </c>
      <c r="G13" s="3256"/>
      <c r="H13" s="3256"/>
      <c r="I13" s="3257"/>
      <c r="J13" s="1675"/>
      <c r="K13" s="1755"/>
      <c r="L13" s="1704"/>
      <c r="M13" s="1704"/>
      <c r="N13" s="1675"/>
      <c r="O13" s="1676"/>
      <c r="P13" s="1675"/>
      <c r="Q13" s="1675"/>
      <c r="R13" s="1675"/>
      <c r="S13" s="1675"/>
      <c r="T13" s="1675"/>
      <c r="U13" s="1675"/>
    </row>
    <row r="14" spans="1:21">
      <c r="A14" s="1642" t="s">
        <v>2060</v>
      </c>
      <c r="B14" s="1680"/>
      <c r="C14" s="1826" t="s">
        <v>2995</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2.75">
      <c r="A16" s="1661" t="s">
        <v>1945</v>
      </c>
      <c r="B16" s="1662" t="s">
        <v>2975</v>
      </c>
      <c r="C16" s="1680" t="s">
        <v>1946</v>
      </c>
      <c r="D16" s="2607" t="s">
        <v>1947</v>
      </c>
      <c r="E16" s="1703" t="s">
        <v>2996</v>
      </c>
      <c r="F16" s="1703"/>
      <c r="G16" s="1703" t="s">
        <v>35</v>
      </c>
      <c r="H16" s="1703"/>
      <c r="I16" s="1667" t="s">
        <v>1952</v>
      </c>
      <c r="J16" s="1675"/>
      <c r="K16" s="2417" t="str">
        <f>IF(D17="","",D16&amp;TEXT(D17,"yyyy年m月d日;;"))</f>
        <v>住宅2079年12月31日</v>
      </c>
      <c r="L16" s="1680" t="str">
        <f>IF(OR(K16="",M16=""),"","、")</f>
        <v>、</v>
      </c>
      <c r="M16" s="2417" t="str">
        <f>IF(E17="","",E16&amp;TEXT(E17,"yyyy年m月d日;;"))</f>
        <v>商业2049年12月31日</v>
      </c>
      <c r="N16" s="1680" t="str">
        <f>IF(OR(M16="",O16=""),"","、")</f>
        <v/>
      </c>
      <c r="O16" s="2417" t="str">
        <f>IF(F17="","",F16&amp;TEXT(F17,"yyyy年m月d日;;"))</f>
        <v/>
      </c>
      <c r="P16" s="1680" t="str">
        <f>IF(OR(O16="",Q16=""),"","、")</f>
        <v/>
      </c>
      <c r="Q16" s="2417" t="str">
        <f>IF(G17="","",G16&amp;TEXT(G17,"yyyy年m月d日;;"))</f>
        <v>地下车库2059年12月31日</v>
      </c>
      <c r="R16" s="1680" t="str">
        <f>IF(OR(Q16="",S16=""),"","、")</f>
        <v/>
      </c>
      <c r="S16" s="2417" t="str">
        <f>IF(H17="","",H16&amp;TEXT(H17,"yyyy年m月d日;;"))</f>
        <v/>
      </c>
      <c r="T16" s="1680" t="str">
        <f>IF(OR(S16="",U16=""),"","、")</f>
        <v/>
      </c>
      <c r="U16" s="2417" t="str">
        <f>IF(I17="","",I16&amp;TEXT(I17,"yyyy年m月d日;;"))</f>
        <v/>
      </c>
    </row>
    <row r="17" spans="1:21">
      <c r="A17" s="1744"/>
      <c r="B17" s="1663"/>
      <c r="C17" s="1664" t="s">
        <v>1953</v>
      </c>
      <c r="D17" s="1681">
        <v>65745</v>
      </c>
      <c r="E17" s="1681">
        <v>54788</v>
      </c>
      <c r="F17" s="1681"/>
      <c r="G17" s="1681">
        <v>58440</v>
      </c>
      <c r="H17" s="1681"/>
      <c r="I17" s="1681"/>
      <c r="J17" s="1675"/>
      <c r="K17" s="2416" t="str">
        <f>CONCATENATE(K16,L16,M16,N16,O16,P16,Q16,R16,S16,T16,,U16)</f>
        <v>住宅2079年12月31日、商业2049年12月31日地下车库2059年12月31日</v>
      </c>
      <c r="L17" s="1704"/>
      <c r="M17" s="1704"/>
      <c r="N17" s="1675"/>
      <c r="O17" s="1676"/>
      <c r="P17" s="1675"/>
      <c r="Q17" s="1675"/>
      <c r="R17" s="1675"/>
      <c r="S17" s="1675"/>
      <c r="T17" s="1675"/>
      <c r="U17" s="1675"/>
    </row>
    <row r="18" spans="1:21">
      <c r="A18" s="1744"/>
      <c r="B18" s="1663"/>
      <c r="C18" s="1664" t="s">
        <v>1954</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59.65</v>
      </c>
      <c r="E19" s="1666">
        <f>IF(B16="出让",IF(E17="","",ROUNDDOWN(MIN((E17-$D$3)/365,E18),2)),E18)</f>
        <v>29.63</v>
      </c>
      <c r="F19" s="1666" t="str">
        <f>IF(B16="出让",IF(F17="","",ROUNDDOWN(MIN((F17-$D$3)/365,F18),2)),F18)</f>
        <v/>
      </c>
      <c r="G19" s="1666">
        <f>IF(B16="出让",IF(G17="","",ROUNDDOWN(MIN((G17-$D$3)/365,G18),2)),G18)</f>
        <v>39.630000000000003</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52"/>
      <c r="E20" s="3253"/>
      <c r="F20" s="3253"/>
      <c r="G20" s="3253"/>
      <c r="H20" s="3253"/>
      <c r="I20" s="3254"/>
      <c r="J20" s="1675"/>
      <c r="K20" s="1755"/>
      <c r="L20" s="1704"/>
      <c r="M20" s="1704"/>
      <c r="N20" s="1675"/>
      <c r="O20" s="1676"/>
      <c r="P20" s="1675"/>
      <c r="Q20" s="1675"/>
      <c r="R20" s="1675"/>
      <c r="S20" s="1675"/>
      <c r="T20" s="1675"/>
      <c r="U20" s="1675"/>
    </row>
    <row r="21" spans="1:21">
      <c r="A21" s="1744" t="s">
        <v>1956</v>
      </c>
      <c r="B21" s="1745" t="s">
        <v>1957</v>
      </c>
      <c r="C21" s="1740">
        <f>'数据-汇总表'!E3</f>
        <v>111957.3</v>
      </c>
      <c r="D21" s="1741" t="s">
        <v>1958</v>
      </c>
      <c r="E21" s="3242" t="s">
        <v>1996</v>
      </c>
      <c r="F21" s="3243"/>
      <c r="G21" s="3243"/>
      <c r="H21" s="3243"/>
      <c r="I21" s="3244"/>
      <c r="J21" s="1675"/>
      <c r="K21" s="1755"/>
      <c r="L21" s="1704"/>
      <c r="M21" s="1704"/>
      <c r="N21" s="1675"/>
      <c r="O21" s="1676"/>
      <c r="P21" s="1675"/>
      <c r="Q21" s="1675"/>
      <c r="R21" s="1675"/>
      <c r="S21" s="1675"/>
      <c r="T21" s="1675"/>
      <c r="U21" s="1675"/>
    </row>
    <row r="22" spans="1:21">
      <c r="A22" s="3093" t="s">
        <v>952</v>
      </c>
      <c r="B22" s="1642" t="s">
        <v>1959</v>
      </c>
      <c r="C22" s="1667">
        <f>'数据-汇总表'!D3</f>
        <v>53313</v>
      </c>
      <c r="D22" s="1668" t="s">
        <v>1958</v>
      </c>
      <c r="E22" s="3242" t="s">
        <v>2888</v>
      </c>
      <c r="F22" s="3243"/>
      <c r="G22" s="3243"/>
      <c r="H22" s="3243"/>
      <c r="I22" s="3244"/>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45" t="s">
        <v>1964</v>
      </c>
      <c r="C24" s="3246"/>
      <c r="D24" s="3247" t="s">
        <v>1965</v>
      </c>
      <c r="E24" s="3248"/>
      <c r="F24" s="1689" t="s">
        <v>1966</v>
      </c>
      <c r="G24" s="1675"/>
      <c r="H24" s="1675"/>
      <c r="I24" s="1688"/>
      <c r="J24" s="1675"/>
      <c r="K24" s="3233"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1968</v>
      </c>
      <c r="D25" s="1691"/>
      <c r="E25" s="1692" t="s">
        <v>952</v>
      </c>
      <c r="F25" s="1693"/>
      <c r="G25" s="1675"/>
      <c r="H25" s="1675"/>
      <c r="I25" s="1688"/>
      <c r="J25" s="1675"/>
      <c r="K25" s="3233"/>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2324</v>
      </c>
      <c r="D26" s="1641"/>
      <c r="E26" s="1641"/>
      <c r="F26" s="1669"/>
      <c r="G26" s="1675"/>
      <c r="H26" s="1675"/>
      <c r="I26" s="1688"/>
      <c r="J26" s="1675"/>
      <c r="K26" s="3233"/>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60" t="s">
        <v>1999</v>
      </c>
      <c r="B31" s="1745" t="s">
        <v>2000</v>
      </c>
      <c r="C31" s="3258"/>
      <c r="D31" s="3259"/>
      <c r="E31" s="1675"/>
      <c r="F31" s="1675"/>
      <c r="G31" s="1675"/>
      <c r="H31" s="1675"/>
      <c r="I31" s="1688"/>
      <c r="J31" s="1675"/>
      <c r="K31" s="2419"/>
      <c r="L31" s="1675"/>
      <c r="M31" s="1675"/>
      <c r="N31" s="1675"/>
      <c r="O31" s="1675"/>
      <c r="P31" s="1675"/>
      <c r="Q31" s="1675"/>
      <c r="R31" s="1675"/>
      <c r="S31" s="1675"/>
      <c r="T31" s="1675"/>
      <c r="U31" s="1675"/>
    </row>
    <row r="32" spans="1:21">
      <c r="A32" s="3260"/>
      <c r="B32" s="1642" t="s">
        <v>2001</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60"/>
      <c r="B33" s="1642" t="s">
        <v>2002</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61"/>
      <c r="B34" s="1642" t="s">
        <v>2003</v>
      </c>
      <c r="C34" s="3262"/>
      <c r="D34" s="3263"/>
      <c r="E34" s="1675"/>
      <c r="F34" s="1675"/>
      <c r="G34" s="1675"/>
      <c r="H34" s="1675"/>
      <c r="I34" s="1688"/>
      <c r="J34" s="1675"/>
      <c r="K34" s="2419"/>
      <c r="L34" s="1675"/>
      <c r="M34" s="1675"/>
      <c r="N34" s="1675"/>
      <c r="O34" s="1675"/>
      <c r="P34" s="1675"/>
      <c r="Q34" s="1675"/>
      <c r="R34" s="1675"/>
      <c r="S34" s="1675"/>
      <c r="T34" s="1675"/>
      <c r="U34" s="1675"/>
    </row>
    <row r="35" spans="1:21">
      <c r="A35" s="3264" t="s">
        <v>847</v>
      </c>
      <c r="B35" s="1703"/>
      <c r="C35" s="1757" t="str">
        <f>IF(B35="场地平整","——","具体情况：")</f>
        <v>具体情况：</v>
      </c>
      <c r="D35" s="3266"/>
      <c r="E35" s="3267"/>
      <c r="F35" s="3267"/>
      <c r="G35" s="3267"/>
      <c r="H35" s="3267"/>
      <c r="I35" s="3268"/>
      <c r="J35" s="1675"/>
      <c r="K35" s="1756"/>
      <c r="L35" s="1704"/>
      <c r="M35" s="1704"/>
      <c r="N35" s="1675"/>
      <c r="O35" s="1676"/>
      <c r="P35" s="1675"/>
      <c r="Q35" s="1675"/>
      <c r="R35" s="1675"/>
      <c r="S35" s="1675"/>
      <c r="T35" s="1675"/>
      <c r="U35" s="1675"/>
    </row>
    <row r="36" spans="1:21">
      <c r="A36" s="3260"/>
      <c r="B36" s="3269" t="s">
        <v>2052</v>
      </c>
      <c r="C36" s="3270"/>
      <c r="D36" s="1773"/>
      <c r="E36" s="3271"/>
      <c r="F36" s="3271"/>
      <c r="G36" s="1668" t="str">
        <f>IF(B35="场地未平整","估价结果处理","")</f>
        <v/>
      </c>
      <c r="H36" s="3272"/>
      <c r="I36" s="3272"/>
      <c r="J36" s="1675"/>
      <c r="K36" s="1756"/>
      <c r="L36" s="1704"/>
      <c r="M36" s="1704"/>
      <c r="N36" s="1675"/>
      <c r="O36" s="1676"/>
      <c r="P36" s="1675"/>
      <c r="Q36" s="1675"/>
      <c r="R36" s="1675"/>
      <c r="S36" s="1675"/>
      <c r="T36" s="1675"/>
      <c r="U36" s="1675"/>
    </row>
    <row r="37" spans="1:21" ht="28.5">
      <c r="A37" s="3260"/>
      <c r="B37" s="3249"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60"/>
      <c r="B38" s="3250"/>
      <c r="C38" s="1650" t="s">
        <v>850</v>
      </c>
      <c r="D38" s="1772">
        <f>ROUNDDOWN(MIN(('数据-取费表'!$B$2-D37)/365,D34),1)</f>
        <v>120.4</v>
      </c>
      <c r="E38" s="1708" t="s">
        <v>851</v>
      </c>
      <c r="F38" s="1675"/>
      <c r="G38" s="1675"/>
      <c r="H38" s="1675"/>
      <c r="I38" s="1688"/>
      <c r="J38" s="1675"/>
      <c r="K38" s="1756"/>
      <c r="L38" s="1675"/>
      <c r="M38" s="1675"/>
      <c r="N38" s="1675"/>
      <c r="O38" s="1675"/>
      <c r="P38" s="1675"/>
      <c r="Q38" s="1675"/>
      <c r="R38" s="1675"/>
      <c r="S38" s="1675"/>
      <c r="T38" s="1675"/>
      <c r="U38" s="1675"/>
    </row>
    <row r="39" spans="1:21">
      <c r="A39" s="3261"/>
      <c r="B39" s="3251"/>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32" t="s">
        <v>1983</v>
      </c>
      <c r="T40" s="1712" t="str">
        <f>NUMBERSTRING(7-K40,1)&amp;"通"</f>
        <v>七通</v>
      </c>
      <c r="U40" s="1675"/>
    </row>
    <row r="41" spans="1:21" ht="28.5">
      <c r="A41" s="1644"/>
      <c r="B41" s="3265" t="s">
        <v>1721</v>
      </c>
      <c r="C41" s="3265"/>
      <c r="D41" s="3265"/>
      <c r="E41" s="3265"/>
      <c r="F41" s="1713" t="str">
        <f>C10</f>
        <v>山东省青岛市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32"/>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M31" sqref="M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2331</v>
      </c>
      <c r="BA2" s="2322"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53313</v>
      </c>
      <c r="B3" s="22">
        <f>IF(C3="否",G5-AT5,G5)</f>
        <v>111957.3</v>
      </c>
      <c r="C3" s="23" t="s">
        <v>2997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111957.3</v>
      </c>
      <c r="H5" s="27">
        <f t="shared" ref="H5:AT5" si="0">SUM(H13:H641)</f>
        <v>111957.3</v>
      </c>
      <c r="I5" s="27">
        <f t="shared" si="0"/>
        <v>111957.3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111957.3</v>
      </c>
      <c r="BA5" s="29">
        <f t="shared" si="1"/>
        <v>111957.3</v>
      </c>
      <c r="BB5" s="29">
        <f t="shared" si="1"/>
        <v>111957.3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53313</v>
      </c>
      <c r="F6" s="27" t="s">
        <v>1</v>
      </c>
      <c r="G6" s="27" t="s">
        <v>2</v>
      </c>
      <c r="H6" s="33">
        <f>SUMIF(I$12:AB$12,"总值",I6:AB6)</f>
        <v>53313</v>
      </c>
      <c r="I6" s="27">
        <f t="shared" ref="I6:AB6" si="2">ROUND($A$3*I5/$B$3,2)</f>
        <v>53313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53313</v>
      </c>
      <c r="BB6" s="27">
        <f>ROUND($AY$6*BB5/$AZ$5,2)</f>
        <v>53313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2999</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c r="L10" s="51"/>
      <c r="M10" s="2969"/>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3000</v>
      </c>
      <c r="J11" s="71"/>
      <c r="K11" s="2968"/>
      <c r="L11" s="71"/>
      <c r="M11" s="70"/>
      <c r="N11" s="71"/>
      <c r="O11" s="70"/>
      <c r="P11" s="71"/>
      <c r="Q11" s="70"/>
      <c r="R11" s="71"/>
      <c r="S11" s="70"/>
      <c r="T11" s="71"/>
      <c r="U11" s="70"/>
      <c r="V11" s="71"/>
      <c r="W11" s="70"/>
      <c r="X11" s="71"/>
      <c r="Y11" s="70"/>
      <c r="Z11" s="71"/>
      <c r="AA11" s="70"/>
      <c r="AB11" s="71"/>
      <c r="AC11" s="55"/>
      <c r="AD11" s="2316" t="s">
        <v>2328</v>
      </c>
      <c r="AE11" s="1001"/>
      <c r="AF11" s="2316" t="s">
        <v>2328</v>
      </c>
      <c r="AG11" s="1001"/>
      <c r="AH11" s="2316" t="s">
        <v>2327</v>
      </c>
      <c r="AI11" s="2317"/>
      <c r="AJ11" s="2316" t="s">
        <v>2327</v>
      </c>
      <c r="AK11" s="2315"/>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t="s">
        <v>3008</v>
      </c>
      <c r="D13" s="2963" t="s">
        <v>1678</v>
      </c>
      <c r="E13" s="27">
        <f t="shared" ref="E13:E20" si="6">IF($C$3="是",ROUND($A$3*G13/$B$3,2),ROUND($A$3*(G13-AT13)/$B$3,2))</f>
        <v>53313</v>
      </c>
      <c r="F13" s="81"/>
      <c r="G13" s="82">
        <f t="shared" ref="G13:G20" si="7">H13+AC13+AT13</f>
        <v>111957.3</v>
      </c>
      <c r="H13" s="33">
        <f t="shared" ref="H13:H20" si="8">SUMIF(I$12:AB$12,"总值",I13:AB13)</f>
        <v>111957.3</v>
      </c>
      <c r="I13" s="2966">
        <f>A3*2.1</f>
        <v>111957.3</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公寓</v>
      </c>
      <c r="AY13" s="995">
        <f t="shared" ref="AY13:AY20" si="11">ROUND($AY$6*AZ13/$AZ$5,2)</f>
        <v>53313</v>
      </c>
      <c r="AZ13" s="27">
        <f t="shared" ref="AZ13:AZ20" si="12">BA13+BL13</f>
        <v>111957.3</v>
      </c>
      <c r="BA13" s="27">
        <f t="shared" ref="BA13:BA20" si="13">SUM(BB13:BK13)</f>
        <v>111957.3</v>
      </c>
      <c r="BB13" s="27">
        <f t="shared" ref="BB13:BB20" si="14">IF($D13="是",I13-J13,0)</f>
        <v>111957.3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2"/>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2"/>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4" t="s">
        <v>203</v>
      </c>
      <c r="B2" s="3284"/>
      <c r="C2" s="3284"/>
      <c r="D2" s="1957" t="s">
        <v>204</v>
      </c>
      <c r="E2" s="106" t="s">
        <v>205</v>
      </c>
      <c r="F2" s="1966"/>
      <c r="G2" s="1193"/>
      <c r="H2" s="1194"/>
      <c r="I2" s="1195" t="s">
        <v>857</v>
      </c>
      <c r="J2" s="1966"/>
      <c r="K2" s="1966"/>
      <c r="L2" s="1966"/>
    </row>
    <row r="3" spans="1:16" ht="15.75" thickBot="1">
      <c r="A3" s="3285" t="s">
        <v>206</v>
      </c>
      <c r="B3" s="3285"/>
      <c r="C3" s="3285"/>
      <c r="D3" s="107">
        <f>'数据-基础表'!AY6</f>
        <v>53313</v>
      </c>
      <c r="E3" s="107">
        <f>'数据-基础表'!AZ5</f>
        <v>111957.3</v>
      </c>
      <c r="F3" s="1966"/>
      <c r="G3" s="280" t="s">
        <v>858</v>
      </c>
      <c r="H3" s="275" t="s">
        <v>859</v>
      </c>
      <c r="I3" s="1958">
        <f>ROUND('数据-基础表'!B3/'数据-基础表'!A3,2)</f>
        <v>2.1</v>
      </c>
      <c r="J3" s="1966"/>
      <c r="K3" s="1966"/>
      <c r="L3" s="1966"/>
    </row>
    <row r="4" spans="1:16" ht="15">
      <c r="A4" s="3286"/>
      <c r="B4" s="3287"/>
      <c r="C4" s="3288"/>
      <c r="D4" s="108" t="s">
        <v>204</v>
      </c>
      <c r="E4" s="109" t="s">
        <v>205</v>
      </c>
      <c r="F4" s="1966"/>
      <c r="G4" s="1196"/>
      <c r="H4" s="275" t="s">
        <v>860</v>
      </c>
      <c r="I4" s="1958">
        <f>ROUND(SUMIF('数据-基础表'!I9:AS9,"地上",'数据-基础表'!I5:AS5)/'数据-基础表'!A3,2)</f>
        <v>2.1</v>
      </c>
      <c r="J4" s="1966"/>
      <c r="K4" s="1966"/>
      <c r="L4" s="1966"/>
    </row>
    <row r="5" spans="1:16">
      <c r="A5" s="110" t="s">
        <v>207</v>
      </c>
      <c r="B5" s="3289" t="s">
        <v>230</v>
      </c>
      <c r="C5" s="3289"/>
      <c r="D5" s="111">
        <f>ROUND($D$3*E5/$E$3,2)</f>
        <v>53313</v>
      </c>
      <c r="E5" s="112">
        <f>SUMIF('数据-基础表'!$11:$11,"住宅",'数据-基础表'!$5:$5)</f>
        <v>111957.3</v>
      </c>
      <c r="F5" s="1966"/>
      <c r="G5" s="280" t="s">
        <v>861</v>
      </c>
      <c r="H5" s="275" t="s">
        <v>859</v>
      </c>
      <c r="I5" s="1958">
        <f>ROUND(E31/D31,2)</f>
        <v>2.1</v>
      </c>
      <c r="J5" s="1966"/>
      <c r="K5" s="1966"/>
      <c r="L5" s="1966"/>
    </row>
    <row r="6" spans="1:16" ht="15" thickBot="1">
      <c r="A6" s="113"/>
      <c r="B6" s="3289" t="s">
        <v>208</v>
      </c>
      <c r="C6" s="3289"/>
      <c r="D6" s="111">
        <f>ROUND($D$3*E6/$E$3,2)</f>
        <v>0</v>
      </c>
      <c r="E6" s="112">
        <f>E3-E5</f>
        <v>0</v>
      </c>
      <c r="F6" s="1966"/>
      <c r="G6" s="1196"/>
      <c r="H6" s="275" t="s">
        <v>860</v>
      </c>
      <c r="I6" s="1958">
        <f>ROUND(F31/D31,2)</f>
        <v>2.1</v>
      </c>
      <c r="J6" s="1966"/>
      <c r="K6" s="1966"/>
      <c r="L6" s="1966"/>
    </row>
    <row r="7" spans="1:16" ht="15">
      <c r="A7" s="3281"/>
      <c r="B7" s="3282"/>
      <c r="C7" s="3283"/>
      <c r="D7" s="108" t="s">
        <v>204</v>
      </c>
      <c r="E7" s="114" t="s">
        <v>231</v>
      </c>
      <c r="F7" s="1966"/>
      <c r="G7" s="1151" t="s">
        <v>1645</v>
      </c>
      <c r="H7" s="1152"/>
      <c r="I7" s="1828">
        <v>4</v>
      </c>
      <c r="J7" s="1966"/>
      <c r="K7" s="1966"/>
      <c r="L7" s="1966"/>
    </row>
    <row r="8" spans="1:16">
      <c r="A8" s="110" t="s">
        <v>209</v>
      </c>
      <c r="B8" s="115" t="s">
        <v>210</v>
      </c>
      <c r="C8" s="111" t="s">
        <v>211</v>
      </c>
      <c r="D8" s="111">
        <f t="shared" ref="D8:D15" si="0">ROUND($D$3*E8/$E$3,2)</f>
        <v>53313</v>
      </c>
      <c r="E8" s="116">
        <f>SUMIF('数据-基础表'!BB10:BK10,"地上",'数据-基础表'!BB5:BK5)</f>
        <v>111957.3</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53313</v>
      </c>
      <c r="E16" s="120">
        <f>SUM(E8:E15)</f>
        <v>111957.3</v>
      </c>
      <c r="F16" s="1966"/>
      <c r="G16" s="1968"/>
      <c r="H16" s="967" t="s">
        <v>219</v>
      </c>
      <c r="I16" s="968"/>
      <c r="J16" s="1966"/>
      <c r="K16" s="3275" t="s">
        <v>2564</v>
      </c>
      <c r="L16" s="3276"/>
      <c r="M16" s="3276"/>
      <c r="N16" s="3276"/>
      <c r="O16" s="3276"/>
      <c r="P16" s="3277"/>
    </row>
    <row r="17" spans="1:19" ht="15">
      <c r="A17" s="121" t="s">
        <v>216</v>
      </c>
      <c r="B17" s="122" t="s">
        <v>217</v>
      </c>
      <c r="C17" s="2280" t="s">
        <v>2311</v>
      </c>
      <c r="D17" s="108" t="s">
        <v>204</v>
      </c>
      <c r="E17" s="124" t="s">
        <v>205</v>
      </c>
      <c r="F17" s="125"/>
      <c r="G17" s="1360"/>
      <c r="H17" s="969" t="s">
        <v>218</v>
      </c>
      <c r="I17" s="970" t="s">
        <v>2310</v>
      </c>
      <c r="J17" s="1966"/>
      <c r="K17" s="3278" t="s">
        <v>2565</v>
      </c>
      <c r="L17" s="3279"/>
      <c r="M17" s="3280"/>
      <c r="N17" s="3278" t="s">
        <v>2566</v>
      </c>
      <c r="O17" s="3279"/>
      <c r="P17" s="3280"/>
      <c r="R17" s="2281" t="s">
        <v>2309</v>
      </c>
      <c r="S17" s="144"/>
    </row>
    <row r="18" spans="1:19" ht="15">
      <c r="A18" s="117"/>
      <c r="B18" s="128"/>
      <c r="C18" s="129"/>
      <c r="D18" s="2603"/>
      <c r="E18" s="130" t="s">
        <v>220</v>
      </c>
      <c r="F18" s="131" t="s">
        <v>221</v>
      </c>
      <c r="G18" s="1361" t="s">
        <v>222</v>
      </c>
      <c r="H18" s="971" t="s">
        <v>223</v>
      </c>
      <c r="I18" s="972" t="s">
        <v>224</v>
      </c>
      <c r="J18" s="1966"/>
      <c r="K18" s="2566" t="s">
        <v>2567</v>
      </c>
      <c r="L18" s="2567" t="s">
        <v>2568</v>
      </c>
      <c r="M18" s="2568" t="s">
        <v>2569</v>
      </c>
      <c r="N18" s="2566" t="s">
        <v>2567</v>
      </c>
      <c r="O18" s="2567" t="s">
        <v>2568</v>
      </c>
      <c r="P18" s="2568" t="s">
        <v>2569</v>
      </c>
      <c r="R18" s="2282" t="s">
        <v>2307</v>
      </c>
      <c r="S18" s="2282" t="s">
        <v>2308</v>
      </c>
    </row>
    <row r="19" spans="1:19">
      <c r="A19" s="133"/>
      <c r="B19" s="115" t="s">
        <v>225</v>
      </c>
      <c r="C19" s="2973" t="str">
        <f>'数据-基础表'!C13</f>
        <v>公寓</v>
      </c>
      <c r="D19" s="111">
        <f t="shared" ref="D19:D26" si="1">ROUND($D$3*E19/$E$3,2)</f>
        <v>53313</v>
      </c>
      <c r="E19" s="134">
        <f t="shared" ref="E19:E26" si="2">SUM(F19:G19)</f>
        <v>111957.3</v>
      </c>
      <c r="F19" s="135">
        <f>'数据-基础表'!I13</f>
        <v>111957.3</v>
      </c>
      <c r="G19" s="135"/>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53313</v>
      </c>
      <c r="S19" s="2283">
        <f t="shared" si="5"/>
        <v>111957.3</v>
      </c>
    </row>
    <row r="20" spans="1:19">
      <c r="A20" s="138"/>
      <c r="B20" s="115" t="s">
        <v>226</v>
      </c>
      <c r="C20" s="2973"/>
      <c r="D20" s="111">
        <f t="shared" si="1"/>
        <v>0</v>
      </c>
      <c r="E20" s="134">
        <f t="shared" si="2"/>
        <v>0</v>
      </c>
      <c r="F20" s="135"/>
      <c r="G20" s="135"/>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0</v>
      </c>
      <c r="S20" s="2283">
        <f t="shared" si="5"/>
        <v>0</v>
      </c>
    </row>
    <row r="21" spans="1:19">
      <c r="A21" s="138"/>
      <c r="B21" s="115" t="s">
        <v>226</v>
      </c>
      <c r="C21" s="2973"/>
      <c r="D21" s="111">
        <f t="shared" si="1"/>
        <v>0</v>
      </c>
      <c r="E21" s="134">
        <f t="shared" si="2"/>
        <v>0</v>
      </c>
      <c r="F21" s="135"/>
      <c r="G21" s="135"/>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2973"/>
      <c r="D22" s="111">
        <f t="shared" si="1"/>
        <v>0</v>
      </c>
      <c r="E22" s="134">
        <f t="shared" si="2"/>
        <v>0</v>
      </c>
      <c r="F22" s="135"/>
      <c r="G22" s="135"/>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2"/>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2"/>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53313</v>
      </c>
      <c r="E27" s="143">
        <f>IF(SUM(E19:E26)='数据-基础表'!BA5,SUM(E19:E26),IF(F27="地上面积有误","面积有误","地下面积有误"))</f>
        <v>111957.3</v>
      </c>
      <c r="F27" s="134">
        <f>IF(SUM(F19:F26)=E8,SUM(F19:F26),"地上面积有误")</f>
        <v>111957.3</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53313</v>
      </c>
      <c r="S27" s="275">
        <f>IF(SUM(S19:S26)=$E$3,SUM(S19:S26),SUM(S19:S26)&amp;"误差"&amp;ROUND(SUM(S19:S26)-E3,2))</f>
        <v>111957.3</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2318</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2320</v>
      </c>
      <c r="D31" s="1365">
        <f>D27+D30</f>
        <v>53313</v>
      </c>
      <c r="E31" s="1365">
        <f>E27+E30</f>
        <v>111957.3</v>
      </c>
      <c r="F31" s="1366">
        <f>F27+F30</f>
        <v>111957.3</v>
      </c>
      <c r="G31" s="1367">
        <f>G27+G30</f>
        <v>0</v>
      </c>
      <c r="H31" s="1966"/>
      <c r="I31" s="1966"/>
      <c r="J31" s="1966"/>
      <c r="K31" s="1966"/>
      <c r="L31" s="1966"/>
    </row>
    <row r="32" spans="1:19">
      <c r="A32" s="1966"/>
      <c r="B32" s="2324" t="s">
        <v>2319</v>
      </c>
      <c r="C32" s="2608"/>
      <c r="D32" s="1196"/>
      <c r="E32" s="1196">
        <f>SUMIF(C19:C26,"*住宅*",E19:E26)</f>
        <v>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N28" sqref="N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43972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公寓</v>
      </c>
      <c r="B6" s="2319" t="str">
        <f>IF(A6=0,"","经营性")</f>
        <v>经营性</v>
      </c>
      <c r="C6" s="173" t="s">
        <v>2996</v>
      </c>
      <c r="D6" s="2290">
        <f>SUMIF(项目基本情况!D$15:I$15,C6,项目基本情况!D$18:I$18)</f>
        <v>40</v>
      </c>
      <c r="E6" s="2291">
        <f>IF(B6="","",SUMIF(项目基本情况!D$15:I$15,C6,项目基本情况!D$17:I$17))</f>
        <v>54788</v>
      </c>
      <c r="F6" s="174">
        <f>SUMIF(项目基本情况!D$15:I$15,C6,项目基本情况!D$19:I$19)</f>
        <v>29.63</v>
      </c>
      <c r="G6" s="175">
        <f>IF(ISERROR(ROUND(POWER(1+H6,D6-F6)*(POWER(1+H6,F6)-1)/(POWER(1+H6,D6)-1),3)),0,ROUND(POWER(1+H6,D6-F6)*(POWER(1+H6,F6)-1)/(POWER(1+H6,D6)-1),3))</f>
        <v>0.90100000000000002</v>
      </c>
      <c r="H6" s="2974">
        <v>5.5E-2</v>
      </c>
      <c r="I6" s="2974">
        <v>0.06</v>
      </c>
      <c r="J6" s="2974">
        <v>8.5000000000000006E-2</v>
      </c>
      <c r="K6" s="179">
        <f>SUMIF('数据-汇总表'!C$19:C$33,'数据-取费表'!A6,'数据-汇总表'!E$19:E$33)</f>
        <v>111957.3</v>
      </c>
      <c r="L6" s="2975">
        <v>2600</v>
      </c>
      <c r="M6" s="177">
        <f t="shared" ref="M6:M14" si="0">ROUND(K6*L6/10000,0)</f>
        <v>29109</v>
      </c>
      <c r="N6" s="2976">
        <v>0</v>
      </c>
      <c r="O6" s="177">
        <f>IF($N$5="成新度","——",ROUND(M6*N6,0))</f>
        <v>0</v>
      </c>
      <c r="P6" s="178">
        <f>IF($N$5="成新度","——",M6-O6)</f>
        <v>29109</v>
      </c>
      <c r="Q6" s="2977">
        <v>0.15</v>
      </c>
      <c r="R6" s="179">
        <f>SUMIF('数据-汇总表'!C$19:C$33,A6,'数据-汇总表'!R$19:R$33)</f>
        <v>53313</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27.13</v>
      </c>
      <c r="AF6" s="141"/>
      <c r="AG6" s="1208">
        <f>IF(AF6="",0,AE6-AF6)</f>
        <v>0</v>
      </c>
      <c r="AH6" s="141"/>
      <c r="AI6" s="187">
        <v>365</v>
      </c>
      <c r="AJ6" s="188"/>
      <c r="AK6" s="189">
        <v>1.4999999999999999E-2</v>
      </c>
      <c r="AL6" s="190">
        <v>1.5E-3</v>
      </c>
      <c r="AM6" s="2988">
        <v>0.01</v>
      </c>
      <c r="AN6" s="2353" t="s">
        <v>3170</v>
      </c>
      <c r="AO6" s="1982"/>
      <c r="AP6" s="1199">
        <f>ROUND(1-1/(1+H6)^F6,3)</f>
        <v>0.79500000000000004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hidden="1">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2974"/>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4"/>
      <c r="I8" s="2974"/>
      <c r="J8" s="2974"/>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2974"/>
      <c r="I9" s="2974"/>
      <c r="J9" s="2974"/>
      <c r="K9" s="179">
        <f>SUMIF('数据-汇总表'!C$19:C$33,'数据-取费表'!A9,'数据-汇总表'!E$19:E$33)</f>
        <v>0</v>
      </c>
      <c r="L9" s="2975"/>
      <c r="M9" s="177">
        <f t="shared" si="0"/>
        <v>0</v>
      </c>
      <c r="N9" s="194"/>
      <c r="O9" s="177">
        <f t="shared" si="3"/>
        <v>0</v>
      </c>
      <c r="P9" s="178">
        <f t="shared" si="4"/>
        <v>0</v>
      </c>
      <c r="Q9" s="2977"/>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2312</v>
      </c>
      <c r="B14" s="2288" t="s">
        <v>1679</v>
      </c>
      <c r="C14" s="2289" t="s">
        <v>2312</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2314</v>
      </c>
      <c r="B15" s="2288" t="s">
        <v>1679</v>
      </c>
      <c r="C15" s="2289" t="s">
        <v>2313</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0.90100000000000002</v>
      </c>
      <c r="H16" s="203">
        <f>ROUND(SUMPRODUCT(H6:H13,K6:K13)/SUMPRODUCT((H6:H13&gt;0)*(K6:K13)),3)</f>
        <v>5.5E-2</v>
      </c>
      <c r="I16" s="204"/>
      <c r="J16" s="204"/>
      <c r="K16" s="205">
        <f>SUM(K6:K15)</f>
        <v>111957.3</v>
      </c>
      <c r="L16" s="206">
        <f>ROUND(M16*10000/SUM(K6:K14),0)</f>
        <v>2600</v>
      </c>
      <c r="M16" s="206">
        <f>SUM(M6:M14)</f>
        <v>29109</v>
      </c>
      <c r="N16" s="207">
        <f>ROUND(SUMPRODUCT(M6:M14,N6:N14)/M16,3)</f>
        <v>0</v>
      </c>
      <c r="O16" s="206">
        <f>SUM(O6:O14)</f>
        <v>0</v>
      </c>
      <c r="P16" s="206">
        <f>SUM(P6:P14)</f>
        <v>29109</v>
      </c>
      <c r="Q16" s="208">
        <f>ROUND(SUMPRODUCT(Q6:Q13,K6:K13)/SUMPRODUCT((Q6:Q13&gt;0)*(K6:K13)),2)</f>
        <v>0.15</v>
      </c>
      <c r="R16" s="2293">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0.79500000000000004</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2.5</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3199" t="s">
        <v>3209</v>
      </c>
      <c r="M23" s="3290" t="s">
        <v>3210</v>
      </c>
      <c r="N23" s="3290"/>
      <c r="O23" s="3290"/>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2.5</v>
      </c>
      <c r="C24" s="1974"/>
      <c r="D24" s="1975"/>
      <c r="E24" s="1974"/>
      <c r="F24" s="1974"/>
      <c r="G24" s="1974"/>
      <c r="H24" s="1974"/>
      <c r="I24" s="1974"/>
      <c r="J24" s="1974"/>
      <c r="K24" s="1973"/>
      <c r="L24" s="3200"/>
      <c r="M24" s="3201" t="s">
        <v>3211</v>
      </c>
      <c r="N24" s="3201" t="s">
        <v>3212</v>
      </c>
      <c r="O24" s="3201" t="s">
        <v>3213</v>
      </c>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3202" t="s">
        <v>3214</v>
      </c>
      <c r="M25" s="3203">
        <v>1824</v>
      </c>
      <c r="N25" s="3203">
        <v>2282</v>
      </c>
      <c r="O25" s="3203">
        <v>2644</v>
      </c>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2336</v>
      </c>
      <c r="B27" s="227">
        <v>214</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2337</v>
      </c>
      <c r="B28" s="229">
        <v>214</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2335</v>
      </c>
      <c r="B29" s="232">
        <v>0</v>
      </c>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2">
        <v>0.05</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2893</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2.5000000000000001E-2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2"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0.04</v>
      </c>
      <c r="C48" s="3023"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3"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9</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1096</v>
      </c>
      <c r="C53" s="3024" t="s">
        <v>2901</v>
      </c>
      <c r="D53" s="3025"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2903</v>
      </c>
      <c r="B54" s="186">
        <v>9</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2904</v>
      </c>
      <c r="B55" s="186">
        <v>7</v>
      </c>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2905</v>
      </c>
      <c r="B56" s="186">
        <v>5</v>
      </c>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2906</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2907</v>
      </c>
      <c r="B58" s="186"/>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2908</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2912</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mergeCells count="1">
    <mergeCell ref="M23:O23"/>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5" r:id="rId1" display="javascript:top.main.DataEdit('37',24);"/>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1" t="s">
        <v>1663</v>
      </c>
      <c r="B1" s="3292"/>
      <c r="C1" s="3292"/>
      <c r="D1" s="3292"/>
      <c r="E1" s="3292"/>
      <c r="F1" s="3292"/>
      <c r="G1" s="3292"/>
      <c r="H1" s="1984"/>
      <c r="I1" s="1985"/>
      <c r="J1" s="1986"/>
      <c r="K1" s="1984"/>
      <c r="L1" s="1985"/>
      <c r="M1" s="1986"/>
      <c r="N1" s="1984"/>
      <c r="O1" s="1985"/>
      <c r="P1" s="1986"/>
      <c r="Q1" s="1987"/>
      <c r="R1" s="1988"/>
    </row>
    <row r="2" spans="1:18" ht="14.25" thickBot="1">
      <c r="A2" s="1216"/>
      <c r="B2" s="1217"/>
      <c r="C2" s="1218" t="s">
        <v>1664</v>
      </c>
      <c r="D2" s="1219"/>
      <c r="E2" s="1220"/>
      <c r="F2" s="1221"/>
      <c r="G2" s="1218" t="s">
        <v>1665</v>
      </c>
      <c r="H2" s="1990"/>
      <c r="I2" s="1990"/>
      <c r="J2" s="1990"/>
      <c r="K2" s="1990"/>
      <c r="L2" s="1990"/>
      <c r="M2" s="1990"/>
      <c r="N2" s="1990"/>
      <c r="O2" s="1990"/>
      <c r="P2" s="1990"/>
      <c r="Q2" s="1990"/>
      <c r="R2" s="1990"/>
    </row>
    <row r="3" spans="1:18" ht="27">
      <c r="A3" s="1222" t="s">
        <v>1666</v>
      </c>
      <c r="B3" s="1223" t="s">
        <v>1653</v>
      </c>
      <c r="C3" s="3029"/>
      <c r="D3" s="1991"/>
      <c r="E3" s="1224" t="s">
        <v>1666</v>
      </c>
      <c r="F3" s="1225" t="s">
        <v>1654</v>
      </c>
      <c r="G3" s="3033"/>
      <c r="H3" s="1990"/>
      <c r="I3" s="1990"/>
      <c r="J3" s="1990"/>
      <c r="K3" s="1990"/>
      <c r="L3" s="1990"/>
      <c r="M3" s="1990"/>
      <c r="N3" s="1990"/>
      <c r="O3" s="1990"/>
      <c r="P3" s="1990"/>
      <c r="Q3" s="1990"/>
      <c r="R3" s="1990"/>
    </row>
    <row r="4" spans="1:18" ht="14.25">
      <c r="A4" s="1224"/>
      <c r="B4" s="1226" t="s">
        <v>1667</v>
      </c>
      <c r="C4" s="3030"/>
      <c r="D4" s="1991"/>
      <c r="E4" s="1227"/>
      <c r="F4" s="1228" t="s">
        <v>1668</v>
      </c>
      <c r="G4" s="3031"/>
      <c r="H4" s="1990"/>
      <c r="I4" s="1990"/>
      <c r="J4" s="1990"/>
      <c r="K4" s="1990"/>
      <c r="L4" s="1990"/>
      <c r="M4" s="1990"/>
      <c r="N4" s="1990"/>
      <c r="O4" s="1990"/>
      <c r="P4" s="1990"/>
      <c r="Q4" s="1990"/>
      <c r="R4" s="1990"/>
    </row>
    <row r="5" spans="1:18" ht="14.25">
      <c r="A5" s="1224"/>
      <c r="B5" s="1226" t="s">
        <v>1669</v>
      </c>
      <c r="C5" s="3030"/>
      <c r="D5" s="1991"/>
      <c r="E5" s="1227"/>
      <c r="F5" s="1226" t="s">
        <v>2544</v>
      </c>
      <c r="G5" s="3031"/>
      <c r="H5" s="1990"/>
      <c r="I5" s="1990"/>
      <c r="J5" s="1990"/>
      <c r="K5" s="1990"/>
      <c r="L5" s="1990"/>
      <c r="M5" s="1990"/>
      <c r="N5" s="1990"/>
      <c r="O5" s="1990"/>
      <c r="P5" s="1990"/>
      <c r="Q5" s="1990"/>
      <c r="R5" s="1990"/>
    </row>
    <row r="6" spans="1:18" ht="14.25">
      <c r="A6" s="1224"/>
      <c r="B6" s="1226" t="s">
        <v>1655</v>
      </c>
      <c r="C6" s="3031"/>
      <c r="D6" s="1991"/>
      <c r="E6" s="1227"/>
      <c r="F6" s="1226" t="s">
        <v>2545</v>
      </c>
      <c r="G6" s="3031"/>
      <c r="H6" s="1990"/>
      <c r="I6" s="1990"/>
      <c r="J6" s="1990"/>
      <c r="K6" s="1990"/>
      <c r="L6" s="1990"/>
      <c r="M6" s="1990"/>
      <c r="N6" s="1990"/>
      <c r="O6" s="1990"/>
      <c r="P6" s="1990"/>
      <c r="Q6" s="1990"/>
      <c r="R6" s="1990"/>
    </row>
    <row r="7" spans="1:18" ht="15" thickBot="1">
      <c r="A7" s="1224"/>
      <c r="B7" s="1226" t="s">
        <v>2544</v>
      </c>
      <c r="C7" s="3031"/>
      <c r="D7" s="1992"/>
      <c r="E7" s="1229"/>
      <c r="F7" s="1230" t="s">
        <v>1670</v>
      </c>
      <c r="G7" s="3034"/>
      <c r="H7" s="1990"/>
      <c r="I7" s="1990"/>
      <c r="J7" s="1990"/>
      <c r="K7" s="1990"/>
      <c r="L7" s="1990"/>
      <c r="M7" s="1990"/>
      <c r="N7" s="1990"/>
      <c r="O7" s="1990"/>
      <c r="P7" s="1990"/>
      <c r="Q7" s="1990"/>
      <c r="R7" s="1990"/>
    </row>
    <row r="8" spans="1:18" ht="14.25">
      <c r="A8" s="1224"/>
      <c r="B8" s="1226" t="s">
        <v>2545</v>
      </c>
      <c r="C8" s="3031"/>
      <c r="D8" s="1992"/>
      <c r="E8" s="1992"/>
      <c r="F8" s="1537"/>
      <c r="G8" s="1537"/>
      <c r="H8" s="1990"/>
      <c r="I8" s="1990"/>
      <c r="J8" s="1990"/>
      <c r="K8" s="1990"/>
      <c r="L8" s="1990"/>
      <c r="M8" s="1990"/>
      <c r="N8" s="1990"/>
      <c r="O8" s="1990"/>
      <c r="P8" s="1990"/>
      <c r="Q8" s="1990"/>
      <c r="R8" s="1990"/>
    </row>
    <row r="9" spans="1:18" ht="14.25">
      <c r="A9" s="1224"/>
      <c r="B9" s="1226" t="s">
        <v>1656</v>
      </c>
      <c r="C9" s="3030"/>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9"/>
      <c r="E13" s="2539"/>
      <c r="F13" s="2539"/>
      <c r="G13" s="2539"/>
    </row>
    <row r="14" spans="1:18" ht="14.25" thickBot="1">
      <c r="A14" s="1233"/>
      <c r="B14" s="1234"/>
      <c r="C14" s="1235" t="s">
        <v>1664</v>
      </c>
      <c r="D14" s="1991"/>
      <c r="E14" s="1236"/>
      <c r="F14" s="1236"/>
      <c r="G14" s="1218" t="s">
        <v>1665</v>
      </c>
    </row>
    <row r="15" spans="1:18" ht="27">
      <c r="A15" s="2549" t="s">
        <v>1657</v>
      </c>
      <c r="B15" s="1237" t="s">
        <v>1653</v>
      </c>
      <c r="C15" s="1238">
        <f>C3</f>
        <v>0</v>
      </c>
      <c r="D15" s="1991"/>
      <c r="E15" s="2546" t="s">
        <v>1658</v>
      </c>
      <c r="F15" s="1237" t="s">
        <v>1673</v>
      </c>
      <c r="G15" s="1239">
        <f>G3</f>
        <v>0</v>
      </c>
    </row>
    <row r="16" spans="1:18">
      <c r="A16" s="2550"/>
      <c r="B16" s="1240" t="s">
        <v>1667</v>
      </c>
      <c r="C16" s="1241">
        <f>C4</f>
        <v>0</v>
      </c>
      <c r="D16" s="1991"/>
      <c r="E16" s="2547"/>
      <c r="F16" s="1242" t="s">
        <v>1668</v>
      </c>
      <c r="G16" s="1004">
        <f>G4</f>
        <v>0</v>
      </c>
    </row>
    <row r="17" spans="1:7" ht="14.25">
      <c r="A17" s="2550"/>
      <c r="B17" s="1240" t="s">
        <v>1669</v>
      </c>
      <c r="C17" s="1241">
        <f>C5</f>
        <v>0</v>
      </c>
      <c r="D17" s="1992"/>
      <c r="E17" s="2547"/>
      <c r="F17" s="1242" t="s">
        <v>1674</v>
      </c>
      <c r="G17" s="2747"/>
    </row>
    <row r="18" spans="1:7">
      <c r="A18" s="2550"/>
      <c r="B18" s="1242" t="s">
        <v>1655</v>
      </c>
      <c r="C18" s="1004">
        <f>C6</f>
        <v>0</v>
      </c>
      <c r="D18" s="1992"/>
      <c r="E18" s="2547"/>
      <c r="F18" s="1242" t="s">
        <v>1670</v>
      </c>
      <c r="G18" s="1004">
        <f>G7</f>
        <v>0</v>
      </c>
    </row>
    <row r="19" spans="1:7" ht="14.25">
      <c r="A19" s="2550"/>
      <c r="B19" s="1242" t="s">
        <v>1659</v>
      </c>
      <c r="C19" s="2747"/>
      <c r="D19" s="1991"/>
      <c r="E19" s="2547"/>
      <c r="F19" s="1226" t="s">
        <v>2544</v>
      </c>
      <c r="G19" s="1004">
        <f>G5</f>
        <v>0</v>
      </c>
    </row>
    <row r="20" spans="1:7">
      <c r="A20" s="2550"/>
      <c r="B20" s="1242" t="s">
        <v>1660</v>
      </c>
      <c r="C20" s="1241">
        <f>C9</f>
        <v>0</v>
      </c>
      <c r="D20" s="1992"/>
      <c r="E20" s="2547"/>
      <c r="F20" s="1226" t="s">
        <v>2545</v>
      </c>
      <c r="G20" s="1004">
        <f>G6</f>
        <v>0</v>
      </c>
    </row>
    <row r="21" spans="1:7" ht="14.25">
      <c r="A21" s="2550"/>
      <c r="B21" s="1226" t="s">
        <v>2544</v>
      </c>
      <c r="C21" s="1004">
        <f>C7</f>
        <v>0</v>
      </c>
      <c r="D21" s="1991"/>
      <c r="E21" s="2547"/>
      <c r="F21" s="1242" t="s">
        <v>1661</v>
      </c>
      <c r="G21" s="3035"/>
    </row>
    <row r="22" spans="1:7" ht="14.25">
      <c r="A22" s="2550"/>
      <c r="B22" s="1226" t="s">
        <v>2545</v>
      </c>
      <c r="C22" s="1004">
        <f>C8</f>
        <v>0</v>
      </c>
      <c r="D22" s="1991"/>
      <c r="E22" s="2547"/>
      <c r="F22" s="1242" t="s">
        <v>1671</v>
      </c>
      <c r="G22" s="2747"/>
    </row>
    <row r="23" spans="1:7" ht="15" thickBot="1">
      <c r="A23" s="2550"/>
      <c r="B23" s="1242" t="s">
        <v>1661</v>
      </c>
      <c r="C23" s="3035"/>
      <c r="E23" s="2548"/>
      <c r="F23" s="1243" t="s">
        <v>1675</v>
      </c>
      <c r="G23" s="3036"/>
    </row>
    <row r="24" spans="1:7" ht="14.2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93" t="s">
        <v>2841</v>
      </c>
      <c r="B1" s="2993">
        <f>SUM(B14:B23)</f>
        <v>111957.3</v>
      </c>
      <c r="C1" s="2994"/>
      <c r="D1" s="2994"/>
      <c r="E1" s="2994"/>
      <c r="F1" s="2994"/>
    </row>
    <row r="2" spans="1:9" ht="16.5">
      <c r="A2" s="2993" t="s">
        <v>2842</v>
      </c>
      <c r="B2" s="2993">
        <f>SUM(C14:C23)</f>
        <v>53313</v>
      </c>
      <c r="C2" s="2994"/>
      <c r="D2" s="2994"/>
      <c r="E2" s="2994"/>
      <c r="F2" s="2994"/>
    </row>
    <row r="3" spans="1:9" ht="16.5">
      <c r="A3" s="2993" t="s">
        <v>2843</v>
      </c>
      <c r="B3" s="2995">
        <f>项目基本情况!D3</f>
        <v>43972</v>
      </c>
      <c r="C3" s="2994"/>
      <c r="D3" s="2994"/>
      <c r="E3" s="2994"/>
      <c r="F3" s="2994"/>
    </row>
    <row r="4" spans="1:9" ht="33">
      <c r="A4" s="2993" t="s">
        <v>2844</v>
      </c>
      <c r="B4" s="2993" t="s">
        <v>2845</v>
      </c>
      <c r="C4" s="2993" t="s">
        <v>2846</v>
      </c>
      <c r="D4" s="2993" t="s">
        <v>2847</v>
      </c>
      <c r="E4" s="2994"/>
      <c r="F4" s="2994"/>
    </row>
    <row r="5" spans="1:9" ht="16.5">
      <c r="A5" s="2993" t="s">
        <v>2848</v>
      </c>
      <c r="B5" s="2993">
        <f ca="1">SUM(D14:D23)</f>
        <v>22160</v>
      </c>
      <c r="C5" s="2993">
        <f ca="1">ROUND(B5*10000/$B$1,0)</f>
        <v>1979</v>
      </c>
      <c r="D5" s="2993">
        <f ca="1">ROUND(B5*10000/$B$2,0)</f>
        <v>4157</v>
      </c>
      <c r="E5" s="2994"/>
      <c r="F5" s="2994"/>
    </row>
    <row r="6" spans="1:9" ht="16.5">
      <c r="A6" s="2993" t="s">
        <v>2849</v>
      </c>
      <c r="B6" s="2993">
        <f ca="1">SUM(G14:G23)</f>
        <v>22160</v>
      </c>
      <c r="C6" s="2993">
        <f t="shared" ref="C6:C8" ca="1" si="0">ROUND(B6*10000/$B$1,0)</f>
        <v>1979</v>
      </c>
      <c r="D6" s="2993">
        <f t="shared" ref="D6:D8" ca="1" si="1">ROUND(B6*10000/$B$2,0)</f>
        <v>4157</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111957.3</v>
      </c>
      <c r="C14" s="2997">
        <f>结果表!K38</f>
        <v>53313</v>
      </c>
      <c r="D14" s="2997">
        <f ca="1">结果表!C42</f>
        <v>22160</v>
      </c>
      <c r="E14" s="2997">
        <f ca="1">ROUND(D14*10000/B14,0)</f>
        <v>1979</v>
      </c>
      <c r="F14" s="2997">
        <f ca="1">ROUND(D14*10000/C14,0)</f>
        <v>4157</v>
      </c>
      <c r="G14" s="2997">
        <f ca="1">结果表!C44</f>
        <v>22160</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2053</v>
      </c>
      <c r="B1" s="1759"/>
      <c r="C1" s="1787" t="s">
        <v>2054</v>
      </c>
      <c r="D1" s="1788"/>
      <c r="E1" s="1787" t="s">
        <v>2055</v>
      </c>
      <c r="F1" s="1789"/>
      <c r="G1" s="311"/>
      <c r="H1" s="311"/>
      <c r="I1" s="311"/>
      <c r="J1" s="2011"/>
      <c r="K1" s="2011"/>
      <c r="L1" s="2011"/>
      <c r="M1" s="2011"/>
      <c r="N1" s="2011"/>
      <c r="O1" s="2011"/>
      <c r="P1" s="2011"/>
      <c r="Q1" s="2011"/>
      <c r="R1" s="2011"/>
      <c r="S1" s="2011"/>
      <c r="T1" s="2011"/>
      <c r="U1" s="2011"/>
      <c r="V1" s="2011"/>
    </row>
    <row r="2" spans="1:22" ht="21.75" customHeight="1" thickBot="1">
      <c r="A2" s="3338" t="str">
        <f>项目基本情况!K2</f>
        <v>山东省青岛市胶州市出让国有建设用地使用权</v>
      </c>
      <c r="B2" s="3339"/>
      <c r="C2" s="3340"/>
      <c r="D2" s="3340"/>
      <c r="E2" s="3340"/>
      <c r="F2" s="3340"/>
      <c r="G2" s="3339"/>
      <c r="H2" s="3339"/>
      <c r="I2" s="3341"/>
      <c r="J2" s="2012"/>
      <c r="K2" s="2011"/>
      <c r="L2" s="2011"/>
      <c r="M2" s="2011"/>
      <c r="N2" s="2011"/>
      <c r="O2" s="2011"/>
      <c r="P2" s="2011"/>
      <c r="Q2" s="2011"/>
      <c r="R2" s="2011"/>
      <c r="S2" s="2011"/>
      <c r="T2" s="2011"/>
      <c r="U2" s="2011"/>
      <c r="V2" s="2011"/>
    </row>
    <row r="3" spans="1:22" ht="14.25">
      <c r="A3" s="3349" t="s">
        <v>298</v>
      </c>
      <c r="B3" s="3350"/>
      <c r="C3" s="3350"/>
      <c r="D3" s="3350"/>
      <c r="E3" s="3350"/>
      <c r="F3" s="3350"/>
      <c r="G3" s="3350"/>
      <c r="H3" s="3350"/>
      <c r="I3" s="3350"/>
      <c r="J3" s="2012"/>
      <c r="K3" s="2011"/>
      <c r="L3" s="2011"/>
      <c r="M3" s="2011"/>
      <c r="N3" s="2011"/>
      <c r="O3" s="2011"/>
      <c r="P3" s="2011"/>
      <c r="Q3" s="2011"/>
      <c r="R3" s="2011"/>
      <c r="S3" s="2011"/>
      <c r="T3" s="2011"/>
      <c r="U3" s="2011"/>
      <c r="V3" s="2011"/>
    </row>
    <row r="4" spans="1:22" ht="14.25">
      <c r="A4" s="258" t="s">
        <v>299</v>
      </c>
      <c r="B4" s="259" t="s">
        <v>300</v>
      </c>
      <c r="C4" s="260" t="s">
        <v>3006</v>
      </c>
      <c r="D4" s="260" t="s">
        <v>3007</v>
      </c>
      <c r="E4" s="3313" t="s">
        <v>301</v>
      </c>
      <c r="F4" s="3355"/>
      <c r="G4" s="3355"/>
      <c r="H4" s="3355"/>
      <c r="I4" s="3314"/>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42" t="s">
        <v>302</v>
      </c>
      <c r="B5" s="3343">
        <v>25</v>
      </c>
      <c r="C5" s="3351"/>
      <c r="D5" s="3354"/>
      <c r="E5" s="261" t="s">
        <v>303</v>
      </c>
      <c r="F5" s="262"/>
      <c r="G5" s="262"/>
      <c r="H5" s="262"/>
      <c r="I5" s="263"/>
      <c r="J5" s="2012"/>
      <c r="K5" s="2011"/>
      <c r="L5" s="2011"/>
      <c r="M5" s="2011"/>
      <c r="N5" s="2011"/>
      <c r="O5" s="2011"/>
      <c r="P5" s="2011"/>
      <c r="Q5" s="2011"/>
      <c r="R5" s="2011"/>
      <c r="S5" s="2011"/>
      <c r="T5" s="2011"/>
      <c r="U5" s="2011"/>
      <c r="V5" s="2011"/>
    </row>
    <row r="6" spans="1:22" ht="14.25">
      <c r="A6" s="3342"/>
      <c r="B6" s="3343"/>
      <c r="C6" s="3352"/>
      <c r="D6" s="3354"/>
      <c r="E6" s="261" t="s">
        <v>304</v>
      </c>
      <c r="F6" s="262"/>
      <c r="G6" s="262"/>
      <c r="H6" s="262"/>
      <c r="I6" s="263"/>
      <c r="J6" s="2012"/>
      <c r="K6" s="2011"/>
      <c r="L6" s="2011"/>
      <c r="M6" s="2011"/>
      <c r="N6" s="2011"/>
      <c r="O6" s="2011"/>
      <c r="P6" s="2011"/>
      <c r="Q6" s="2011"/>
      <c r="R6" s="2011"/>
      <c r="S6" s="2011"/>
      <c r="T6" s="2011"/>
      <c r="U6" s="2011"/>
      <c r="V6" s="2011"/>
    </row>
    <row r="7" spans="1:22" ht="14.25">
      <c r="A7" s="3342"/>
      <c r="B7" s="3343"/>
      <c r="C7" s="3353"/>
      <c r="D7" s="3354"/>
      <c r="E7" s="261" t="s">
        <v>305</v>
      </c>
      <c r="F7" s="262"/>
      <c r="G7" s="262"/>
      <c r="H7" s="262"/>
      <c r="I7" s="263"/>
      <c r="J7" s="2012"/>
      <c r="K7" s="2011"/>
      <c r="L7" s="2011"/>
      <c r="M7" s="2011"/>
      <c r="N7" s="2011"/>
      <c r="O7" s="2011"/>
      <c r="P7" s="2011"/>
      <c r="Q7" s="2011"/>
      <c r="R7" s="2011"/>
      <c r="S7" s="2011"/>
      <c r="T7" s="2011"/>
      <c r="U7" s="2011"/>
      <c r="V7" s="2011"/>
    </row>
    <row r="8" spans="1:22" ht="14.25">
      <c r="A8" s="3342" t="s">
        <v>306</v>
      </c>
      <c r="B8" s="3343">
        <v>15</v>
      </c>
      <c r="C8" s="3351"/>
      <c r="D8" s="3354"/>
      <c r="E8" s="261" t="s">
        <v>307</v>
      </c>
      <c r="F8" s="262"/>
      <c r="G8" s="262"/>
      <c r="H8" s="262"/>
      <c r="I8" s="263"/>
      <c r="J8" s="2012"/>
      <c r="K8" s="2011"/>
      <c r="L8" s="2011"/>
      <c r="M8" s="2011"/>
      <c r="N8" s="2011"/>
      <c r="O8" s="2011"/>
      <c r="P8" s="2011"/>
      <c r="Q8" s="2011"/>
      <c r="R8" s="2011"/>
      <c r="S8" s="2011"/>
      <c r="T8" s="2011"/>
      <c r="U8" s="2011"/>
      <c r="V8" s="2011"/>
    </row>
    <row r="9" spans="1:22" ht="14.25">
      <c r="A9" s="3342"/>
      <c r="B9" s="3343"/>
      <c r="C9" s="3353"/>
      <c r="D9" s="3354"/>
      <c r="E9" s="261" t="s">
        <v>308</v>
      </c>
      <c r="F9" s="262"/>
      <c r="G9" s="262"/>
      <c r="H9" s="262"/>
      <c r="I9" s="263"/>
      <c r="J9" s="2012"/>
      <c r="K9" s="2011"/>
      <c r="L9" s="2011"/>
      <c r="M9" s="2011"/>
      <c r="N9" s="2011"/>
      <c r="O9" s="2011"/>
      <c r="P9" s="2011"/>
      <c r="Q9" s="2011"/>
      <c r="R9" s="2011"/>
      <c r="S9" s="2011"/>
      <c r="T9" s="2011"/>
      <c r="U9" s="2011"/>
      <c r="V9" s="2011"/>
    </row>
    <row r="10" spans="1:22" ht="14.25">
      <c r="A10" s="3342" t="s">
        <v>309</v>
      </c>
      <c r="B10" s="3343">
        <v>15</v>
      </c>
      <c r="C10" s="3351"/>
      <c r="D10" s="3354"/>
      <c r="E10" s="261" t="s">
        <v>310</v>
      </c>
      <c r="F10" s="262"/>
      <c r="G10" s="262"/>
      <c r="H10" s="262"/>
      <c r="I10" s="263"/>
      <c r="J10" s="2012"/>
      <c r="K10" s="2011"/>
      <c r="L10" s="2011"/>
      <c r="M10" s="2011"/>
      <c r="N10" s="2011"/>
      <c r="O10" s="2011"/>
      <c r="P10" s="2011"/>
      <c r="Q10" s="2011"/>
      <c r="R10" s="2011"/>
      <c r="S10" s="2011"/>
      <c r="T10" s="2011"/>
      <c r="U10" s="2011"/>
      <c r="V10" s="2011"/>
    </row>
    <row r="11" spans="1:22" ht="14.25">
      <c r="A11" s="3342"/>
      <c r="B11" s="3343"/>
      <c r="C11" s="3353"/>
      <c r="D11" s="3354"/>
      <c r="E11" s="261" t="s">
        <v>311</v>
      </c>
      <c r="F11" s="262"/>
      <c r="G11" s="262"/>
      <c r="H11" s="262"/>
      <c r="I11" s="263"/>
      <c r="J11" s="2012"/>
      <c r="K11" s="2011"/>
      <c r="L11" s="2011"/>
      <c r="M11" s="2011"/>
      <c r="N11" s="2011"/>
      <c r="O11" s="2011"/>
      <c r="P11" s="2011"/>
      <c r="Q11" s="2011"/>
      <c r="R11" s="2011"/>
      <c r="S11" s="2011"/>
      <c r="T11" s="2011"/>
      <c r="U11" s="2011"/>
      <c r="V11" s="2011"/>
    </row>
    <row r="12" spans="1:22" ht="14.25">
      <c r="A12" s="3342" t="s">
        <v>312</v>
      </c>
      <c r="B12" s="3343">
        <v>15</v>
      </c>
      <c r="C12" s="3351"/>
      <c r="D12" s="3354"/>
      <c r="E12" s="261" t="s">
        <v>313</v>
      </c>
      <c r="F12" s="262"/>
      <c r="G12" s="262"/>
      <c r="H12" s="262"/>
      <c r="I12" s="263"/>
      <c r="J12" s="2012"/>
      <c r="K12" s="2011"/>
      <c r="L12" s="2011"/>
      <c r="M12" s="2011"/>
      <c r="N12" s="2011"/>
      <c r="O12" s="2011"/>
      <c r="P12" s="2011"/>
      <c r="Q12" s="2011"/>
      <c r="R12" s="2011"/>
      <c r="S12" s="2011"/>
      <c r="T12" s="2011"/>
      <c r="U12" s="2011"/>
      <c r="V12" s="2011"/>
    </row>
    <row r="13" spans="1:22" ht="14.25">
      <c r="A13" s="3342"/>
      <c r="B13" s="3343"/>
      <c r="C13" s="3353"/>
      <c r="D13" s="3354"/>
      <c r="E13" s="261" t="s">
        <v>314</v>
      </c>
      <c r="F13" s="262"/>
      <c r="G13" s="262"/>
      <c r="H13" s="262"/>
      <c r="I13" s="263"/>
      <c r="J13" s="2012"/>
      <c r="K13" s="2011"/>
      <c r="L13" s="2011"/>
      <c r="M13" s="2011"/>
      <c r="N13" s="2011"/>
      <c r="O13" s="2011"/>
      <c r="P13" s="2011"/>
      <c r="Q13" s="2011"/>
      <c r="R13" s="2011"/>
      <c r="S13" s="2011"/>
      <c r="T13" s="2011"/>
      <c r="U13" s="2011"/>
      <c r="V13" s="2011"/>
    </row>
    <row r="14" spans="1:22" ht="14.25">
      <c r="A14" s="3342" t="s">
        <v>315</v>
      </c>
      <c r="B14" s="3343">
        <v>30</v>
      </c>
      <c r="C14" s="3351">
        <v>4</v>
      </c>
      <c r="D14" s="3354">
        <v>6</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42"/>
      <c r="B15" s="3343"/>
      <c r="C15" s="3352"/>
      <c r="D15" s="3354"/>
      <c r="E15" s="261" t="s">
        <v>317</v>
      </c>
      <c r="F15" s="262"/>
      <c r="G15" s="262"/>
      <c r="H15" s="262"/>
      <c r="I15" s="263"/>
      <c r="J15" s="2012"/>
      <c r="K15" s="2011"/>
      <c r="L15" s="2011"/>
      <c r="M15" s="2011"/>
      <c r="N15" s="2011"/>
      <c r="O15" s="2011"/>
      <c r="P15" s="2011"/>
      <c r="Q15" s="2011"/>
      <c r="R15" s="2011"/>
      <c r="S15" s="2011"/>
      <c r="T15" s="2011"/>
      <c r="U15" s="2011"/>
      <c r="V15" s="2011"/>
    </row>
    <row r="16" spans="1:22" ht="14.25">
      <c r="A16" s="3342"/>
      <c r="B16" s="3343"/>
      <c r="C16" s="3353"/>
      <c r="D16" s="3354"/>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4</v>
      </c>
      <c r="D17" s="265">
        <f>SUM(D5:D16)</f>
        <v>6</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0.4</v>
      </c>
      <c r="D18" s="267">
        <f>1-C18</f>
        <v>0.6</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13793</v>
      </c>
      <c r="D19" s="271">
        <f ca="1">SUMIF(INDIRECT("'"&amp;D4&amp;"'"&amp;"!A:A"),结果表!B19,INDIRECT("'"&amp;D4&amp;"'"&amp;"!B:B"))</f>
        <v>27738</v>
      </c>
      <c r="E19" s="268" t="s">
        <v>323</v>
      </c>
      <c r="F19" s="269" t="s">
        <v>322</v>
      </c>
      <c r="G19" s="272">
        <f ca="1">ROUND(C19*$C$18+D19*$D$18,0)</f>
        <v>22160</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1232</v>
      </c>
      <c r="D20" s="277">
        <f ca="1">SUMIF(INDIRECT("'"&amp;D4&amp;"'"&amp;"!A:A"),结果表!B20,INDIRECT("'"&amp;D4&amp;"'"&amp;"!B:B"))</f>
        <v>2478</v>
      </c>
      <c r="E20" s="274"/>
      <c r="F20" s="275" t="s">
        <v>325</v>
      </c>
      <c r="G20" s="278">
        <f ca="1">ROUND(C20*$C$18+D20*$D$18,0)</f>
        <v>1980</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2587</v>
      </c>
      <c r="D21" s="151">
        <f ca="1">SUMIF(INDIRECT("'"&amp;D4&amp;"'"&amp;"!A:A"),结果表!B21,INDIRECT("'"&amp;D4&amp;"'"&amp;"!B:B"))</f>
        <v>5203</v>
      </c>
      <c r="E21" s="274"/>
      <c r="F21" s="280" t="s">
        <v>327</v>
      </c>
      <c r="G21" s="282">
        <f ca="1">ROUND(C21*$C$18+D21*$D$18,0)</f>
        <v>4157</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1.0110200826506199</v>
      </c>
      <c r="E22" s="284"/>
      <c r="F22" s="285"/>
      <c r="G22" s="286">
        <f ca="1">ROUND(G19/('数据-汇总表'!D3/666.67),0)</f>
        <v>277</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15"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57"/>
      <c r="B25" s="1316" t="s">
        <v>331</v>
      </c>
      <c r="C25" s="290">
        <f>IF(B30=0,0,C30)</f>
        <v>0</v>
      </c>
      <c r="D25" s="291"/>
      <c r="E25" s="311"/>
      <c r="F25" s="311"/>
      <c r="G25" s="311"/>
      <c r="H25" s="311"/>
      <c r="I25" s="311"/>
      <c r="J25" s="2011"/>
      <c r="K25" s="1250" t="str">
        <f ca="1">项目基本情况!B16&amp;"国有建设用地使用权价格："&amp;O38&amp;"万元"</f>
        <v>出让国有建设用地使用权价格：22160万元</v>
      </c>
      <c r="L25" s="1251"/>
      <c r="M25" s="1251"/>
      <c r="N25" s="1251"/>
      <c r="O25" s="1252"/>
      <c r="P25" s="2011"/>
      <c r="Q25" s="2011"/>
      <c r="R25" s="2011"/>
      <c r="S25" s="2011"/>
      <c r="T25" s="2011"/>
      <c r="U25" s="2011"/>
      <c r="V25" s="2011"/>
    </row>
    <row r="26" spans="1:26" s="1249" customFormat="1" ht="18">
      <c r="A26" s="293" t="s">
        <v>332</v>
      </c>
      <c r="B26" s="294" t="s">
        <v>333</v>
      </c>
      <c r="C26" s="294" t="s">
        <v>334</v>
      </c>
      <c r="D26" s="295" t="s">
        <v>335</v>
      </c>
      <c r="E26" s="311"/>
      <c r="F26" s="311"/>
      <c r="G26" s="311"/>
      <c r="H26" s="311"/>
      <c r="I26" s="311"/>
      <c r="J26" s="2011"/>
      <c r="K26" s="1253" t="str">
        <f ca="1">"大写金额：人民币"&amp;NUMBERSTRING(INT(O38*10000),2)&amp;"元整"</f>
        <v>大写金额：人民币贰亿贰仟壹佰陆拾万元整</v>
      </c>
      <c r="L26" s="1247"/>
      <c r="M26" s="1247"/>
      <c r="N26" s="1247"/>
      <c r="O26" s="1246"/>
      <c r="P26" s="2011"/>
      <c r="Q26" s="2011"/>
      <c r="R26" s="2011"/>
      <c r="S26" s="2011"/>
      <c r="T26" s="2011"/>
      <c r="U26" s="2011"/>
      <c r="V26" s="2011"/>
      <c r="W26" s="292"/>
      <c r="X26" s="292"/>
      <c r="Y26" s="292"/>
      <c r="Z26" s="292"/>
    </row>
    <row r="27" spans="1:26" ht="18">
      <c r="A27" s="293"/>
      <c r="B27" s="294"/>
      <c r="C27" s="294"/>
      <c r="D27" s="295"/>
      <c r="E27" s="311"/>
      <c r="F27" s="311"/>
      <c r="G27" s="311"/>
      <c r="H27" s="311"/>
      <c r="I27" s="311"/>
      <c r="J27" s="2011"/>
      <c r="K27" s="1253" t="str">
        <f ca="1">"单位面积地价："&amp;M38&amp;"元/平方米"</f>
        <v>单位面积地价：4157元/平方米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楼面地价：1979元/平方米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抵押价格：22160万元</v>
      </c>
      <c r="L29" s="1247"/>
      <c r="M29" s="1247"/>
      <c r="N29" s="1247"/>
      <c r="O29" s="1246"/>
      <c r="P29" s="2011"/>
      <c r="V29" s="2011"/>
    </row>
    <row r="30" spans="1:26" ht="18.75" thickBot="1">
      <c r="A30" s="3078" t="s">
        <v>336</v>
      </c>
      <c r="B30" s="309"/>
      <c r="C30" s="309"/>
      <c r="D30" s="310"/>
      <c r="E30" s="3079" t="s">
        <v>2956</v>
      </c>
      <c r="F30" s="311"/>
      <c r="G30" s="311"/>
      <c r="H30" s="311"/>
      <c r="I30" s="311"/>
      <c r="J30" s="2011"/>
      <c r="K30" s="1253" t="str">
        <f ca="1">IF(K29="——","——","大写金额：人民币"&amp;NUMBERSTRING(INT(O39*10000),2)&amp;"元整")</f>
        <v>大写金额：人民币贰亿贰仟壹佰陆拾万元整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337</v>
      </c>
      <c r="B32" s="1375" t="s">
        <v>1688</v>
      </c>
      <c r="C32" s="1376">
        <f ca="1">G19-C24</f>
        <v>22160</v>
      </c>
      <c r="D32" s="1377" t="s">
        <v>1689</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340</v>
      </c>
      <c r="B33" s="1378" t="s">
        <v>1690</v>
      </c>
      <c r="C33" s="264">
        <f ca="1">ROUND(C32*10000/'数据-汇总表'!E3,0)</f>
        <v>1979</v>
      </c>
      <c r="D33" s="1379" t="s">
        <v>1691</v>
      </c>
      <c r="E33" s="3315" t="s">
        <v>338</v>
      </c>
      <c r="F33" s="296" t="s">
        <v>339</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0" t="s">
        <v>1692</v>
      </c>
      <c r="C34" s="264">
        <f ca="1">ROUND(C32*10000/'数据-汇总表'!D3,0)</f>
        <v>4157</v>
      </c>
      <c r="D34" s="1381" t="s">
        <v>1691</v>
      </c>
      <c r="E34" s="3316"/>
      <c r="F34" s="127" t="s">
        <v>341</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2"/>
      <c r="C35" s="1383">
        <f ca="1">ROUND(C32/('数据-汇总表'!D3/666.67),0)</f>
        <v>277</v>
      </c>
      <c r="D35" s="1384" t="s">
        <v>1693</v>
      </c>
      <c r="E35" s="3317"/>
      <c r="F35" s="301" t="s">
        <v>342</v>
      </c>
      <c r="G35" s="981"/>
      <c r="H35" s="980" t="s">
        <v>343</v>
      </c>
      <c r="I35" s="311"/>
      <c r="J35" s="2011"/>
      <c r="K35" s="3321" t="s">
        <v>350</v>
      </c>
      <c r="L35" s="3321" t="s">
        <v>351</v>
      </c>
      <c r="M35" s="1259" t="s">
        <v>352</v>
      </c>
      <c r="N35" s="3321" t="s">
        <v>353</v>
      </c>
      <c r="O35" s="3321" t="s">
        <v>354</v>
      </c>
      <c r="P35" s="2011"/>
      <c r="V35" s="2011"/>
    </row>
    <row r="36" spans="1:26" ht="16.5" customHeight="1">
      <c r="A36" s="303" t="s">
        <v>344</v>
      </c>
      <c r="B36" s="304" t="s">
        <v>333</v>
      </c>
      <c r="C36" s="305" t="s">
        <v>345</v>
      </c>
      <c r="D36" s="305" t="s">
        <v>346</v>
      </c>
      <c r="E36" s="306" t="s">
        <v>347</v>
      </c>
      <c r="F36" s="311"/>
      <c r="G36" s="311"/>
      <c r="H36" s="311"/>
      <c r="I36" s="311"/>
      <c r="J36" s="2013"/>
      <c r="K36" s="3322"/>
      <c r="L36" s="3322"/>
      <c r="M36" s="1261" t="s">
        <v>355</v>
      </c>
      <c r="N36" s="3322"/>
      <c r="O36" s="3322"/>
      <c r="P36" s="2011"/>
      <c r="V36" s="2011"/>
    </row>
    <row r="37" spans="1:26" ht="16.5" customHeight="1" thickBot="1">
      <c r="A37" s="1255" t="s">
        <v>348</v>
      </c>
      <c r="B37" s="307"/>
      <c r="C37" s="294"/>
      <c r="D37" s="294"/>
      <c r="E37" s="295"/>
      <c r="F37" s="311"/>
      <c r="G37" s="311"/>
      <c r="H37" s="311"/>
      <c r="I37" s="311"/>
      <c r="J37" s="2013"/>
      <c r="K37" s="3323"/>
      <c r="L37" s="3323"/>
      <c r="M37" s="1262"/>
      <c r="N37" s="3323"/>
      <c r="O37" s="3323"/>
      <c r="P37" s="2011"/>
      <c r="V37" s="2011"/>
    </row>
    <row r="38" spans="1:26" ht="16.5" customHeight="1" thickBot="1">
      <c r="A38" s="1255" t="s">
        <v>349</v>
      </c>
      <c r="B38" s="307"/>
      <c r="C38" s="294"/>
      <c r="D38" s="294"/>
      <c r="E38" s="295"/>
      <c r="F38" s="311"/>
      <c r="G38" s="311"/>
      <c r="H38" s="311"/>
      <c r="I38" s="311"/>
      <c r="J38" s="2013"/>
      <c r="K38" s="1263">
        <f>'数据-汇总表'!D3</f>
        <v>53313</v>
      </c>
      <c r="L38" s="1264">
        <f>'数据-汇总表'!E3</f>
        <v>111957.3</v>
      </c>
      <c r="M38" s="1264">
        <f ca="1">C34</f>
        <v>4157</v>
      </c>
      <c r="N38" s="1264">
        <f ca="1">C33</f>
        <v>1979</v>
      </c>
      <c r="O38" s="1265">
        <f ca="1">C32</f>
        <v>22160</v>
      </c>
      <c r="P38" s="2011"/>
      <c r="V38" s="2011"/>
    </row>
    <row r="39" spans="1:26" ht="16.5" customHeight="1" thickBot="1">
      <c r="A39" s="1260"/>
      <c r="B39" s="308"/>
      <c r="C39" s="309"/>
      <c r="D39" s="309"/>
      <c r="E39" s="310"/>
      <c r="F39" s="311"/>
      <c r="G39" s="311"/>
      <c r="H39" s="311"/>
      <c r="I39" s="311"/>
      <c r="J39" s="2013"/>
      <c r="K39" s="3298" t="str">
        <f>MID(A44,3,LEN(A44)-2)</f>
        <v>抵押价格</v>
      </c>
      <c r="L39" s="3299"/>
      <c r="M39" s="3299"/>
      <c r="N39" s="3300"/>
      <c r="O39" s="1386">
        <f ca="1">C44</f>
        <v>22160</v>
      </c>
      <c r="P39" s="2011"/>
      <c r="V39" s="2011"/>
    </row>
    <row r="40" spans="1:26" ht="19.5" thickBot="1">
      <c r="A40" s="104" t="s">
        <v>873</v>
      </c>
      <c r="B40" s="311"/>
      <c r="C40" s="311"/>
      <c r="D40" s="311"/>
      <c r="E40" s="311"/>
      <c r="F40" s="311"/>
      <c r="G40" s="311"/>
      <c r="H40" s="311"/>
      <c r="I40" s="311"/>
      <c r="J40" s="2013"/>
      <c r="K40" s="3298" t="str">
        <f t="shared" ref="K40:K41" si="0">MID(A45,3,LEN(A45)-2)</f>
        <v/>
      </c>
      <c r="L40" s="3299"/>
      <c r="M40" s="3299"/>
      <c r="N40" s="3300"/>
      <c r="O40" s="1386" t="str">
        <f>C45</f>
        <v>——</v>
      </c>
      <c r="P40" s="2011"/>
      <c r="V40" s="2011"/>
    </row>
    <row r="41" spans="1:26" ht="16.5" thickBot="1">
      <c r="A41" s="312" t="s">
        <v>356</v>
      </c>
      <c r="B41" s="313"/>
      <c r="C41" s="314" t="s">
        <v>357</v>
      </c>
      <c r="D41" s="315" t="s">
        <v>358</v>
      </c>
      <c r="E41" s="315" t="s">
        <v>359</v>
      </c>
      <c r="F41" s="316" t="s">
        <v>360</v>
      </c>
      <c r="G41" s="311"/>
      <c r="H41" s="311"/>
      <c r="I41" s="311"/>
      <c r="J41" s="2013"/>
      <c r="K41" s="3298" t="str">
        <f t="shared" si="0"/>
        <v/>
      </c>
      <c r="L41" s="3299"/>
      <c r="M41" s="3299"/>
      <c r="N41" s="3300"/>
      <c r="O41" s="1386" t="str">
        <f>C46</f>
        <v>——</v>
      </c>
      <c r="P41" s="2011"/>
      <c r="V41" s="2011"/>
    </row>
    <row r="42" spans="1:26" ht="29.25">
      <c r="A42" s="3358" t="s">
        <v>2065</v>
      </c>
      <c r="B42" s="3359"/>
      <c r="C42" s="264">
        <f ca="1">C32</f>
        <v>22160</v>
      </c>
      <c r="D42" s="317">
        <f ca="1">C33</f>
        <v>1979</v>
      </c>
      <c r="E42" s="317">
        <f ca="1">C34</f>
        <v>4157</v>
      </c>
      <c r="F42" s="318">
        <f ca="1">C35</f>
        <v>277</v>
      </c>
      <c r="G42" s="311"/>
      <c r="H42" s="311"/>
      <c r="I42" s="319"/>
      <c r="J42" s="2013"/>
      <c r="K42" s="1266" t="s">
        <v>361</v>
      </c>
      <c r="L42" s="2030" t="s">
        <v>362</v>
      </c>
      <c r="M42" s="1267" t="s">
        <v>363</v>
      </c>
      <c r="N42" s="2031" t="s">
        <v>364</v>
      </c>
      <c r="O42" s="2032" t="s">
        <v>365</v>
      </c>
      <c r="P42" s="2011"/>
      <c r="V42" s="2011"/>
    </row>
    <row r="43" spans="1:26" ht="30">
      <c r="A43" s="3368" t="s">
        <v>2727</v>
      </c>
      <c r="B43" s="3369"/>
      <c r="C43" s="264">
        <f>IF(H33="正常操作",G33+G34+G35,G34+G35)</f>
        <v>0</v>
      </c>
      <c r="D43" s="317" t="s">
        <v>43</v>
      </c>
      <c r="E43" s="317" t="s">
        <v>44</v>
      </c>
      <c r="F43" s="318" t="s">
        <v>44</v>
      </c>
      <c r="G43" s="2819" t="s">
        <v>952</v>
      </c>
      <c r="H43" s="311"/>
      <c r="I43" s="319"/>
      <c r="J43" s="2013"/>
      <c r="K43" s="1268" t="str">
        <f>C4</f>
        <v>比较法-住宅、综合</v>
      </c>
      <c r="L43" s="1269">
        <f ca="1">IF(L42="估价结果/万元",C19,C20)</f>
        <v>13793</v>
      </c>
      <c r="M43" s="1270">
        <f>C18</f>
        <v>0.4</v>
      </c>
      <c r="N43" s="1271">
        <f ca="1">IF(N42="测算结果/万元",G19,G20)</f>
        <v>22160</v>
      </c>
      <c r="O43" s="1272">
        <f ca="1">IF(O42="最终结果/万元",C32,C33)</f>
        <v>22160</v>
      </c>
      <c r="P43" s="2011"/>
      <c r="V43" s="2011"/>
    </row>
    <row r="44" spans="1:26" ht="30.75" thickBot="1">
      <c r="A44" s="3358" t="str">
        <f>IF(OR(项目基本情况!E8="抵押价格",项目基本情况!E8="已注销及未注销"),"3.抵押价格","——")</f>
        <v>3.抵押价格</v>
      </c>
      <c r="B44" s="3359"/>
      <c r="C44" s="264">
        <f ca="1">IF(A44="——","——",C42-C43)</f>
        <v>22160</v>
      </c>
      <c r="D44" s="317">
        <f ca="1">ROUND(C44*10000/'数据-汇总表'!E3,0)</f>
        <v>1979</v>
      </c>
      <c r="E44" s="317">
        <f ca="1">ROUND(C44*10000/'数据-汇总表'!D3,0)</f>
        <v>4157</v>
      </c>
      <c r="F44" s="318">
        <f ca="1">ROUND(C44/('数据-汇总表'!D3/666.67),0)</f>
        <v>277</v>
      </c>
      <c r="G44" s="311"/>
      <c r="H44" s="311"/>
      <c r="I44" s="319"/>
      <c r="J44" s="2013"/>
      <c r="K44" s="1273" t="str">
        <f>D4</f>
        <v>剩余法-待开发</v>
      </c>
      <c r="L44" s="1274">
        <f ca="1">IF(L42="估价结果/万元",D19,D20)</f>
        <v>27738</v>
      </c>
      <c r="M44" s="1275">
        <f>D18</f>
        <v>0.6</v>
      </c>
      <c r="N44" s="1276"/>
      <c r="O44" s="1277"/>
      <c r="P44" s="2011"/>
      <c r="V44" s="2011"/>
    </row>
    <row r="45" spans="1:26" ht="15">
      <c r="A45" s="3363" t="str">
        <f>IF(项目基本情况!E8="已注销及未注销","4.抵押担保权已注销时的抵押价格",IF(项目基本情况!E8="已注销","3.抵押担保权已注销时的抵押价格","——"))</f>
        <v>——</v>
      </c>
      <c r="B45" s="3364"/>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26" t="s">
        <v>374</v>
      </c>
      <c r="B63" s="3327"/>
      <c r="C63" s="3328"/>
      <c r="D63" s="341">
        <f ca="1">ROUND(C42*F63,0)</f>
        <v>22160</v>
      </c>
      <c r="E63" s="302" t="s">
        <v>375</v>
      </c>
      <c r="F63" s="342">
        <v>1</v>
      </c>
      <c r="G63" s="343" t="s">
        <v>376</v>
      </c>
      <c r="H63" s="311"/>
      <c r="I63" s="311"/>
      <c r="J63" s="2011"/>
      <c r="K63" s="2011"/>
      <c r="L63" s="2011"/>
      <c r="M63" s="2011"/>
      <c r="N63" s="2011"/>
      <c r="O63" s="2011"/>
      <c r="P63" s="311"/>
      <c r="Q63" s="2011"/>
      <c r="R63" s="2011"/>
      <c r="S63" s="2011"/>
      <c r="T63" s="2011"/>
      <c r="U63" s="2011"/>
      <c r="V63" s="2011"/>
    </row>
    <row r="64" spans="1:22" ht="14.25" customHeight="1">
      <c r="A64" s="3365" t="s">
        <v>378</v>
      </c>
      <c r="B64" s="3366"/>
      <c r="C64" s="3366"/>
      <c r="D64" s="3366"/>
      <c r="E64" s="3366"/>
      <c r="F64" s="3366"/>
      <c r="G64" s="3367"/>
      <c r="H64" s="1283"/>
      <c r="I64" s="947"/>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7"/>
      <c r="J65" s="1973"/>
      <c r="K65" s="1284"/>
      <c r="L65" s="1285"/>
      <c r="M65" s="1285"/>
      <c r="N65" s="1317" t="s">
        <v>379</v>
      </c>
      <c r="O65" s="1318"/>
      <c r="P65" s="1319"/>
      <c r="Q65" s="2011"/>
      <c r="R65" s="2011"/>
      <c r="S65" s="2011"/>
      <c r="T65" s="2011"/>
      <c r="U65" s="2011"/>
      <c r="V65" s="2011"/>
    </row>
    <row r="66" spans="1:22" ht="25.5">
      <c r="A66" s="3362" t="s">
        <v>386</v>
      </c>
      <c r="B66" s="3333"/>
      <c r="C66" s="3333"/>
      <c r="D66" s="261">
        <f ca="1">IF(H66="情况1",0,IF(H66="情况2",D70,IF(H66="情况3",D71,IF(H66="情况4",D72))))</f>
        <v>1182</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302" t="s">
        <v>385</v>
      </c>
      <c r="M66" s="3303"/>
      <c r="N66" s="2420"/>
      <c r="O66" s="2421"/>
      <c r="P66" s="2422"/>
      <c r="Q66" s="2011"/>
      <c r="R66" s="2011"/>
      <c r="S66" s="2011"/>
      <c r="T66" s="2011"/>
      <c r="U66" s="2011"/>
      <c r="V66" s="2011"/>
    </row>
    <row r="67" spans="1:22" ht="25.5" customHeight="1">
      <c r="A67" s="352" t="s">
        <v>390</v>
      </c>
      <c r="B67" s="3345" t="s">
        <v>391</v>
      </c>
      <c r="C67" s="3345"/>
      <c r="D67" s="353">
        <v>0</v>
      </c>
      <c r="E67" s="41" t="s">
        <v>392</v>
      </c>
      <c r="F67" s="62" t="s">
        <v>21</v>
      </c>
      <c r="G67" s="3329"/>
      <c r="H67" s="311"/>
      <c r="I67" s="1287"/>
      <c r="J67" s="2018"/>
      <c r="K67" s="1959">
        <v>2</v>
      </c>
      <c r="L67" s="3301" t="s">
        <v>389</v>
      </c>
      <c r="M67" s="3301"/>
      <c r="N67" s="1320">
        <f>'数据-取费表'!B2</f>
        <v>43972</v>
      </c>
      <c r="O67" s="1320"/>
      <c r="P67" s="1320"/>
      <c r="Q67" s="2011"/>
      <c r="R67" s="2011"/>
      <c r="S67" s="2011"/>
      <c r="T67" s="2011"/>
      <c r="U67" s="2011"/>
      <c r="V67" s="2011"/>
    </row>
    <row r="68" spans="1:22" ht="25.5" customHeight="1">
      <c r="A68" s="354"/>
      <c r="B68" s="3345" t="s">
        <v>394</v>
      </c>
      <c r="C68" s="3345"/>
      <c r="D68" s="355"/>
      <c r="E68" s="77"/>
      <c r="F68" s="356"/>
      <c r="G68" s="3330"/>
      <c r="H68" s="311"/>
      <c r="I68" s="1287"/>
      <c r="J68" s="2018"/>
      <c r="K68" s="1959">
        <v>3</v>
      </c>
      <c r="L68" s="3301" t="s">
        <v>393</v>
      </c>
      <c r="M68" s="3301"/>
      <c r="N68" s="1288">
        <f ca="1">C42</f>
        <v>22160</v>
      </c>
      <c r="O68" s="1288"/>
      <c r="P68" s="1288"/>
      <c r="Q68" s="2011"/>
      <c r="R68" s="2011"/>
      <c r="S68" s="2011"/>
      <c r="T68" s="2011"/>
      <c r="U68" s="2011"/>
      <c r="V68" s="2011"/>
    </row>
    <row r="69" spans="1:22" ht="12" customHeight="1">
      <c r="A69" s="357"/>
      <c r="B69" s="3345" t="s">
        <v>395</v>
      </c>
      <c r="C69" s="3345"/>
      <c r="D69" s="358"/>
      <c r="E69" s="73"/>
      <c r="F69" s="356"/>
      <c r="G69" s="3331"/>
      <c r="H69" s="311"/>
      <c r="I69" s="1287"/>
      <c r="J69" s="2018"/>
      <c r="K69" s="1289">
        <v>4</v>
      </c>
      <c r="L69" s="3307" t="s">
        <v>2880</v>
      </c>
      <c r="M69" s="3308"/>
      <c r="N69" s="1290">
        <f ca="1">C44</f>
        <v>22160</v>
      </c>
      <c r="O69" s="1290"/>
      <c r="P69" s="1290"/>
      <c r="Q69" s="2011"/>
      <c r="R69" s="2011"/>
      <c r="S69" s="2011"/>
      <c r="T69" s="2011"/>
      <c r="U69" s="2011"/>
      <c r="V69" s="2011"/>
    </row>
    <row r="70" spans="1:22" ht="24" customHeight="1">
      <c r="A70" s="359" t="s">
        <v>396</v>
      </c>
      <c r="B70" s="3345" t="s">
        <v>397</v>
      </c>
      <c r="C70" s="3345"/>
      <c r="D70" s="358">
        <f ca="1">ROUND(D63*'数据-取费表'!B41/(1+'数据-取费表'!C42),0)</f>
        <v>1182</v>
      </c>
      <c r="E70" s="17" t="s">
        <v>398</v>
      </c>
      <c r="F70" s="360">
        <f>'数据-取费表'!B41</f>
        <v>5.6000000000000001E-2</v>
      </c>
      <c r="G70" s="361"/>
      <c r="H70" s="311"/>
      <c r="I70" s="1287"/>
      <c r="J70" s="2018"/>
      <c r="K70" s="3010"/>
      <c r="L70" s="3011"/>
      <c r="M70" s="3011"/>
      <c r="N70" s="3012" t="s">
        <v>2885</v>
      </c>
      <c r="O70" s="3011"/>
      <c r="P70" s="3013"/>
      <c r="Q70" s="2011"/>
      <c r="R70" s="2011"/>
      <c r="S70" s="2011"/>
      <c r="T70" s="2011"/>
      <c r="U70" s="2011"/>
      <c r="V70" s="2011"/>
    </row>
    <row r="71" spans="1:22" ht="12" customHeight="1">
      <c r="A71" s="359" t="s">
        <v>404</v>
      </c>
      <c r="B71" s="3344" t="s">
        <v>405</v>
      </c>
      <c r="C71" s="3356"/>
      <c r="D71" s="358">
        <f ca="1">ROUND(D63*'数据-取费表'!B41/(1+'数据-取费表'!C42),0)</f>
        <v>1182</v>
      </c>
      <c r="E71" s="17" t="s">
        <v>398</v>
      </c>
      <c r="F71" s="360">
        <f>'数据-取费表'!B41</f>
        <v>5.6000000000000001E-2</v>
      </c>
      <c r="G71" s="361"/>
      <c r="H71" s="311"/>
      <c r="I71" s="1287"/>
      <c r="J71" s="2018"/>
      <c r="K71" s="3009" t="s">
        <v>399</v>
      </c>
      <c r="L71" s="3309" t="s">
        <v>400</v>
      </c>
      <c r="M71" s="3309"/>
      <c r="N71" s="3009" t="s">
        <v>401</v>
      </c>
      <c r="O71" s="3009" t="s">
        <v>402</v>
      </c>
      <c r="P71" s="3009" t="s">
        <v>403</v>
      </c>
      <c r="Q71" s="2011"/>
      <c r="R71" s="2011"/>
      <c r="S71" s="2011"/>
      <c r="T71" s="2011"/>
      <c r="U71" s="2011"/>
      <c r="V71" s="2011"/>
    </row>
    <row r="72" spans="1:22" ht="12" customHeight="1">
      <c r="A72" s="359" t="s">
        <v>407</v>
      </c>
      <c r="B72" s="3344" t="s">
        <v>408</v>
      </c>
      <c r="C72" s="3356"/>
      <c r="D72" s="358">
        <f ca="1">C86</f>
        <v>1070</v>
      </c>
      <c r="E72" s="73" t="s">
        <v>409</v>
      </c>
      <c r="F72" s="360">
        <f>'数据-取费表'!B41</f>
        <v>5.6000000000000001E-2</v>
      </c>
      <c r="G72" s="361"/>
      <c r="H72" s="1293"/>
      <c r="I72" s="1287"/>
      <c r="J72" s="2018"/>
      <c r="K72" s="1959">
        <v>1</v>
      </c>
      <c r="L72" s="3306" t="s">
        <v>406</v>
      </c>
      <c r="M72" s="3306"/>
      <c r="N72" s="1291">
        <f ca="1">D66</f>
        <v>1182</v>
      </c>
      <c r="O72" s="1842" t="str">
        <f>E66</f>
        <v>销售额×税（费）率</v>
      </c>
      <c r="P72" s="1292">
        <f>F66</f>
        <v>5.6000000000000001E-2</v>
      </c>
      <c r="Q72" s="2011"/>
      <c r="R72" s="2011"/>
      <c r="S72" s="2011"/>
      <c r="T72" s="2011"/>
      <c r="U72" s="2011"/>
      <c r="V72" s="2011"/>
    </row>
    <row r="73" spans="1:22" ht="24" customHeight="1">
      <c r="A73" s="3332" t="s">
        <v>411</v>
      </c>
      <c r="B73" s="3333"/>
      <c r="C73" s="3333"/>
      <c r="D73" s="362">
        <f>IF(H73="个人住宅",0,ROUND(D63*I73,0))</f>
        <v>0</v>
      </c>
      <c r="E73" s="17" t="s">
        <v>412</v>
      </c>
      <c r="F73" s="360" t="str">
        <f>IF(H73="正常",I73,"免征")</f>
        <v>免征</v>
      </c>
      <c r="G73" s="361"/>
      <c r="H73" s="191" t="s">
        <v>2453</v>
      </c>
      <c r="I73" s="360">
        <f>'数据-取费表'!B49</f>
        <v>5.0000000000000001E-4</v>
      </c>
      <c r="J73" s="2018"/>
      <c r="K73" s="1959">
        <v>2</v>
      </c>
      <c r="L73" s="3306" t="s">
        <v>410</v>
      </c>
      <c r="M73" s="3306"/>
      <c r="N73" s="1291">
        <f t="shared" ref="N73:P74" si="1">D73</f>
        <v>0</v>
      </c>
      <c r="O73" s="1842" t="str">
        <f t="shared" si="1"/>
        <v>销售额×税（费）率</v>
      </c>
      <c r="P73" s="1292" t="str">
        <f t="shared" si="1"/>
        <v>免征</v>
      </c>
      <c r="Q73" s="2011"/>
      <c r="R73" s="2011"/>
      <c r="S73" s="2011"/>
      <c r="T73" s="2011"/>
      <c r="U73" s="2011"/>
      <c r="V73" s="2011"/>
    </row>
    <row r="74" spans="1:22" ht="24.75">
      <c r="A74" s="3332" t="s">
        <v>415</v>
      </c>
      <c r="B74" s="3333"/>
      <c r="C74" s="3333"/>
      <c r="D74" s="362">
        <f ca="1">IF(H74="个人住宅",D75,D76)</f>
        <v>11882</v>
      </c>
      <c r="E74" s="17" t="s">
        <v>416</v>
      </c>
      <c r="F74" s="360" t="str">
        <f>IF(H74="正常",F76,"免征")</f>
        <v>——</v>
      </c>
      <c r="G74" s="982" t="s">
        <v>417</v>
      </c>
      <c r="H74" s="363" t="s">
        <v>413</v>
      </c>
      <c r="I74" s="42"/>
      <c r="J74" s="2018"/>
      <c r="K74" s="1959">
        <v>3</v>
      </c>
      <c r="L74" s="3306" t="s">
        <v>414</v>
      </c>
      <c r="M74" s="3306"/>
      <c r="N74" s="1291">
        <f t="shared" ca="1" si="1"/>
        <v>11882</v>
      </c>
      <c r="O74" s="1842" t="str">
        <f t="shared" si="1"/>
        <v>增值额×税（费）率</v>
      </c>
      <c r="P74" s="1294" t="str">
        <f t="shared" si="1"/>
        <v>——</v>
      </c>
      <c r="Q74" s="2011"/>
      <c r="R74" s="2011"/>
      <c r="S74" s="2011"/>
      <c r="T74" s="2011"/>
      <c r="U74" s="2011"/>
      <c r="V74" s="2011"/>
    </row>
    <row r="75" spans="1:22" ht="24">
      <c r="A75" s="359" t="s">
        <v>418</v>
      </c>
      <c r="B75" s="3313" t="s">
        <v>419</v>
      </c>
      <c r="C75" s="3314"/>
      <c r="D75" s="364">
        <v>0</v>
      </c>
      <c r="E75" s="41" t="s">
        <v>420</v>
      </c>
      <c r="F75" s="365"/>
      <c r="G75" s="361"/>
      <c r="H75" s="42"/>
      <c r="I75" s="42"/>
      <c r="J75" s="2018"/>
      <c r="K75" s="3002">
        <f>IF(H77="非个人房产","",4)</f>
        <v>4</v>
      </c>
      <c r="L75" s="3306" t="str">
        <f>IF(H77="非个人房产","——","个人所得税")</f>
        <v>个人所得税</v>
      </c>
      <c r="M75" s="3306"/>
      <c r="N75" s="1295">
        <f ca="1">D77</f>
        <v>222</v>
      </c>
      <c r="O75" s="1855" t="str">
        <f>E77</f>
        <v>销售额×税（费）率</v>
      </c>
      <c r="P75" s="1296">
        <f>F77</f>
        <v>0.01</v>
      </c>
      <c r="Q75" s="2011"/>
      <c r="R75" s="2011"/>
      <c r="S75" s="2011"/>
      <c r="T75" s="2011"/>
      <c r="U75" s="2011"/>
      <c r="V75" s="2011"/>
    </row>
    <row r="76" spans="1:22" ht="24.75">
      <c r="A76" s="359" t="s">
        <v>396</v>
      </c>
      <c r="B76" s="3313" t="s">
        <v>422</v>
      </c>
      <c r="C76" s="3355"/>
      <c r="D76" s="362">
        <f ca="1">IF(H76="转让取得",C99,C115)</f>
        <v>11882</v>
      </c>
      <c r="E76" s="17" t="s">
        <v>423</v>
      </c>
      <c r="F76" s="53" t="s">
        <v>21</v>
      </c>
      <c r="G76" s="361"/>
      <c r="H76" s="363" t="s">
        <v>424</v>
      </c>
      <c r="I76" s="42"/>
      <c r="J76" s="2018"/>
      <c r="K76" s="3002" t="str">
        <f>IF(项目基本情况!K6="上海银行",IF(K75="",4,K75+1),"")</f>
        <v/>
      </c>
      <c r="L76" s="3294" t="str">
        <f>IF(项目基本情况!K6="上海银行","其他处置费用","")</f>
        <v/>
      </c>
      <c r="M76" s="3295"/>
      <c r="N76" s="1291" t="str">
        <f>IF(项目基本情况!K6="上海银行",N89,"")</f>
        <v/>
      </c>
      <c r="O76" s="3296" t="str">
        <f>IF(项目基本情况!K6="上海银行","包含处置中涉及的律师、诉讼、拍卖、评估等费用","")</f>
        <v/>
      </c>
      <c r="P76" s="3297"/>
      <c r="Q76" s="2011"/>
      <c r="R76" s="2011"/>
      <c r="S76" s="2011"/>
      <c r="T76" s="2011"/>
      <c r="U76" s="2011"/>
      <c r="V76" s="2011"/>
    </row>
    <row r="77" spans="1:22" ht="26.25" thickBot="1">
      <c r="A77" s="3324" t="s">
        <v>426</v>
      </c>
      <c r="B77" s="3325"/>
      <c r="C77" s="3325"/>
      <c r="D77" s="366">
        <f ca="1">IF(H77="非个人房产","——",IF(H77="个人住宅",0,ROUND(D63*I77,0)))</f>
        <v>222</v>
      </c>
      <c r="E77" s="367" t="str">
        <f>IF(H77="非个人房产","——","销售额×税（费）率")</f>
        <v>销售额×税（费）率</v>
      </c>
      <c r="F77" s="368">
        <f>IF(H77="非个人房产","——",IF(H77="个人住宅","免征",I77))</f>
        <v>0.01</v>
      </c>
      <c r="G77" s="983" t="s">
        <v>417</v>
      </c>
      <c r="H77" s="363" t="s">
        <v>2881</v>
      </c>
      <c r="I77" s="369">
        <v>0.01</v>
      </c>
      <c r="J77" s="2018"/>
      <c r="K77" s="3320">
        <f>IF(AND(K75="",K76=""),4,IF(项目基本情况!K6="上海银行",K76+1,K75+1))</f>
        <v>5</v>
      </c>
      <c r="L77" s="3306" t="s">
        <v>2882</v>
      </c>
      <c r="M77" s="3008" t="s">
        <v>421</v>
      </c>
      <c r="N77" s="1297"/>
      <c r="O77" s="1298">
        <f ca="1">SUMIF(N72:N76,"&lt;9e307")</f>
        <v>13286</v>
      </c>
      <c r="P77" s="1299"/>
      <c r="Q77" s="3006">
        <f ca="1">O77/N69</f>
        <v>0.59954873646209383</v>
      </c>
      <c r="R77" s="2011"/>
      <c r="S77" s="2011"/>
      <c r="T77" s="2011"/>
      <c r="U77" s="2011"/>
      <c r="V77" s="2011"/>
    </row>
    <row r="78" spans="1:22" ht="12" customHeight="1">
      <c r="A78" s="1300"/>
      <c r="B78" s="311"/>
      <c r="C78" s="311"/>
      <c r="D78" s="311"/>
      <c r="E78" s="42"/>
      <c r="F78" s="42"/>
      <c r="G78" s="42"/>
      <c r="H78" s="1002"/>
      <c r="I78" s="311"/>
      <c r="J78" s="2018"/>
      <c r="K78" s="3320"/>
      <c r="L78" s="3306"/>
      <c r="M78" s="3008" t="s">
        <v>425</v>
      </c>
      <c r="N78" s="1297"/>
      <c r="O78" s="1298" t="str">
        <f ca="1">NUMBERSTRING(INT(O77*10000),2)&amp;"元整"</f>
        <v>壹亿叁仟贰佰捌拾陆万元整</v>
      </c>
      <c r="P78" s="1299"/>
      <c r="Q78" s="2011"/>
      <c r="R78" s="2011"/>
      <c r="S78" s="2011"/>
      <c r="T78" s="2011"/>
      <c r="U78" s="2011"/>
      <c r="V78" s="2011"/>
    </row>
    <row r="79" spans="1:22" ht="13.5" thickBot="1">
      <c r="A79" s="3310" t="s">
        <v>427</v>
      </c>
      <c r="B79" s="3310"/>
      <c r="C79" s="3310"/>
      <c r="D79" s="3310"/>
      <c r="E79" s="3310"/>
      <c r="F79" s="42"/>
      <c r="G79" s="42"/>
      <c r="H79" s="1002"/>
      <c r="I79" s="311"/>
      <c r="J79" s="2018"/>
      <c r="K79" s="3304">
        <f>K77+1</f>
        <v>6</v>
      </c>
      <c r="L79" s="3306" t="s">
        <v>2883</v>
      </c>
      <c r="M79" s="3008" t="s">
        <v>421</v>
      </c>
      <c r="N79" s="1297"/>
      <c r="O79" s="1298">
        <f ca="1">N69-O77</f>
        <v>8874</v>
      </c>
      <c r="P79" s="1299"/>
      <c r="Q79" s="2011"/>
      <c r="R79" s="2011"/>
      <c r="S79" s="2011"/>
      <c r="T79" s="2011"/>
      <c r="U79" s="2011"/>
      <c r="V79" s="2011"/>
    </row>
    <row r="80" spans="1:22" ht="25.5">
      <c r="A80" s="3311" t="s">
        <v>428</v>
      </c>
      <c r="B80" s="3312"/>
      <c r="C80" s="993"/>
      <c r="D80" s="993" t="s">
        <v>429</v>
      </c>
      <c r="E80" s="370" t="s">
        <v>430</v>
      </c>
      <c r="F80" s="42"/>
      <c r="G80" s="42"/>
      <c r="H80" s="1002"/>
      <c r="I80" s="311"/>
      <c r="J80" s="2011"/>
      <c r="K80" s="3305"/>
      <c r="L80" s="3306"/>
      <c r="M80" s="3008" t="s">
        <v>425</v>
      </c>
      <c r="N80" s="1297"/>
      <c r="O80" s="1298" t="str">
        <f ca="1">NUMBERSTRING(INT(O79*10000),2)&amp;"元整"</f>
        <v>捌仟捌佰柒拾肆万元整</v>
      </c>
      <c r="P80" s="1299"/>
      <c r="Q80" s="2011"/>
      <c r="R80" s="2011"/>
      <c r="S80" s="2011"/>
      <c r="T80" s="2011"/>
      <c r="U80" s="2011"/>
      <c r="V80" s="2011"/>
    </row>
    <row r="81" spans="1:26" ht="13.5" thickBot="1">
      <c r="A81" s="381" t="s">
        <v>1823</v>
      </c>
      <c r="B81" s="371" t="s">
        <v>431</v>
      </c>
      <c r="C81" s="372">
        <f ca="1">ROUND((C82+C83)/(1+'数据-取费表'!C42),0)</f>
        <v>21105</v>
      </c>
      <c r="D81" s="373"/>
      <c r="E81" s="374"/>
      <c r="F81" s="42"/>
      <c r="G81" s="42"/>
      <c r="H81" s="1002"/>
      <c r="I81" s="311"/>
      <c r="J81" s="2011"/>
      <c r="K81" s="3002">
        <f>K79+1</f>
        <v>7</v>
      </c>
      <c r="L81" s="3318" t="s">
        <v>2884</v>
      </c>
      <c r="M81" s="3319"/>
      <c r="N81" s="1301"/>
      <c r="O81" s="1302">
        <f ca="1">ROUND(O79*10000/'数据-汇总表'!E3,0)</f>
        <v>793</v>
      </c>
      <c r="P81" s="1303"/>
      <c r="Q81" s="2011"/>
      <c r="R81" s="2011"/>
      <c r="S81" s="2011"/>
      <c r="T81" s="2011"/>
      <c r="U81" s="2011"/>
      <c r="V81" s="2011"/>
    </row>
    <row r="82" spans="1:26" ht="13.5" thickTop="1">
      <c r="A82" s="375" t="s">
        <v>1824</v>
      </c>
      <c r="B82" s="376" t="s">
        <v>432</v>
      </c>
      <c r="C82" s="377">
        <f ca="1">D63</f>
        <v>22160</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1825</v>
      </c>
      <c r="B83" s="376" t="s">
        <v>433</v>
      </c>
      <c r="C83" s="380">
        <v>0</v>
      </c>
      <c r="D83" s="378"/>
      <c r="E83" s="379"/>
      <c r="F83" s="42"/>
      <c r="G83" s="42"/>
      <c r="H83" s="1002"/>
      <c r="I83" s="311"/>
      <c r="J83" s="2011"/>
      <c r="K83" s="3293" t="s">
        <v>2871</v>
      </c>
      <c r="L83" s="3014" t="s">
        <v>2872</v>
      </c>
      <c r="M83" s="3004">
        <f ca="1">IF(N69&gt;10000,N69*0.5%,IF(AND(N69&gt;1000,N69&lt;=10000),N69*1%,IF(AND(N69&gt;100,N69&lt;=1000),N69*3%,IF(AND(N69&gt;10,N69&lt;=100),N69*5%,N69*8%))))</f>
        <v>110.8</v>
      </c>
      <c r="N83" s="53">
        <f ca="1">ROUND(M83,1)</f>
        <v>110.8</v>
      </c>
      <c r="O83" s="3007"/>
      <c r="P83" s="2011"/>
      <c r="Q83" s="2011"/>
      <c r="R83" s="2011"/>
      <c r="S83" s="2011"/>
      <c r="T83" s="2011"/>
      <c r="U83" s="2011"/>
      <c r="V83" s="2011"/>
    </row>
    <row r="84" spans="1:26" ht="12.75">
      <c r="A84" s="381" t="s">
        <v>1826</v>
      </c>
      <c r="B84" s="382" t="s">
        <v>434</v>
      </c>
      <c r="C84" s="383">
        <v>2000</v>
      </c>
      <c r="D84" s="384" t="s">
        <v>19</v>
      </c>
      <c r="E84" s="3049" t="s">
        <v>2929</v>
      </c>
      <c r="F84" s="42"/>
      <c r="G84" s="42"/>
      <c r="H84" s="1002"/>
      <c r="I84" s="311"/>
      <c r="J84" s="2011"/>
      <c r="K84" s="3293"/>
      <c r="L84" s="3014" t="s">
        <v>2873</v>
      </c>
      <c r="M84" s="3004">
        <f ca="1">IF(N69&gt;2000,N69*0.5%,IF(AND(N69&gt;1000,N69&lt;=2000),N69*0.6%,IF(AND(N69&gt;500,N69&lt;=1000),N69*0.7%,IF(AND(N69&gt;200,N69&lt;=500),N69*0.8%,IF(AND(N69&gt;100,N69&lt;=200),N69*0.9%,IF(AND(N69&gt;50,N69&lt;=100),N69*1%,IF(AND(N69&gt;20,N69&lt;=50),N69*1.5%,IF(AND(N69&gt;10,N69&lt;=20),N69*2%,IF(AND(N69&gt;1,N69&lt;=10),N69*2.5%)))))))))</f>
        <v>110.8</v>
      </c>
      <c r="N84" s="53">
        <f t="shared" ref="N84:N85" ca="1" si="2">ROUND(M84,1)</f>
        <v>110.8</v>
      </c>
      <c r="O84" s="2011" t="s">
        <v>2874</v>
      </c>
      <c r="P84" s="2011"/>
      <c r="Q84" s="2011"/>
      <c r="R84" s="2011"/>
      <c r="S84" s="2011"/>
      <c r="T84" s="2011"/>
      <c r="U84" s="2011"/>
      <c r="V84" s="2011"/>
    </row>
    <row r="85" spans="1:26" ht="12.75">
      <c r="A85" s="381" t="s">
        <v>1827</v>
      </c>
      <c r="B85" s="382" t="s">
        <v>435</v>
      </c>
      <c r="C85" s="385">
        <f ca="1">C81-C84</f>
        <v>19105</v>
      </c>
      <c r="D85" s="378" t="s">
        <v>19</v>
      </c>
      <c r="E85" s="379"/>
      <c r="F85" s="42"/>
      <c r="G85" s="42"/>
      <c r="H85" s="1002"/>
      <c r="I85" s="311"/>
      <c r="J85" s="2011"/>
      <c r="K85" s="3293"/>
      <c r="L85" s="3014" t="s">
        <v>2875</v>
      </c>
      <c r="M85" s="3004">
        <f ca="1">IF(N69&gt;1000,N69*0.1%,IF(AND(N69&gt;500,N69&lt;=1000),N69*0.5%,IF(AND(N69&gt;50,N69&lt;=500),N69*1%,IF(AND(N69&gt;1,N69&lt;=50),N69*1.5%))))</f>
        <v>22.16</v>
      </c>
      <c r="N85" s="53">
        <f t="shared" ca="1" si="2"/>
        <v>22.2</v>
      </c>
      <c r="O85" s="2011" t="s">
        <v>2874</v>
      </c>
      <c r="P85" s="2011"/>
      <c r="Q85" s="2011"/>
      <c r="R85" s="2011"/>
      <c r="S85" s="2011"/>
      <c r="T85" s="2011"/>
      <c r="U85" s="2011"/>
      <c r="V85" s="2011"/>
    </row>
    <row r="86" spans="1:26" ht="13.5" thickBot="1">
      <c r="A86" s="386" t="s">
        <v>1828</v>
      </c>
      <c r="B86" s="387" t="s">
        <v>436</v>
      </c>
      <c r="C86" s="388">
        <f ca="1">IF(C85&lt;=0,0,ROUND(C85*D86,0))</f>
        <v>1070</v>
      </c>
      <c r="D86" s="389">
        <f>'数据-取费表'!B41</f>
        <v>5.6000000000000001E-2</v>
      </c>
      <c r="E86" s="390"/>
      <c r="F86" s="42"/>
      <c r="G86" s="42"/>
      <c r="H86" s="1002"/>
      <c r="I86" s="311"/>
      <c r="J86" s="2011"/>
      <c r="K86" s="3293"/>
      <c r="L86" s="3014" t="s">
        <v>2876</v>
      </c>
      <c r="M86" s="3004">
        <f ca="1">N69*0.5%</f>
        <v>110.8</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293"/>
      <c r="L87" s="3014" t="s">
        <v>2878</v>
      </c>
      <c r="M87" s="3004">
        <f ca="1">IF(N69&gt;=10000,(8.25+(N69-10000)*0.01%),IF(AND(N69&gt;=8000,N69&lt;10000),(7.85+(N69-8000)*0.02%),IF(AND(N69&gt;=5000,N69&lt;8000),(6.65+(N69-5000)*0.04%),IF(AND(N69&gt;=2000,N69&lt;5000),(4.25+(PN69-2000)*0.08%),IF(AND(N69&gt;=1000,N69&lt;2000),(2.75+(N69-1000)*0.15%),IF(AND(N69&gt;=100,N69&lt;1000),(0.5+(N69-100)*0.25%),IF(AND(N69&gt;0,N69&lt;100),N69*0.5%)))))))</f>
        <v>9.4659999999999993</v>
      </c>
      <c r="N87" s="53">
        <f ca="1">ROUND(M87*0.9,1)</f>
        <v>8.5</v>
      </c>
      <c r="O87" s="3007"/>
      <c r="P87" s="311"/>
      <c r="Q87" s="2011"/>
      <c r="R87" s="2011"/>
      <c r="S87" s="2011"/>
      <c r="T87" s="2011"/>
      <c r="U87" s="2011"/>
      <c r="V87" s="2011"/>
      <c r="W87" s="292"/>
      <c r="X87" s="292"/>
      <c r="Y87" s="292"/>
      <c r="Z87" s="292"/>
    </row>
    <row r="88" spans="1:26" s="1309" customFormat="1" ht="15" thickBot="1">
      <c r="A88" s="3347" t="s">
        <v>437</v>
      </c>
      <c r="B88" s="3348"/>
      <c r="C88" s="3348"/>
      <c r="D88" s="3348"/>
      <c r="E88" s="3348"/>
      <c r="F88" s="3348"/>
      <c r="G88" s="3348"/>
      <c r="H88" s="3348"/>
      <c r="I88" s="1310"/>
      <c r="J88" s="2019"/>
      <c r="K88" s="3293"/>
      <c r="L88" s="3014" t="s">
        <v>2879</v>
      </c>
      <c r="M88" s="3004">
        <f ca="1">IF(N69&gt;10000,N69*0.5%,IF(AND(N69&gt;5000,N69&lt;=10000),N69*1%,IF(AND(N69&gt;1000,N69&lt;=5000),N69*2%,IF(AND(N69&gt;200,N69&lt;=1000),N69*3%,N69*5%))))</f>
        <v>110.8</v>
      </c>
      <c r="N88" s="53">
        <f ca="1">ROUND(M88,1)</f>
        <v>110.8</v>
      </c>
      <c r="O88" s="3007"/>
      <c r="P88" s="11"/>
      <c r="Q88" s="2016"/>
      <c r="R88" s="2016"/>
      <c r="S88" s="2016"/>
      <c r="T88" s="2016"/>
      <c r="U88" s="2016"/>
      <c r="V88" s="2016"/>
      <c r="W88" s="2020"/>
      <c r="X88" s="2020"/>
      <c r="Y88" s="2020"/>
      <c r="Z88" s="2020"/>
    </row>
    <row r="89" spans="1:26" s="1309" customFormat="1" ht="14.25">
      <c r="A89" s="3311" t="s">
        <v>428</v>
      </c>
      <c r="B89" s="3312"/>
      <c r="C89" s="993"/>
      <c r="D89" s="993" t="s">
        <v>429</v>
      </c>
      <c r="E89" s="391" t="s">
        <v>438</v>
      </c>
      <c r="F89" s="392"/>
      <c r="G89" s="392"/>
      <c r="H89" s="393"/>
      <c r="I89" s="1311"/>
      <c r="J89" s="2021"/>
      <c r="K89" s="3293"/>
      <c r="L89" s="3014" t="s">
        <v>27</v>
      </c>
      <c r="M89" s="3005"/>
      <c r="N89" s="53">
        <f ca="1">ROUND(SUM(N83:N88),0)</f>
        <v>364</v>
      </c>
      <c r="O89" s="3015">
        <f ca="1">N89/N69</f>
        <v>1.6425992779783394E-2</v>
      </c>
      <c r="P89" s="2016"/>
      <c r="Q89" s="2016"/>
      <c r="R89" s="2016"/>
      <c r="S89" s="2016"/>
      <c r="T89" s="2016"/>
      <c r="U89" s="2016"/>
      <c r="V89" s="2016"/>
      <c r="W89" s="2020"/>
      <c r="X89" s="2020"/>
      <c r="Y89" s="2020"/>
      <c r="Z89" s="2020"/>
    </row>
    <row r="90" spans="1:26" s="1309" customFormat="1" ht="14.25">
      <c r="A90" s="381" t="s">
        <v>1823</v>
      </c>
      <c r="B90" s="382" t="s">
        <v>439</v>
      </c>
      <c r="C90" s="385">
        <f ca="1">ROUND(D63/(1+'数据-取费表'!C42),0)</f>
        <v>21105</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1829</v>
      </c>
      <c r="B91" s="348" t="s">
        <v>440</v>
      </c>
      <c r="C91" s="385">
        <f ca="1">C92+C96</f>
        <v>2708</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1830</v>
      </c>
      <c r="B92" s="376" t="s">
        <v>441</v>
      </c>
      <c r="C92" s="378">
        <f>ROUND(IF(G95="2016年5月1日后购买",C93/(1+'数据-取费表'!C30)+C94+C95,C93+C94+C95),0)</f>
        <v>2581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1831</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1832</v>
      </c>
      <c r="B94" s="400" t="s">
        <v>446</v>
      </c>
      <c r="C94" s="378">
        <f>IF(F93="购房发票",ROUND(C93*H93*5%,0),0)</f>
        <v>500</v>
      </c>
      <c r="D94" s="401">
        <v>0.05</v>
      </c>
      <c r="E94" s="3344" t="s">
        <v>447</v>
      </c>
      <c r="F94" s="3345"/>
      <c r="G94" s="3345"/>
      <c r="H94" s="3346"/>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1834</v>
      </c>
      <c r="B96" s="376" t="s">
        <v>450</v>
      </c>
      <c r="C96" s="405">
        <f ca="1">ROUND(D63*D96/(1+'数据-取费表'!C42),0)</f>
        <v>127</v>
      </c>
      <c r="D96" s="406">
        <f>'数据-取费表'!B43</f>
        <v>6.000000000000001E-3</v>
      </c>
      <c r="E96" s="3334" t="s">
        <v>2426</v>
      </c>
      <c r="F96" s="3335"/>
      <c r="G96" s="3335"/>
      <c r="H96" s="3336"/>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1835</v>
      </c>
      <c r="B97" s="382" t="s">
        <v>451</v>
      </c>
      <c r="C97" s="385">
        <f ca="1">C90-C91</f>
        <v>18397</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2" t="s">
        <v>452</v>
      </c>
      <c r="C98" s="407">
        <f ca="1">IF(C97&lt;=0,0,C97/C91)</f>
        <v>6.7935745937961594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1837</v>
      </c>
      <c r="B99" s="387" t="s">
        <v>453</v>
      </c>
      <c r="C99" s="408">
        <f ca="1">ROUND(IF(C97&lt;=0,0,IF(C98&gt;=200%,C97*60%-C91*35%,IF(C98&gt;=100%,C97*50%-C91*15%,IF(C98&gt;=50%,C97*40%-C91*5%,IF(C98&lt;50%,C97*30%,0))))),0)</f>
        <v>10090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47" t="s">
        <v>454</v>
      </c>
      <c r="B101" s="3348"/>
      <c r="C101" s="3348"/>
      <c r="D101" s="3348"/>
      <c r="E101" s="3348"/>
      <c r="F101" s="3348"/>
      <c r="G101" s="3348"/>
      <c r="H101" s="3348"/>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11" t="s">
        <v>428</v>
      </c>
      <c r="B102" s="3312"/>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1823</v>
      </c>
      <c r="B103" s="382" t="s">
        <v>439</v>
      </c>
      <c r="C103" s="385">
        <f ca="1">ROUND(D63/(1+'数据-取费表'!C42),0)</f>
        <v>21105</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1829</v>
      </c>
      <c r="B104" s="348" t="s">
        <v>440</v>
      </c>
      <c r="C104" s="385">
        <f ca="1">IF(H106="仅含出让金",C105+C108+C109+C110+C111+C112,C105+C109+C110+C111+C112)</f>
        <v>822</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1830</v>
      </c>
      <c r="B105" s="376" t="s">
        <v>455</v>
      </c>
      <c r="C105" s="405">
        <f>C106+C107</f>
        <v>577</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1831</v>
      </c>
      <c r="B106" s="376" t="s">
        <v>456</v>
      </c>
      <c r="C106" s="416">
        <v>555</v>
      </c>
      <c r="D106" s="406"/>
      <c r="E106" s="417" t="s">
        <v>457</v>
      </c>
      <c r="F106" s="985"/>
      <c r="G106" s="418" t="s">
        <v>458</v>
      </c>
      <c r="H106" s="419"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1832</v>
      </c>
      <c r="B107" s="376" t="s">
        <v>448</v>
      </c>
      <c r="C107" s="405">
        <f>ROUND(C106*D107,0)</f>
        <v>22</v>
      </c>
      <c r="D107" s="406">
        <f>'数据-取费表'!B48+'数据-取费表'!B49</f>
        <v>4.0500000000000001E-2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6" t="s">
        <v>461</v>
      </c>
      <c r="C109" s="405">
        <f>IF(H109="——",IF(F1="现房",'剩余法-现房'!C18,'剩余法-待开发'!C18),I109)</f>
        <v>55</v>
      </c>
      <c r="D109" s="406"/>
      <c r="E109" s="3337" t="s">
        <v>462</v>
      </c>
      <c r="F109" s="3335"/>
      <c r="G109" s="3335"/>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6" t="s">
        <v>463</v>
      </c>
      <c r="C110" s="405">
        <f>ROUND((C105+C108+C109)*D110,0)</f>
        <v>63</v>
      </c>
      <c r="D110" s="406">
        <v>0.1</v>
      </c>
      <c r="E110" s="3337" t="s">
        <v>464</v>
      </c>
      <c r="F110" s="3335"/>
      <c r="G110" s="3335"/>
      <c r="H110" s="3336"/>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6" t="s">
        <v>450</v>
      </c>
      <c r="C111" s="405">
        <f ca="1">ROUND(D63*D111/(1+'数据-取费表'!C42),0)</f>
        <v>127</v>
      </c>
      <c r="D111" s="406">
        <f>'数据-取费表'!B43</f>
        <v>6.000000000000001E-3</v>
      </c>
      <c r="E111" s="3334" t="s">
        <v>2426</v>
      </c>
      <c r="F111" s="3335"/>
      <c r="G111" s="3335"/>
      <c r="H111" s="3336"/>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6" t="s">
        <v>465</v>
      </c>
      <c r="C112" s="405">
        <f>ROUND(C108*D112,0)</f>
        <v>0</v>
      </c>
      <c r="D112" s="406">
        <v>0.2</v>
      </c>
      <c r="E112" s="3337" t="s">
        <v>2451</v>
      </c>
      <c r="F112" s="3335"/>
      <c r="G112" s="3335"/>
      <c r="H112" s="3336"/>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1835</v>
      </c>
      <c r="B113" s="382" t="s">
        <v>451</v>
      </c>
      <c r="C113" s="385">
        <f ca="1">ROUND(C103-C104,0)</f>
        <v>20283</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2" t="s">
        <v>452</v>
      </c>
      <c r="C114" s="407">
        <f ca="1">IF(C113&lt;=0,0,C113/C104)</f>
        <v>24.675182481751825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1837</v>
      </c>
      <c r="B115" s="387" t="s">
        <v>453</v>
      </c>
      <c r="C115" s="408">
        <f ca="1">ROUND(IF(C113&lt;=0,0,IF(C114&gt;=200%,C113*60%-C104*35%,IF(C114&gt;=100%,C113*50%-C104*15%,IF(C114&gt;=50%,C113*40%-C104*5%,IF(C114&lt;50%,C113*30%,0))))),0)</f>
        <v>11882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28" sqref="M2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6.625" style="1332" customWidth="1"/>
    <col min="8" max="8" width="12.25" style="1332" customWidth="1"/>
    <col min="9" max="9" width="1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13793</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10">
        <f>ROUND(B2*10000/'数据-汇总表'!E3,0)</f>
        <v>1232</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2587</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172</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392" t="s">
        <v>522</v>
      </c>
      <c r="D6" s="3393"/>
      <c r="E6" s="3392" t="s">
        <v>523</v>
      </c>
      <c r="F6" s="3393"/>
      <c r="G6" s="3392" t="s">
        <v>524</v>
      </c>
      <c r="H6" s="3393"/>
      <c r="I6" s="3392" t="s">
        <v>525</v>
      </c>
      <c r="J6" s="3393"/>
      <c r="K6" s="514" t="s">
        <v>526</v>
      </c>
      <c r="L6" s="2116"/>
      <c r="M6" s="2115"/>
      <c r="N6" s="2115"/>
      <c r="O6" s="2117"/>
      <c r="P6" s="3394" t="s">
        <v>527</v>
      </c>
      <c r="Q6" s="3395"/>
      <c r="R6" s="3380" t="s">
        <v>523</v>
      </c>
      <c r="S6" s="3381"/>
      <c r="T6" s="3380" t="s">
        <v>524</v>
      </c>
      <c r="U6" s="3381"/>
      <c r="V6" s="3400" t="s">
        <v>525</v>
      </c>
      <c r="W6" s="3400"/>
      <c r="X6" s="1551"/>
      <c r="Y6" s="3380" t="s">
        <v>527</v>
      </c>
      <c r="Z6" s="3381"/>
      <c r="AA6" s="3375" t="s">
        <v>523</v>
      </c>
      <c r="AB6" s="3376" t="s">
        <v>524</v>
      </c>
      <c r="AC6" s="3375" t="s">
        <v>525</v>
      </c>
    </row>
    <row r="7" spans="1:30" ht="21" thickBot="1">
      <c r="A7" s="515"/>
      <c r="B7" s="516"/>
      <c r="C7" s="3405" t="s">
        <v>2918</v>
      </c>
      <c r="D7" s="3404"/>
      <c r="E7" s="3403" t="s">
        <v>3009</v>
      </c>
      <c r="F7" s="3404"/>
      <c r="G7" s="3403" t="s">
        <v>3167</v>
      </c>
      <c r="H7" s="3404"/>
      <c r="I7" s="3403" t="s">
        <v>3168</v>
      </c>
      <c r="J7" s="3404"/>
      <c r="K7" s="514"/>
      <c r="L7" s="2116"/>
      <c r="M7" s="2115"/>
      <c r="N7" s="2115"/>
      <c r="O7" s="2117"/>
      <c r="P7" s="3396"/>
      <c r="Q7" s="3397"/>
      <c r="R7" s="3382"/>
      <c r="S7" s="3383"/>
      <c r="T7" s="3382"/>
      <c r="U7" s="3383"/>
      <c r="V7" s="3400"/>
      <c r="W7" s="3400"/>
      <c r="X7" s="1551"/>
      <c r="Y7" s="3382"/>
      <c r="Z7" s="3383"/>
      <c r="AA7" s="3376"/>
      <c r="AB7" s="3376"/>
      <c r="AC7" s="3376"/>
    </row>
    <row r="8" spans="1:30" ht="21" hidden="1" thickBot="1">
      <c r="A8" s="515"/>
      <c r="B8" s="516"/>
      <c r="C8" s="3406" t="s">
        <v>2922</v>
      </c>
      <c r="D8" s="3407"/>
      <c r="E8" s="3406" t="s">
        <v>2922</v>
      </c>
      <c r="F8" s="3407"/>
      <c r="G8" s="3401" t="s">
        <v>2922</v>
      </c>
      <c r="H8" s="3402"/>
      <c r="I8" s="3401" t="s">
        <v>2922</v>
      </c>
      <c r="J8" s="3402"/>
      <c r="K8" s="514" t="s">
        <v>528</v>
      </c>
      <c r="L8" s="2116"/>
      <c r="M8" s="2115"/>
      <c r="N8" s="2115"/>
      <c r="O8" s="2117"/>
      <c r="P8" s="3398"/>
      <c r="Q8" s="3399"/>
      <c r="R8" s="3382"/>
      <c r="S8" s="3383"/>
      <c r="T8" s="3384"/>
      <c r="U8" s="3385"/>
      <c r="V8" s="3400"/>
      <c r="W8" s="3400"/>
      <c r="X8" s="1551"/>
      <c r="Y8" s="3384"/>
      <c r="Z8" s="3385"/>
      <c r="AA8" s="3377"/>
      <c r="AB8" s="3377"/>
      <c r="AC8" s="3377"/>
    </row>
    <row r="9" spans="1:30" s="1215" customFormat="1" ht="21" thickBot="1">
      <c r="A9" s="2864"/>
      <c r="B9" s="2871" t="s">
        <v>529</v>
      </c>
      <c r="C9" s="2863">
        <f>'数据-取费表'!B2</f>
        <v>43972</v>
      </c>
      <c r="D9" s="520">
        <v>100</v>
      </c>
      <c r="E9" s="521">
        <v>43811</v>
      </c>
      <c r="F9" s="522">
        <f>SUMIF(72:72,YEAR(E9)&amp;"-"&amp;INT((MONTH(E9)+2)/3),73:73)</f>
        <v>99</v>
      </c>
      <c r="G9" s="523">
        <v>43384</v>
      </c>
      <c r="H9" s="520">
        <f>SUMIF(72:72,YEAR(G9)&amp;"-"&amp;INT((MONTH(G9)+2)/3),73:73)</f>
        <v>97</v>
      </c>
      <c r="I9" s="523">
        <v>43095</v>
      </c>
      <c r="J9" s="520">
        <f>SUMIF(72:72,YEAR(I9)&amp;"-"&amp;INT((MONTH(I9)+2)/3),73:73)</f>
        <v>95</v>
      </c>
      <c r="K9" s="524"/>
      <c r="L9" s="2118"/>
      <c r="M9" s="2115"/>
      <c r="N9" s="2115"/>
      <c r="O9" s="2119"/>
      <c r="P9" s="3378" t="s">
        <v>530</v>
      </c>
      <c r="Q9" s="3387"/>
      <c r="R9" s="1552" t="s">
        <v>8</v>
      </c>
      <c r="S9" s="1553">
        <f t="shared" ref="S9:S17" si="0">F9</f>
        <v>99</v>
      </c>
      <c r="T9" s="1552" t="s">
        <v>8</v>
      </c>
      <c r="U9" s="1553">
        <f t="shared" ref="U9:U17" si="1">H9</f>
        <v>97</v>
      </c>
      <c r="V9" s="1552" t="s">
        <v>8</v>
      </c>
      <c r="W9" s="1553">
        <f t="shared" ref="W9:W17" si="2">J9</f>
        <v>95</v>
      </c>
      <c r="X9" s="1554"/>
      <c r="Y9" s="3378" t="s">
        <v>530</v>
      </c>
      <c r="Z9" s="3379"/>
      <c r="AA9" s="1555">
        <f>D9/F9</f>
        <v>1.0101010101010102</v>
      </c>
      <c r="AB9" s="1555">
        <f>D9/H9</f>
        <v>1.0309278350515463</v>
      </c>
      <c r="AC9" s="1555">
        <f>D9/J9</f>
        <v>1.0526315789473684</v>
      </c>
    </row>
    <row r="10" spans="1:30" s="1215"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378" t="s">
        <v>533</v>
      </c>
      <c r="Q10" s="3379"/>
      <c r="R10" s="1552" t="s">
        <v>8</v>
      </c>
      <c r="S10" s="1553">
        <f t="shared" si="0"/>
        <v>100</v>
      </c>
      <c r="T10" s="1552" t="s">
        <v>8</v>
      </c>
      <c r="U10" s="1553">
        <f t="shared" si="1"/>
        <v>100</v>
      </c>
      <c r="V10" s="1552" t="s">
        <v>8</v>
      </c>
      <c r="W10" s="1553">
        <f t="shared" si="2"/>
        <v>100</v>
      </c>
      <c r="X10" s="1554"/>
      <c r="Y10" s="3378" t="s">
        <v>533</v>
      </c>
      <c r="Z10" s="3379"/>
      <c r="AA10" s="1555">
        <f t="shared" ref="AA10:AA47" si="3">D10/F10</f>
        <v>1</v>
      </c>
      <c r="AB10" s="1555">
        <f t="shared" ref="AB10:AB47" si="4">D10/H10</f>
        <v>1</v>
      </c>
      <c r="AC10" s="1555">
        <f t="shared" ref="AC10:AC47" si="5">D10/J10</f>
        <v>1</v>
      </c>
    </row>
    <row r="11" spans="1:30" s="1215" customFormat="1" ht="20.25">
      <c r="A11" s="2866"/>
      <c r="B11" s="2873" t="s">
        <v>2753</v>
      </c>
      <c r="C11" s="3185" t="s">
        <v>3010</v>
      </c>
      <c r="D11" s="254">
        <v>100</v>
      </c>
      <c r="E11" s="3185" t="s">
        <v>3010</v>
      </c>
      <c r="F11" s="254">
        <f>SUMIF(77:77,E11,78:78)-SUMIF(77:77,C11,78:78)+100</f>
        <v>100</v>
      </c>
      <c r="G11" s="3185" t="s">
        <v>3010</v>
      </c>
      <c r="H11" s="254">
        <f>SUMIF(77:77,G11,78:78)-SUMIF(77:77,C11,78:78)+100</f>
        <v>100</v>
      </c>
      <c r="I11" s="3185" t="s">
        <v>3010</v>
      </c>
      <c r="J11" s="254">
        <f>SUMIF(77:77,I11,78:78)-SUMIF(77:77,C11,78:78)+100</f>
        <v>100</v>
      </c>
      <c r="K11" s="524"/>
      <c r="L11" s="2118"/>
      <c r="M11" s="2115"/>
      <c r="N11" s="2115"/>
      <c r="O11" s="2120"/>
      <c r="P11" s="3386" t="s">
        <v>535</v>
      </c>
      <c r="Q11" s="1146" t="str">
        <f t="shared" ref="Q11:Q17" si="6">B11</f>
        <v>用途</v>
      </c>
      <c r="R11" s="1552" t="s">
        <v>8</v>
      </c>
      <c r="S11" s="1553">
        <f t="shared" si="0"/>
        <v>100</v>
      </c>
      <c r="T11" s="1552" t="s">
        <v>8</v>
      </c>
      <c r="U11" s="1553">
        <f t="shared" si="1"/>
        <v>100</v>
      </c>
      <c r="V11" s="1552" t="s">
        <v>8</v>
      </c>
      <c r="W11" s="1553">
        <f t="shared" si="2"/>
        <v>100</v>
      </c>
      <c r="X11" s="1554"/>
      <c r="Y11" s="3343" t="s">
        <v>536</v>
      </c>
      <c r="Z11" s="1145" t="str">
        <f t="shared" ref="Z11:Z17" si="7">Q11</f>
        <v>用途</v>
      </c>
      <c r="AA11" s="1555">
        <f t="shared" si="3"/>
        <v>1</v>
      </c>
      <c r="AB11" s="1555">
        <f t="shared" si="4"/>
        <v>1</v>
      </c>
      <c r="AC11" s="1555">
        <f t="shared" si="5"/>
        <v>1</v>
      </c>
    </row>
    <row r="12" spans="1:30" s="1333" customFormat="1" ht="27">
      <c r="A12" s="2867"/>
      <c r="B12" s="2872" t="s">
        <v>2754</v>
      </c>
      <c r="C12" s="909"/>
      <c r="D12" s="255">
        <v>100</v>
      </c>
      <c r="E12" s="529"/>
      <c r="F12" s="255">
        <f>ROUND(100/'数据-取费表'!G16,0)</f>
        <v>111</v>
      </c>
      <c r="G12" s="530"/>
      <c r="H12" s="255">
        <f>ROUND(100/'数据-取费表'!G16,0)</f>
        <v>111</v>
      </c>
      <c r="I12" s="530"/>
      <c r="J12" s="255">
        <f>ROUND(100/'数据-取费表'!G16,0)</f>
        <v>111</v>
      </c>
      <c r="K12" s="531"/>
      <c r="L12" s="2121"/>
      <c r="M12" s="2115"/>
      <c r="N12" s="2115"/>
      <c r="O12" s="2122"/>
      <c r="P12" s="3386"/>
      <c r="Q12" s="1146" t="str">
        <f t="shared" si="6"/>
        <v>土地使用年限（年）</v>
      </c>
      <c r="R12" s="1552" t="s">
        <v>8</v>
      </c>
      <c r="S12" s="1553">
        <f t="shared" si="0"/>
        <v>111</v>
      </c>
      <c r="T12" s="1552" t="s">
        <v>8</v>
      </c>
      <c r="U12" s="1553">
        <f t="shared" si="1"/>
        <v>111</v>
      </c>
      <c r="V12" s="1552" t="s">
        <v>8</v>
      </c>
      <c r="W12" s="1553">
        <f t="shared" si="2"/>
        <v>111</v>
      </c>
      <c r="X12" s="1554"/>
      <c r="Y12" s="3343"/>
      <c r="Z12" s="1145" t="str">
        <f t="shared" si="7"/>
        <v>土地使用年限（年）</v>
      </c>
      <c r="AA12" s="1555">
        <f t="shared" si="3"/>
        <v>0.90090090090090091</v>
      </c>
      <c r="AB12" s="1555">
        <f t="shared" si="4"/>
        <v>0.90090090090090091</v>
      </c>
      <c r="AC12" s="1555">
        <f t="shared" si="5"/>
        <v>0.90090090090090091</v>
      </c>
    </row>
    <row r="13" spans="1:30" ht="20.25">
      <c r="A13" s="2868"/>
      <c r="B13" s="2872" t="s">
        <v>2755</v>
      </c>
      <c r="C13" s="534">
        <f>'数据-汇总表'!I6</f>
        <v>2.1</v>
      </c>
      <c r="D13" s="255">
        <v>100</v>
      </c>
      <c r="E13" s="533">
        <v>4</v>
      </c>
      <c r="F13" s="255">
        <f>LOOKUP(E13,82:82,83:83)-LOOKUP(C13,82:82,83:83)+100</f>
        <v>90</v>
      </c>
      <c r="G13" s="534">
        <v>4</v>
      </c>
      <c r="H13" s="255">
        <f>LOOKUP(G13,82:82,83:83)-LOOKUP(C13,82:82,83:83)+100</f>
        <v>90</v>
      </c>
      <c r="I13" s="533">
        <v>3.5</v>
      </c>
      <c r="J13" s="255">
        <f>LOOKUP(I13,82:82,83:83)-LOOKUP(C13,82:82,83:83)+100</f>
        <v>95</v>
      </c>
      <c r="K13" s="535">
        <v>5</v>
      </c>
      <c r="L13" s="2123"/>
      <c r="M13" s="2115"/>
      <c r="N13" s="2115"/>
      <c r="O13" s="2124"/>
      <c r="P13" s="3386"/>
      <c r="Q13" s="1146" t="str">
        <f t="shared" si="6"/>
        <v>容积率</v>
      </c>
      <c r="R13" s="1552" t="s">
        <v>8</v>
      </c>
      <c r="S13" s="1553">
        <f t="shared" si="0"/>
        <v>90</v>
      </c>
      <c r="T13" s="1552" t="s">
        <v>8</v>
      </c>
      <c r="U13" s="1553">
        <f t="shared" si="1"/>
        <v>90</v>
      </c>
      <c r="V13" s="1552" t="s">
        <v>8</v>
      </c>
      <c r="W13" s="1553">
        <f t="shared" si="2"/>
        <v>95</v>
      </c>
      <c r="X13" s="1554"/>
      <c r="Y13" s="3343"/>
      <c r="Z13" s="1145" t="str">
        <f t="shared" si="7"/>
        <v>容积率</v>
      </c>
      <c r="AA13" s="1555">
        <f t="shared" si="3"/>
        <v>1.1111111111111112</v>
      </c>
      <c r="AB13" s="1555">
        <f t="shared" si="4"/>
        <v>1.1111111111111112</v>
      </c>
      <c r="AC13" s="1555">
        <f t="shared" si="5"/>
        <v>1.0526315789473684</v>
      </c>
    </row>
    <row r="14" spans="1:30" s="1215" customFormat="1" ht="21" thickBot="1">
      <c r="A14" s="2865"/>
      <c r="B14" s="2874" t="s">
        <v>2756</v>
      </c>
      <c r="C14" s="2861"/>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386"/>
      <c r="Q14" s="1146" t="str">
        <f t="shared" si="6"/>
        <v>配建</v>
      </c>
      <c r="R14" s="1552" t="s">
        <v>8</v>
      </c>
      <c r="S14" s="1553">
        <f t="shared" si="0"/>
        <v>100</v>
      </c>
      <c r="T14" s="1552" t="s">
        <v>8</v>
      </c>
      <c r="U14" s="1553">
        <f t="shared" si="1"/>
        <v>100</v>
      </c>
      <c r="V14" s="1552" t="s">
        <v>8</v>
      </c>
      <c r="W14" s="1553">
        <f t="shared" si="2"/>
        <v>100</v>
      </c>
      <c r="X14" s="1554"/>
      <c r="Y14" s="3343"/>
      <c r="Z14" s="1145" t="str">
        <f t="shared" si="7"/>
        <v>配建</v>
      </c>
      <c r="AA14" s="1555">
        <f>D14/F14</f>
        <v>1</v>
      </c>
      <c r="AB14" s="1555">
        <f>D14/H14</f>
        <v>1</v>
      </c>
      <c r="AC14" s="1555">
        <f>D14/J14</f>
        <v>1</v>
      </c>
    </row>
    <row r="15" spans="1:30" ht="20.25" hidden="1">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86"/>
      <c r="Q15" s="1146">
        <f t="shared" si="6"/>
        <v>111</v>
      </c>
      <c r="R15" s="1552" t="s">
        <v>8</v>
      </c>
      <c r="S15" s="1553">
        <f t="shared" si="0"/>
        <v>100</v>
      </c>
      <c r="T15" s="1552" t="s">
        <v>8</v>
      </c>
      <c r="U15" s="1553">
        <f t="shared" si="1"/>
        <v>100</v>
      </c>
      <c r="V15" s="1552" t="s">
        <v>8</v>
      </c>
      <c r="W15" s="1553">
        <f t="shared" si="2"/>
        <v>100</v>
      </c>
      <c r="X15" s="1554"/>
      <c r="Y15" s="3343"/>
      <c r="Z15" s="1145">
        <f t="shared" si="7"/>
        <v>111</v>
      </c>
      <c r="AA15" s="1555">
        <f>D15/F15</f>
        <v>1</v>
      </c>
      <c r="AB15" s="1555">
        <f>D15/H15</f>
        <v>1</v>
      </c>
      <c r="AC15" s="1555">
        <f>D15/J15</f>
        <v>1</v>
      </c>
    </row>
    <row r="16" spans="1:30" ht="21" hidden="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86"/>
      <c r="Q16" s="1146">
        <f t="shared" si="6"/>
        <v>111</v>
      </c>
      <c r="R16" s="1552" t="s">
        <v>8</v>
      </c>
      <c r="S16" s="1553">
        <f t="shared" si="0"/>
        <v>100</v>
      </c>
      <c r="T16" s="1552" t="s">
        <v>8</v>
      </c>
      <c r="U16" s="1553">
        <f t="shared" si="1"/>
        <v>100</v>
      </c>
      <c r="V16" s="1552" t="s">
        <v>8</v>
      </c>
      <c r="W16" s="1553">
        <f t="shared" si="2"/>
        <v>100</v>
      </c>
      <c r="X16" s="1554"/>
      <c r="Y16" s="3343"/>
      <c r="Z16" s="1145">
        <f t="shared" si="7"/>
        <v>111</v>
      </c>
      <c r="AA16" s="1555">
        <f>D16/F16</f>
        <v>1</v>
      </c>
      <c r="AB16" s="1555">
        <f>D16/H16</f>
        <v>1</v>
      </c>
      <c r="AC16" s="1555">
        <f>D16/J16</f>
        <v>1</v>
      </c>
    </row>
    <row r="17" spans="1:29" ht="20.25">
      <c r="A17" s="2862"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103</v>
      </c>
      <c r="K17" s="535">
        <v>3</v>
      </c>
      <c r="L17" s="2125"/>
      <c r="M17" s="2115"/>
      <c r="N17" s="2115"/>
      <c r="O17" s="2124"/>
      <c r="P17" s="3388" t="s">
        <v>540</v>
      </c>
      <c r="Q17" s="1556" t="str">
        <f t="shared" si="6"/>
        <v>居住社区成熟度</v>
      </c>
      <c r="R17" s="1557" t="s">
        <v>8</v>
      </c>
      <c r="S17" s="1558">
        <f t="shared" si="0"/>
        <v>100</v>
      </c>
      <c r="T17" s="1557" t="s">
        <v>8</v>
      </c>
      <c r="U17" s="1558">
        <f t="shared" si="1"/>
        <v>100</v>
      </c>
      <c r="V17" s="1557" t="s">
        <v>8</v>
      </c>
      <c r="W17" s="1558">
        <f t="shared" si="2"/>
        <v>103</v>
      </c>
      <c r="X17" s="1551"/>
      <c r="Y17" s="3388" t="s">
        <v>540</v>
      </c>
      <c r="Z17" s="1559" t="str">
        <f t="shared" si="7"/>
        <v>居住社区成熟度</v>
      </c>
      <c r="AA17" s="1560">
        <f t="shared" si="3"/>
        <v>1</v>
      </c>
      <c r="AB17" s="1560">
        <f t="shared" si="4"/>
        <v>1</v>
      </c>
      <c r="AC17" s="1560">
        <f t="shared" si="5"/>
        <v>0.970873786407767</v>
      </c>
    </row>
    <row r="18" spans="1:29" ht="20.25">
      <c r="A18" s="532"/>
      <c r="B18" s="553"/>
      <c r="C18" s="554" t="s">
        <v>3011</v>
      </c>
      <c r="D18" s="557"/>
      <c r="E18" s="558" t="s">
        <v>3011</v>
      </c>
      <c r="F18" s="555"/>
      <c r="G18" s="558" t="s">
        <v>3011</v>
      </c>
      <c r="H18" s="559"/>
      <c r="I18" s="558" t="s">
        <v>3012</v>
      </c>
      <c r="J18" s="555"/>
      <c r="K18" s="531"/>
      <c r="L18" s="2125"/>
      <c r="M18" s="2115"/>
      <c r="N18" s="2115"/>
      <c r="O18" s="2124"/>
      <c r="P18" s="3389"/>
      <c r="Q18" s="1556"/>
      <c r="R18" s="1557"/>
      <c r="S18" s="1558"/>
      <c r="T18" s="1557"/>
      <c r="U18" s="1558"/>
      <c r="V18" s="1557"/>
      <c r="W18" s="1558"/>
      <c r="X18" s="1551"/>
      <c r="Y18" s="3389"/>
      <c r="Z18" s="1559"/>
      <c r="AA18" s="1560">
        <v>1</v>
      </c>
      <c r="AB18" s="1560">
        <v>1</v>
      </c>
      <c r="AC18" s="1560">
        <v>1</v>
      </c>
    </row>
    <row r="19" spans="1:29" ht="20.25">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103</v>
      </c>
      <c r="K19" s="535">
        <v>3</v>
      </c>
      <c r="L19" s="2125"/>
      <c r="M19" s="2115"/>
      <c r="N19" s="2115"/>
      <c r="O19" s="2124"/>
      <c r="P19" s="3389"/>
      <c r="Q19" s="1556" t="str">
        <f>B19</f>
        <v>商业繁华度</v>
      </c>
      <c r="R19" s="1557" t="s">
        <v>8</v>
      </c>
      <c r="S19" s="1558">
        <f>F19</f>
        <v>100</v>
      </c>
      <c r="T19" s="1557" t="s">
        <v>8</v>
      </c>
      <c r="U19" s="1558">
        <f>H19</f>
        <v>100</v>
      </c>
      <c r="V19" s="1557" t="s">
        <v>8</v>
      </c>
      <c r="W19" s="1558">
        <f>J19</f>
        <v>103</v>
      </c>
      <c r="X19" s="1551"/>
      <c r="Y19" s="3389"/>
      <c r="Z19" s="1559" t="str">
        <f>Q19</f>
        <v>商业繁华度</v>
      </c>
      <c r="AA19" s="1560">
        <f t="shared" si="3"/>
        <v>1</v>
      </c>
      <c r="AB19" s="1560">
        <f t="shared" si="4"/>
        <v>1</v>
      </c>
      <c r="AC19" s="1560">
        <f t="shared" si="5"/>
        <v>0.970873786407767</v>
      </c>
    </row>
    <row r="20" spans="1:29" ht="20.25">
      <c r="A20" s="532"/>
      <c r="B20" s="566"/>
      <c r="C20" s="567" t="s">
        <v>3011</v>
      </c>
      <c r="D20" s="563"/>
      <c r="E20" s="569" t="s">
        <v>3011</v>
      </c>
      <c r="F20" s="559"/>
      <c r="G20" s="569" t="s">
        <v>3011</v>
      </c>
      <c r="H20" s="555"/>
      <c r="I20" s="569" t="s">
        <v>3012</v>
      </c>
      <c r="J20" s="555"/>
      <c r="K20" s="531"/>
      <c r="L20" s="2125"/>
      <c r="M20" s="2115"/>
      <c r="N20" s="2115"/>
      <c r="O20" s="2124"/>
      <c r="P20" s="3389"/>
      <c r="Q20" s="1556"/>
      <c r="R20" s="1557"/>
      <c r="S20" s="1558"/>
      <c r="T20" s="1557"/>
      <c r="U20" s="1558"/>
      <c r="V20" s="1557"/>
      <c r="W20" s="1558"/>
      <c r="X20" s="1551"/>
      <c r="Y20" s="3389"/>
      <c r="Z20" s="1559"/>
      <c r="AA20" s="1560">
        <v>1</v>
      </c>
      <c r="AB20" s="1560">
        <v>1</v>
      </c>
      <c r="AC20" s="1560">
        <v>1</v>
      </c>
    </row>
    <row r="21" spans="1:29" ht="20.25">
      <c r="A21" s="532"/>
      <c r="B21" s="560" t="s">
        <v>542</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v>3</v>
      </c>
      <c r="L21" s="2125"/>
      <c r="M21" s="2115"/>
      <c r="N21" s="2115"/>
      <c r="O21" s="2124"/>
      <c r="P21" s="3389"/>
      <c r="Q21" s="1556" t="str">
        <f>B21</f>
        <v>办公集聚程度</v>
      </c>
      <c r="R21" s="1557" t="s">
        <v>8</v>
      </c>
      <c r="S21" s="1558">
        <f>F21</f>
        <v>100</v>
      </c>
      <c r="T21" s="1557" t="s">
        <v>8</v>
      </c>
      <c r="U21" s="1558">
        <f>H21</f>
        <v>100</v>
      </c>
      <c r="V21" s="1557" t="s">
        <v>8</v>
      </c>
      <c r="W21" s="1558">
        <f>J21</f>
        <v>100</v>
      </c>
      <c r="X21" s="1551"/>
      <c r="Y21" s="3389"/>
      <c r="Z21" s="1559" t="str">
        <f>Q21</f>
        <v>办公集聚程度</v>
      </c>
      <c r="AA21" s="1560">
        <f t="shared" si="3"/>
        <v>1</v>
      </c>
      <c r="AB21" s="1560">
        <f t="shared" si="4"/>
        <v>1</v>
      </c>
      <c r="AC21" s="1560">
        <f t="shared" si="5"/>
        <v>1</v>
      </c>
    </row>
    <row r="22" spans="1:29" ht="20.25">
      <c r="A22" s="532"/>
      <c r="B22" s="566"/>
      <c r="C22" s="554" t="s">
        <v>3011</v>
      </c>
      <c r="D22" s="557"/>
      <c r="E22" s="558" t="s">
        <v>3011</v>
      </c>
      <c r="F22" s="555"/>
      <c r="G22" s="558" t="s">
        <v>3011</v>
      </c>
      <c r="H22" s="555"/>
      <c r="I22" s="558" t="s">
        <v>3011</v>
      </c>
      <c r="J22" s="555"/>
      <c r="K22" s="531"/>
      <c r="L22" s="2125"/>
      <c r="M22" s="2115"/>
      <c r="N22" s="2115"/>
      <c r="O22" s="2124"/>
      <c r="P22" s="3389"/>
      <c r="Q22" s="1556"/>
      <c r="R22" s="1557"/>
      <c r="S22" s="1558"/>
      <c r="T22" s="1557"/>
      <c r="U22" s="1558"/>
      <c r="V22" s="1557"/>
      <c r="W22" s="1558"/>
      <c r="X22" s="1551"/>
      <c r="Y22" s="3389"/>
      <c r="Z22" s="1559"/>
      <c r="AA22" s="1560">
        <v>1</v>
      </c>
      <c r="AB22" s="1560">
        <v>1</v>
      </c>
      <c r="AC22" s="1560">
        <v>1</v>
      </c>
    </row>
    <row r="23" spans="1:29" ht="20.25">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5"/>
      <c r="M23" s="2115"/>
      <c r="N23" s="2115"/>
      <c r="O23" s="2124"/>
      <c r="P23" s="3389"/>
      <c r="Q23" s="1556" t="str">
        <f>B23</f>
        <v>交通便捷度</v>
      </c>
      <c r="R23" s="1557" t="s">
        <v>8</v>
      </c>
      <c r="S23" s="1558">
        <f>F23</f>
        <v>100</v>
      </c>
      <c r="T23" s="1557" t="s">
        <v>8</v>
      </c>
      <c r="U23" s="1558">
        <f>H23</f>
        <v>100</v>
      </c>
      <c r="V23" s="1557" t="s">
        <v>8</v>
      </c>
      <c r="W23" s="1558">
        <f>J23</f>
        <v>100</v>
      </c>
      <c r="X23" s="1551"/>
      <c r="Y23" s="3389"/>
      <c r="Z23" s="1559" t="str">
        <f>Q23</f>
        <v>交通便捷度</v>
      </c>
      <c r="AA23" s="1560">
        <f t="shared" si="3"/>
        <v>1</v>
      </c>
      <c r="AB23" s="1560">
        <f t="shared" si="4"/>
        <v>1</v>
      </c>
      <c r="AC23" s="1560">
        <f t="shared" si="5"/>
        <v>1</v>
      </c>
    </row>
    <row r="24" spans="1:29" ht="20.25">
      <c r="A24" s="532"/>
      <c r="B24" s="578"/>
      <c r="C24" s="554" t="s">
        <v>3011</v>
      </c>
      <c r="D24" s="557"/>
      <c r="E24" s="558" t="s">
        <v>3011</v>
      </c>
      <c r="F24" s="555"/>
      <c r="G24" s="558" t="s">
        <v>3011</v>
      </c>
      <c r="H24" s="555"/>
      <c r="I24" s="558" t="s">
        <v>3011</v>
      </c>
      <c r="J24" s="555"/>
      <c r="K24" s="531"/>
      <c r="L24" s="2125"/>
      <c r="M24" s="2115"/>
      <c r="N24" s="2115"/>
      <c r="O24" s="2124"/>
      <c r="P24" s="3389"/>
      <c r="Q24" s="1556"/>
      <c r="R24" s="1557"/>
      <c r="S24" s="1558"/>
      <c r="T24" s="1557"/>
      <c r="U24" s="1558"/>
      <c r="V24" s="1557"/>
      <c r="W24" s="1558"/>
      <c r="X24" s="1551"/>
      <c r="Y24" s="3389"/>
      <c r="Z24" s="1559"/>
      <c r="AA24" s="1560">
        <v>1</v>
      </c>
      <c r="AB24" s="1560">
        <v>1</v>
      </c>
      <c r="AC24" s="1560">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5"/>
      <c r="M25" s="2115"/>
      <c r="N25" s="2115"/>
      <c r="O25" s="2124"/>
      <c r="P25" s="3389"/>
      <c r="Q25" s="1556" t="str">
        <f t="shared" ref="Q25:Q39" si="8">B25</f>
        <v>区域土地利用方向</v>
      </c>
      <c r="R25" s="1557" t="s">
        <v>8</v>
      </c>
      <c r="S25" s="1558">
        <f>F25</f>
        <v>100</v>
      </c>
      <c r="T25" s="1557" t="s">
        <v>8</v>
      </c>
      <c r="U25" s="1558">
        <f>H25</f>
        <v>100</v>
      </c>
      <c r="V25" s="1557" t="s">
        <v>8</v>
      </c>
      <c r="W25" s="1558">
        <f>J25</f>
        <v>100</v>
      </c>
      <c r="X25" s="1551"/>
      <c r="Y25" s="3389"/>
      <c r="Z25" s="1559" t="str">
        <f>Q25</f>
        <v>区域土地利用方向</v>
      </c>
      <c r="AA25" s="1560">
        <f t="shared" si="3"/>
        <v>1</v>
      </c>
      <c r="AB25" s="1560">
        <f t="shared" si="4"/>
        <v>1</v>
      </c>
      <c r="AC25" s="1560">
        <f t="shared" si="5"/>
        <v>1</v>
      </c>
    </row>
    <row r="26" spans="1:29" ht="20.25">
      <c r="A26" s="515"/>
      <c r="B26" s="1006"/>
      <c r="C26" s="554" t="s">
        <v>3012</v>
      </c>
      <c r="D26" s="557"/>
      <c r="E26" s="558" t="s">
        <v>3012</v>
      </c>
      <c r="F26" s="555"/>
      <c r="G26" s="558" t="s">
        <v>3012</v>
      </c>
      <c r="H26" s="555"/>
      <c r="I26" s="558" t="s">
        <v>3012</v>
      </c>
      <c r="J26" s="555"/>
      <c r="K26" s="531"/>
      <c r="L26" s="2125"/>
      <c r="M26" s="2115"/>
      <c r="N26" s="2115"/>
      <c r="O26" s="2124"/>
      <c r="P26" s="3389"/>
      <c r="Q26" s="1556"/>
      <c r="R26" s="1557"/>
      <c r="S26" s="1558"/>
      <c r="T26" s="1557"/>
      <c r="U26" s="1558"/>
      <c r="V26" s="1557"/>
      <c r="W26" s="1558"/>
      <c r="X26" s="1551"/>
      <c r="Y26" s="3389"/>
      <c r="Z26" s="1559"/>
      <c r="AA26" s="1560"/>
      <c r="AB26" s="1560"/>
      <c r="AC26" s="1560"/>
    </row>
    <row r="27" spans="1:29" ht="27">
      <c r="A27" s="515"/>
      <c r="B27" s="578" t="s">
        <v>545</v>
      </c>
      <c r="C27" s="561">
        <f>估价对象房地状况!C20</f>
        <v>0</v>
      </c>
      <c r="D27" s="563">
        <v>100</v>
      </c>
      <c r="E27" s="564"/>
      <c r="F27" s="559">
        <f>SUMIF(100:100,E28,101:101)-SUMIF(100:100,C28,101:101)+100</f>
        <v>103</v>
      </c>
      <c r="G27" s="564"/>
      <c r="H27" s="559">
        <f>SUMIF(100:100,G28,101:101)-SUMIF(100:100,C28,101:101)+100</f>
        <v>100</v>
      </c>
      <c r="I27" s="564"/>
      <c r="J27" s="559">
        <f>SUMIF(100:100,I28,101:101)-SUMIF(100:100,C28,101:101)+100</f>
        <v>100</v>
      </c>
      <c r="K27" s="535">
        <v>3</v>
      </c>
      <c r="L27" s="2125"/>
      <c r="M27" s="2115"/>
      <c r="N27" s="2115"/>
      <c r="O27" s="2124"/>
      <c r="P27" s="3389"/>
      <c r="Q27" s="1556" t="str">
        <f t="shared" si="8"/>
        <v>自然及人文环境状况</v>
      </c>
      <c r="R27" s="1557" t="s">
        <v>8</v>
      </c>
      <c r="S27" s="1558">
        <f>F27</f>
        <v>103</v>
      </c>
      <c r="T27" s="1557" t="s">
        <v>8</v>
      </c>
      <c r="U27" s="1558">
        <f>H27</f>
        <v>100</v>
      </c>
      <c r="V27" s="1557" t="s">
        <v>8</v>
      </c>
      <c r="W27" s="1558">
        <f>J27</f>
        <v>100</v>
      </c>
      <c r="X27" s="1551"/>
      <c r="Y27" s="3389"/>
      <c r="Z27" s="1559" t="str">
        <f>Q27</f>
        <v>自然及人文环境状况</v>
      </c>
      <c r="AA27" s="1560">
        <f t="shared" si="3"/>
        <v>0.970873786407767</v>
      </c>
      <c r="AB27" s="1560">
        <f t="shared" si="4"/>
        <v>1</v>
      </c>
      <c r="AC27" s="1560">
        <f t="shared" si="5"/>
        <v>1</v>
      </c>
    </row>
    <row r="28" spans="1:29" ht="20.25">
      <c r="A28" s="515"/>
      <c r="B28" s="566"/>
      <c r="C28" s="554" t="s">
        <v>3011</v>
      </c>
      <c r="D28" s="557"/>
      <c r="E28" s="576" t="s">
        <v>3012</v>
      </c>
      <c r="F28" s="555"/>
      <c r="G28" s="576" t="s">
        <v>3011</v>
      </c>
      <c r="H28" s="555"/>
      <c r="I28" s="576" t="s">
        <v>3011</v>
      </c>
      <c r="J28" s="555"/>
      <c r="K28" s="531"/>
      <c r="L28" s="2125"/>
      <c r="M28" s="2115"/>
      <c r="N28" s="2115"/>
      <c r="O28" s="2124"/>
      <c r="P28" s="3389"/>
      <c r="Q28" s="1556"/>
      <c r="R28" s="1557"/>
      <c r="S28" s="1558"/>
      <c r="T28" s="1557"/>
      <c r="U28" s="1558"/>
      <c r="V28" s="1557"/>
      <c r="W28" s="1558"/>
      <c r="X28" s="1551"/>
      <c r="Y28" s="3389"/>
      <c r="Z28" s="1559"/>
      <c r="AA28" s="1560">
        <v>1</v>
      </c>
      <c r="AB28" s="1560">
        <v>1</v>
      </c>
      <c r="AC28" s="1560">
        <v>1</v>
      </c>
    </row>
    <row r="29" spans="1:29" s="1215" customFormat="1" ht="20.25">
      <c r="A29" s="577"/>
      <c r="B29" s="2553"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103</v>
      </c>
      <c r="K29" s="535">
        <v>3</v>
      </c>
      <c r="L29" s="2118"/>
      <c r="M29" s="2115"/>
      <c r="N29" s="2115"/>
      <c r="O29" s="2120"/>
      <c r="P29" s="3389"/>
      <c r="Q29" s="1146" t="str">
        <f t="shared" si="8"/>
        <v>公共配套设施</v>
      </c>
      <c r="R29" s="1552" t="s">
        <v>8</v>
      </c>
      <c r="S29" s="1553">
        <f>F29</f>
        <v>100</v>
      </c>
      <c r="T29" s="1552" t="s">
        <v>8</v>
      </c>
      <c r="U29" s="1553">
        <f>H29</f>
        <v>100</v>
      </c>
      <c r="V29" s="1552" t="s">
        <v>8</v>
      </c>
      <c r="W29" s="1553">
        <f>J29</f>
        <v>103</v>
      </c>
      <c r="X29" s="1554"/>
      <c r="Y29" s="3389"/>
      <c r="Z29" s="1145" t="str">
        <f>Q29</f>
        <v>公共配套设施</v>
      </c>
      <c r="AA29" s="1560">
        <f>D29/F29</f>
        <v>1</v>
      </c>
      <c r="AB29" s="1560">
        <f>D29/H29</f>
        <v>1</v>
      </c>
      <c r="AC29" s="1560">
        <f>D29/J29</f>
        <v>0.970873786407767</v>
      </c>
    </row>
    <row r="30" spans="1:29" s="1215" customFormat="1" ht="20.25">
      <c r="A30" s="577"/>
      <c r="B30" s="566"/>
      <c r="C30" s="579" t="s">
        <v>3011</v>
      </c>
      <c r="D30" s="557"/>
      <c r="E30" s="576" t="s">
        <v>3011</v>
      </c>
      <c r="F30" s="555"/>
      <c r="G30" s="576" t="s">
        <v>3011</v>
      </c>
      <c r="H30" s="555"/>
      <c r="I30" s="576" t="s">
        <v>3012</v>
      </c>
      <c r="J30" s="555"/>
      <c r="K30" s="531"/>
      <c r="L30" s="2118"/>
      <c r="M30" s="2115"/>
      <c r="N30" s="2115"/>
      <c r="O30" s="2120"/>
      <c r="P30" s="3389"/>
      <c r="Q30" s="1146"/>
      <c r="R30" s="1552"/>
      <c r="S30" s="1553"/>
      <c r="T30" s="1552"/>
      <c r="U30" s="1553"/>
      <c r="V30" s="1552"/>
      <c r="W30" s="1553"/>
      <c r="X30" s="1554"/>
      <c r="Y30" s="3389"/>
      <c r="Z30" s="1145"/>
      <c r="AA30" s="1560">
        <v>1</v>
      </c>
      <c r="AB30" s="1560">
        <v>1</v>
      </c>
      <c r="AC30" s="1560">
        <v>1</v>
      </c>
    </row>
    <row r="31" spans="1:29" s="1215" customFormat="1" ht="20.25">
      <c r="A31" s="577"/>
      <c r="B31" s="2553"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c r="L31" s="2118"/>
      <c r="M31" s="2115"/>
      <c r="N31" s="2115"/>
      <c r="O31" s="2120"/>
      <c r="P31" s="3389"/>
      <c r="Q31" s="2540" t="str">
        <f t="shared" ref="Q31" si="9">B31</f>
        <v>基础设施水平</v>
      </c>
      <c r="R31" s="1552" t="s">
        <v>8</v>
      </c>
      <c r="S31" s="1553">
        <f>F31</f>
        <v>100</v>
      </c>
      <c r="T31" s="1552" t="s">
        <v>8</v>
      </c>
      <c r="U31" s="1553">
        <f>H31</f>
        <v>100</v>
      </c>
      <c r="V31" s="1552" t="s">
        <v>8</v>
      </c>
      <c r="W31" s="1553">
        <f>J31</f>
        <v>100</v>
      </c>
      <c r="X31" s="1554"/>
      <c r="Y31" s="3389"/>
      <c r="Z31" s="2537" t="str">
        <f>Q31</f>
        <v>基础设施水平</v>
      </c>
      <c r="AA31" s="1560">
        <f>D31/F31</f>
        <v>1</v>
      </c>
      <c r="AB31" s="1560">
        <f>D31/H31</f>
        <v>1</v>
      </c>
      <c r="AC31" s="1560">
        <f>D31/J31</f>
        <v>1</v>
      </c>
    </row>
    <row r="32" spans="1:29" s="1215" customFormat="1" ht="20.25">
      <c r="A32" s="577"/>
      <c r="B32" s="566"/>
      <c r="C32" s="579" t="s">
        <v>3013</v>
      </c>
      <c r="D32" s="557"/>
      <c r="E32" s="2554" t="s">
        <v>3013</v>
      </c>
      <c r="F32" s="555"/>
      <c r="G32" s="2554" t="s">
        <v>3013</v>
      </c>
      <c r="H32" s="555"/>
      <c r="I32" s="2554" t="s">
        <v>3013</v>
      </c>
      <c r="J32" s="555"/>
      <c r="K32" s="531"/>
      <c r="L32" s="2118"/>
      <c r="M32" s="2115"/>
      <c r="N32" s="2115"/>
      <c r="O32" s="2120"/>
      <c r="P32" s="3389"/>
      <c r="Q32" s="2540"/>
      <c r="R32" s="1552"/>
      <c r="S32" s="1553"/>
      <c r="T32" s="1552"/>
      <c r="U32" s="1553"/>
      <c r="V32" s="1552"/>
      <c r="W32" s="1553"/>
      <c r="X32" s="1554"/>
      <c r="Y32" s="3389"/>
      <c r="Z32" s="2537"/>
      <c r="AA32" s="1560">
        <v>1</v>
      </c>
      <c r="AB32" s="1560">
        <v>1</v>
      </c>
      <c r="AC32" s="1560">
        <v>1</v>
      </c>
    </row>
    <row r="33" spans="1:29" ht="21" thickBot="1">
      <c r="A33" s="532"/>
      <c r="B33" s="566" t="s">
        <v>547</v>
      </c>
      <c r="C33" s="580" t="s">
        <v>3014</v>
      </c>
      <c r="D33" s="575">
        <v>100</v>
      </c>
      <c r="E33" s="583" t="s">
        <v>3014</v>
      </c>
      <c r="F33" s="540">
        <f>SUMIF(106:106,E33,107:107)-SUMIF(106:106,C33,107:107)+100</f>
        <v>100</v>
      </c>
      <c r="G33" s="583" t="s">
        <v>3014</v>
      </c>
      <c r="H33" s="540">
        <f>SUMIF(106:106,G33,107:107)-SUMIF(106:106,C33,107:107)+100</f>
        <v>100</v>
      </c>
      <c r="I33" s="583" t="s">
        <v>3014</v>
      </c>
      <c r="J33" s="540">
        <f>SUMIF(106:106,I33,107:107)-SUMIF(106:106,C33,107:107)+100</f>
        <v>100</v>
      </c>
      <c r="K33" s="535">
        <v>5</v>
      </c>
      <c r="L33" s="2125"/>
      <c r="M33" s="2115"/>
      <c r="N33" s="2115"/>
      <c r="O33" s="2124"/>
      <c r="P33" s="3389"/>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389"/>
      <c r="Z33" s="1559" t="str">
        <f t="shared" ref="Z33:Z47" si="13">Q33</f>
        <v>临街状况</v>
      </c>
      <c r="AA33" s="1560">
        <f t="shared" si="3"/>
        <v>1</v>
      </c>
      <c r="AB33" s="1560">
        <f t="shared" si="4"/>
        <v>1</v>
      </c>
      <c r="AC33" s="1560">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389"/>
      <c r="Q34" s="1556" t="str">
        <f t="shared" si="8"/>
        <v>毗邻道路的类型与等级</v>
      </c>
      <c r="R34" s="1557" t="s">
        <v>8</v>
      </c>
      <c r="S34" s="1558">
        <f t="shared" si="10"/>
        <v>100</v>
      </c>
      <c r="T34" s="1557" t="s">
        <v>8</v>
      </c>
      <c r="U34" s="1558">
        <f t="shared" si="11"/>
        <v>100</v>
      </c>
      <c r="V34" s="1557" t="s">
        <v>8</v>
      </c>
      <c r="W34" s="1558">
        <f t="shared" si="12"/>
        <v>100</v>
      </c>
      <c r="X34" s="1551"/>
      <c r="Y34" s="3389"/>
      <c r="Z34" s="1559" t="str">
        <f t="shared" si="13"/>
        <v>毗邻道路的类型与等级</v>
      </c>
      <c r="AA34" s="1560">
        <f t="shared" si="3"/>
        <v>1</v>
      </c>
      <c r="AB34" s="1560">
        <f t="shared" si="4"/>
        <v>1</v>
      </c>
      <c r="AC34" s="1560">
        <f t="shared" si="5"/>
        <v>1</v>
      </c>
    </row>
    <row r="35" spans="1:29" ht="20.25" hidden="1">
      <c r="A35" s="532"/>
      <c r="B35" s="566"/>
      <c r="C35" s="554"/>
      <c r="D35" s="557"/>
      <c r="E35" s="576"/>
      <c r="F35" s="555"/>
      <c r="G35" s="554"/>
      <c r="H35" s="555"/>
      <c r="I35" s="576"/>
      <c r="J35" s="555"/>
      <c r="K35" s="581"/>
      <c r="L35" s="2125"/>
      <c r="M35" s="2115"/>
      <c r="N35" s="2115"/>
      <c r="O35" s="2124"/>
      <c r="P35" s="3389"/>
      <c r="Q35" s="1556"/>
      <c r="R35" s="1557"/>
      <c r="S35" s="1558"/>
      <c r="T35" s="1557"/>
      <c r="U35" s="1558"/>
      <c r="V35" s="1557"/>
      <c r="W35" s="1558"/>
      <c r="X35" s="1551"/>
      <c r="Y35" s="3389"/>
      <c r="Z35" s="1559"/>
      <c r="AA35" s="1560">
        <v>1</v>
      </c>
      <c r="AB35" s="1560">
        <v>1</v>
      </c>
      <c r="AC35" s="1560">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389"/>
      <c r="Q36" s="1556" t="str">
        <f t="shared" si="8"/>
        <v>土地级别</v>
      </c>
      <c r="R36" s="1557" t="s">
        <v>8</v>
      </c>
      <c r="S36" s="1558">
        <f t="shared" si="10"/>
        <v>100</v>
      </c>
      <c r="T36" s="1557" t="s">
        <v>8</v>
      </c>
      <c r="U36" s="1558">
        <f t="shared" si="11"/>
        <v>100</v>
      </c>
      <c r="V36" s="1557" t="s">
        <v>8</v>
      </c>
      <c r="W36" s="1558">
        <f t="shared" si="12"/>
        <v>100</v>
      </c>
      <c r="X36" s="1551"/>
      <c r="Y36" s="3389"/>
      <c r="Z36" s="1559" t="str">
        <f t="shared" si="13"/>
        <v>土地级别</v>
      </c>
      <c r="AA36" s="1560">
        <f t="shared" si="3"/>
        <v>1</v>
      </c>
      <c r="AB36" s="1560">
        <f t="shared" si="4"/>
        <v>1</v>
      </c>
      <c r="AC36" s="1560">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389"/>
      <c r="Q37" s="1556">
        <f t="shared" si="8"/>
        <v>111</v>
      </c>
      <c r="R37" s="1557" t="s">
        <v>8</v>
      </c>
      <c r="S37" s="1558">
        <f t="shared" si="10"/>
        <v>100</v>
      </c>
      <c r="T37" s="1557" t="s">
        <v>8</v>
      </c>
      <c r="U37" s="1558">
        <f t="shared" si="11"/>
        <v>100</v>
      </c>
      <c r="V37" s="1557" t="s">
        <v>8</v>
      </c>
      <c r="W37" s="1558">
        <f t="shared" si="12"/>
        <v>100</v>
      </c>
      <c r="X37" s="1551"/>
      <c r="Y37" s="3389"/>
      <c r="Z37" s="1559">
        <f t="shared" si="13"/>
        <v>111</v>
      </c>
      <c r="AA37" s="1560">
        <f t="shared" si="3"/>
        <v>1</v>
      </c>
      <c r="AB37" s="1560">
        <f t="shared" si="4"/>
        <v>1</v>
      </c>
      <c r="AC37" s="1560">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390" t="s">
        <v>550</v>
      </c>
      <c r="Q38" s="1556">
        <f t="shared" si="8"/>
        <v>111</v>
      </c>
      <c r="R38" s="1557" t="s">
        <v>8</v>
      </c>
      <c r="S38" s="1558">
        <f t="shared" si="10"/>
        <v>100</v>
      </c>
      <c r="T38" s="1557" t="s">
        <v>8</v>
      </c>
      <c r="U38" s="1558">
        <f t="shared" si="11"/>
        <v>100</v>
      </c>
      <c r="V38" s="1557" t="s">
        <v>8</v>
      </c>
      <c r="W38" s="1558">
        <f t="shared" si="12"/>
        <v>100</v>
      </c>
      <c r="X38" s="1551"/>
      <c r="Y38" s="3391" t="s">
        <v>550</v>
      </c>
      <c r="Z38" s="1559">
        <f t="shared" si="13"/>
        <v>111</v>
      </c>
      <c r="AA38" s="1560">
        <f t="shared" si="3"/>
        <v>1</v>
      </c>
      <c r="AB38" s="1560">
        <f t="shared" si="4"/>
        <v>1</v>
      </c>
      <c r="AC38" s="1560">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391"/>
      <c r="Q39" s="1556">
        <f t="shared" si="8"/>
        <v>111</v>
      </c>
      <c r="R39" s="1561" t="s">
        <v>8</v>
      </c>
      <c r="S39" s="1562">
        <f t="shared" si="10"/>
        <v>100</v>
      </c>
      <c r="T39" s="1561" t="s">
        <v>8</v>
      </c>
      <c r="U39" s="1562">
        <f t="shared" si="11"/>
        <v>100</v>
      </c>
      <c r="V39" s="1561" t="s">
        <v>8</v>
      </c>
      <c r="W39" s="1562">
        <f t="shared" si="12"/>
        <v>100</v>
      </c>
      <c r="X39" s="1563"/>
      <c r="Y39" s="3391"/>
      <c r="Z39" s="1564">
        <f t="shared" si="13"/>
        <v>111</v>
      </c>
      <c r="AA39" s="1560">
        <f t="shared" si="3"/>
        <v>1</v>
      </c>
      <c r="AB39" s="1560">
        <f t="shared" si="4"/>
        <v>1</v>
      </c>
      <c r="AC39" s="1560">
        <f t="shared" si="5"/>
        <v>1</v>
      </c>
    </row>
    <row r="40" spans="1:29" ht="20.25">
      <c r="A40" s="2860" t="s">
        <v>2752</v>
      </c>
      <c r="B40" s="595" t="s">
        <v>552</v>
      </c>
      <c r="C40" s="596">
        <f>'数据-汇总表'!D3</f>
        <v>53313</v>
      </c>
      <c r="D40" s="597">
        <v>100</v>
      </c>
      <c r="E40" s="596">
        <v>60951</v>
      </c>
      <c r="F40" s="597">
        <f>LOOKUP(E40,119:119,120:120)-LOOKUP(C40,119:119,120:120)+100</f>
        <v>100</v>
      </c>
      <c r="G40" s="596">
        <v>33773</v>
      </c>
      <c r="H40" s="597">
        <f>LOOKUP(G40,119:119,120:120)-LOOKUP(C40,119:119,120:120)+100</f>
        <v>99</v>
      </c>
      <c r="I40" s="598">
        <v>5602</v>
      </c>
      <c r="J40" s="597">
        <f>LOOKUP(I40,119:119,120:120)-LOOKUP(C40,119:119,120:120)+100</f>
        <v>97</v>
      </c>
      <c r="K40" s="581"/>
      <c r="L40" s="2125"/>
      <c r="M40" s="2115"/>
      <c r="N40" s="2115"/>
      <c r="O40" s="2124"/>
      <c r="P40" s="3391"/>
      <c r="Q40" s="1556" t="str">
        <f>B40</f>
        <v>宗地面积</v>
      </c>
      <c r="R40" s="1557" t="s">
        <v>8</v>
      </c>
      <c r="S40" s="1558">
        <f t="shared" si="10"/>
        <v>100</v>
      </c>
      <c r="T40" s="1557" t="s">
        <v>8</v>
      </c>
      <c r="U40" s="1558">
        <f t="shared" si="11"/>
        <v>99</v>
      </c>
      <c r="V40" s="1557" t="s">
        <v>8</v>
      </c>
      <c r="W40" s="1558">
        <f t="shared" si="12"/>
        <v>97</v>
      </c>
      <c r="X40" s="1551"/>
      <c r="Y40" s="3391"/>
      <c r="Z40" s="1559" t="str">
        <f t="shared" si="13"/>
        <v>宗地面积</v>
      </c>
      <c r="AA40" s="1560">
        <f t="shared" si="3"/>
        <v>1</v>
      </c>
      <c r="AB40" s="1560">
        <f t="shared" si="4"/>
        <v>1.0101010101010102</v>
      </c>
      <c r="AC40" s="1560">
        <f t="shared" si="5"/>
        <v>1.0309278350515463</v>
      </c>
    </row>
    <row r="41" spans="1:29" ht="20.25">
      <c r="A41" s="594"/>
      <c r="B41" s="527" t="s">
        <v>553</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v>1</v>
      </c>
      <c r="L41" s="2125"/>
      <c r="M41" s="2115"/>
      <c r="N41" s="2115"/>
      <c r="O41" s="2124"/>
      <c r="P41" s="3391"/>
      <c r="Q41" s="1556" t="str">
        <f t="shared" ref="Q41:Q47" si="14">B41</f>
        <v>宗地形状</v>
      </c>
      <c r="R41" s="1557" t="s">
        <v>8</v>
      </c>
      <c r="S41" s="1558">
        <f t="shared" si="10"/>
        <v>100</v>
      </c>
      <c r="T41" s="1557" t="s">
        <v>8</v>
      </c>
      <c r="U41" s="1558">
        <f t="shared" si="11"/>
        <v>100</v>
      </c>
      <c r="V41" s="1557" t="s">
        <v>8</v>
      </c>
      <c r="W41" s="1558">
        <f t="shared" si="12"/>
        <v>100</v>
      </c>
      <c r="X41" s="1551"/>
      <c r="Y41" s="3391"/>
      <c r="Z41" s="1559" t="str">
        <f t="shared" si="13"/>
        <v>宗地形状</v>
      </c>
      <c r="AA41" s="1560">
        <f t="shared" si="3"/>
        <v>1</v>
      </c>
      <c r="AB41" s="1560">
        <f t="shared" si="4"/>
        <v>1</v>
      </c>
      <c r="AC41" s="1560">
        <f t="shared" si="5"/>
        <v>1</v>
      </c>
    </row>
    <row r="42" spans="1:29" ht="20.25">
      <c r="A42" s="594"/>
      <c r="B42" s="527" t="s">
        <v>554</v>
      </c>
      <c r="C42" s="599" t="s">
        <v>3012</v>
      </c>
      <c r="D42" s="540">
        <v>100</v>
      </c>
      <c r="E42" s="599" t="s">
        <v>3012</v>
      </c>
      <c r="F42" s="540">
        <f>SUMIF(123:123,E42,124:124)-SUMIF(123:123,C42,124:124)+100</f>
        <v>100</v>
      </c>
      <c r="G42" s="599" t="s">
        <v>3012</v>
      </c>
      <c r="H42" s="540">
        <f>SUMIF(123:123,G42,124:124)-SUMIF(123:123,C42,124:124)+100</f>
        <v>100</v>
      </c>
      <c r="I42" s="599" t="s">
        <v>3012</v>
      </c>
      <c r="J42" s="540">
        <f>SUMIF(123:123,I42,124:124)-SUMIF(123:123,C42,124:124)+100</f>
        <v>100</v>
      </c>
      <c r="K42" s="584">
        <v>1</v>
      </c>
      <c r="L42" s="2125"/>
      <c r="M42" s="2115"/>
      <c r="N42" s="2115"/>
      <c r="O42" s="2124"/>
      <c r="P42" s="3391"/>
      <c r="Q42" s="1556" t="str">
        <f t="shared" si="14"/>
        <v>临街宽度及深度</v>
      </c>
      <c r="R42" s="1557" t="s">
        <v>8</v>
      </c>
      <c r="S42" s="1558">
        <f t="shared" si="10"/>
        <v>100</v>
      </c>
      <c r="T42" s="1557" t="s">
        <v>8</v>
      </c>
      <c r="U42" s="1558">
        <f t="shared" si="11"/>
        <v>100</v>
      </c>
      <c r="V42" s="1557" t="s">
        <v>8</v>
      </c>
      <c r="W42" s="1558">
        <f t="shared" si="12"/>
        <v>100</v>
      </c>
      <c r="X42" s="1551"/>
      <c r="Y42" s="3391"/>
      <c r="Z42" s="1559" t="str">
        <f t="shared" si="13"/>
        <v>临街宽度及深度</v>
      </c>
      <c r="AA42" s="1560">
        <f t="shared" si="3"/>
        <v>1</v>
      </c>
      <c r="AB42" s="1560">
        <f t="shared" si="4"/>
        <v>1</v>
      </c>
      <c r="AC42" s="1560">
        <f t="shared" si="5"/>
        <v>1</v>
      </c>
    </row>
    <row r="43" spans="1:29" s="1215" customFormat="1" ht="20.25">
      <c r="A43" s="600"/>
      <c r="B43" s="1878" t="s">
        <v>2422</v>
      </c>
      <c r="C43" s="3197" t="s">
        <v>3200</v>
      </c>
      <c r="D43" s="255">
        <v>100</v>
      </c>
      <c r="E43" s="601" t="s">
        <v>3016</v>
      </c>
      <c r="F43" s="540">
        <f>SUMIF(125:125,E43,126:126)-SUMIF(125:125,C43,126:126)+100</f>
        <v>102</v>
      </c>
      <c r="G43" s="601" t="s">
        <v>3016</v>
      </c>
      <c r="H43" s="540">
        <f>SUMIF(125:125,G43,126:126)-SUMIF(125:125,C43,126:126)+100</f>
        <v>102</v>
      </c>
      <c r="I43" s="601" t="s">
        <v>3016</v>
      </c>
      <c r="J43" s="540">
        <f>SUMIF(125:125,I43,126:126)-SUMIF(125:125,C43,126:126)+100</f>
        <v>102</v>
      </c>
      <c r="K43" s="584">
        <v>1</v>
      </c>
      <c r="L43" s="2118"/>
      <c r="M43" s="2115"/>
      <c r="N43" s="2115"/>
      <c r="O43" s="2120"/>
      <c r="P43" s="3391"/>
      <c r="Q43" s="1556" t="str">
        <f t="shared" si="14"/>
        <v>宗地开发程度</v>
      </c>
      <c r="R43" s="1552" t="s">
        <v>8</v>
      </c>
      <c r="S43" s="1553">
        <f t="shared" si="10"/>
        <v>102</v>
      </c>
      <c r="T43" s="1552" t="s">
        <v>8</v>
      </c>
      <c r="U43" s="1553">
        <f t="shared" si="11"/>
        <v>102</v>
      </c>
      <c r="V43" s="1552" t="s">
        <v>8</v>
      </c>
      <c r="W43" s="1553">
        <f t="shared" si="12"/>
        <v>102</v>
      </c>
      <c r="X43" s="1554"/>
      <c r="Y43" s="3391"/>
      <c r="Z43" s="1145" t="str">
        <f t="shared" si="13"/>
        <v>宗地开发程度</v>
      </c>
      <c r="AA43" s="1555">
        <f t="shared" si="3"/>
        <v>0.98039215686274506</v>
      </c>
      <c r="AB43" s="1555">
        <f t="shared" si="4"/>
        <v>0.98039215686274506</v>
      </c>
      <c r="AC43" s="1555">
        <f t="shared" si="5"/>
        <v>0.98039215686274506</v>
      </c>
    </row>
    <row r="44" spans="1:29" ht="21" thickBot="1">
      <c r="A44" s="594"/>
      <c r="B44" s="527" t="s">
        <v>555</v>
      </c>
      <c r="C44" s="599" t="s">
        <v>3012</v>
      </c>
      <c r="D44" s="540">
        <v>100</v>
      </c>
      <c r="E44" s="599" t="s">
        <v>3012</v>
      </c>
      <c r="F44" s="540">
        <f>SUMIF(127:127,E44,128:128)-SUMIF(127:127,C44,128:128)+100</f>
        <v>100</v>
      </c>
      <c r="G44" s="599" t="s">
        <v>3012</v>
      </c>
      <c r="H44" s="540">
        <f>SUMIF(127:127,G44,128:128)-SUMIF(127:127,C44,128:128)+100</f>
        <v>100</v>
      </c>
      <c r="I44" s="599" t="s">
        <v>3012</v>
      </c>
      <c r="J44" s="540">
        <f>SUMIF(127:127,I44,128:128)-SUMIF(127:127,C44,128:128)+100</f>
        <v>100</v>
      </c>
      <c r="K44" s="584">
        <v>1</v>
      </c>
      <c r="L44" s="2125"/>
      <c r="M44" s="2115"/>
      <c r="N44" s="2115"/>
      <c r="O44" s="2124"/>
      <c r="P44" s="3391" t="s">
        <v>550</v>
      </c>
      <c r="Q44" s="1556" t="str">
        <f t="shared" si="14"/>
        <v>工程地质条件</v>
      </c>
      <c r="R44" s="1557" t="s">
        <v>8</v>
      </c>
      <c r="S44" s="1558">
        <f t="shared" si="10"/>
        <v>100</v>
      </c>
      <c r="T44" s="1557" t="s">
        <v>8</v>
      </c>
      <c r="U44" s="1558">
        <f t="shared" si="11"/>
        <v>100</v>
      </c>
      <c r="V44" s="1557" t="s">
        <v>8</v>
      </c>
      <c r="W44" s="1558">
        <f t="shared" si="12"/>
        <v>100</v>
      </c>
      <c r="X44" s="1551"/>
      <c r="Y44" s="3391" t="s">
        <v>550</v>
      </c>
      <c r="Z44" s="1559" t="str">
        <f t="shared" si="13"/>
        <v>工程地质条件</v>
      </c>
      <c r="AA44" s="1560">
        <f t="shared" si="3"/>
        <v>1</v>
      </c>
      <c r="AB44" s="1560">
        <f t="shared" si="4"/>
        <v>1</v>
      </c>
      <c r="AC44" s="1560">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391"/>
      <c r="Q45" s="1556">
        <f t="shared" si="14"/>
        <v>111</v>
      </c>
      <c r="R45" s="1557" t="s">
        <v>8</v>
      </c>
      <c r="S45" s="1558">
        <f t="shared" si="10"/>
        <v>100</v>
      </c>
      <c r="T45" s="1557" t="s">
        <v>8</v>
      </c>
      <c r="U45" s="1558">
        <f t="shared" si="11"/>
        <v>100</v>
      </c>
      <c r="V45" s="1557" t="s">
        <v>8</v>
      </c>
      <c r="W45" s="1558">
        <f t="shared" si="12"/>
        <v>100</v>
      </c>
      <c r="X45" s="1551"/>
      <c r="Y45" s="3391"/>
      <c r="Z45" s="1559">
        <f t="shared" si="13"/>
        <v>111</v>
      </c>
      <c r="AA45" s="1560">
        <f t="shared" si="3"/>
        <v>1</v>
      </c>
      <c r="AB45" s="1560">
        <f t="shared" si="4"/>
        <v>1</v>
      </c>
      <c r="AC45" s="1560">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391"/>
      <c r="Q46" s="1556">
        <f t="shared" si="14"/>
        <v>111</v>
      </c>
      <c r="R46" s="1557" t="s">
        <v>8</v>
      </c>
      <c r="S46" s="1558">
        <f t="shared" si="10"/>
        <v>100</v>
      </c>
      <c r="T46" s="1557" t="s">
        <v>8</v>
      </c>
      <c r="U46" s="1558">
        <f t="shared" si="11"/>
        <v>100</v>
      </c>
      <c r="V46" s="1557" t="s">
        <v>8</v>
      </c>
      <c r="W46" s="1558">
        <f t="shared" si="12"/>
        <v>100</v>
      </c>
      <c r="X46" s="1551"/>
      <c r="Y46" s="3391"/>
      <c r="Z46" s="1559">
        <f t="shared" si="13"/>
        <v>111</v>
      </c>
      <c r="AA46" s="1560">
        <f t="shared" si="3"/>
        <v>1</v>
      </c>
      <c r="AB46" s="1560">
        <f t="shared" si="4"/>
        <v>1</v>
      </c>
      <c r="AC46" s="1560">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391"/>
      <c r="Q47" s="1556">
        <f t="shared" si="14"/>
        <v>111</v>
      </c>
      <c r="R47" s="1561" t="s">
        <v>8</v>
      </c>
      <c r="S47" s="1562">
        <f t="shared" si="10"/>
        <v>100</v>
      </c>
      <c r="T47" s="1561" t="s">
        <v>8</v>
      </c>
      <c r="U47" s="1562">
        <f t="shared" si="11"/>
        <v>100</v>
      </c>
      <c r="V47" s="1561" t="s">
        <v>8</v>
      </c>
      <c r="W47" s="1562">
        <f t="shared" si="12"/>
        <v>100</v>
      </c>
      <c r="X47" s="1563"/>
      <c r="Y47" s="3391"/>
      <c r="Z47" s="1564">
        <f t="shared" si="13"/>
        <v>111</v>
      </c>
      <c r="AA47" s="1560">
        <f t="shared" si="3"/>
        <v>1</v>
      </c>
      <c r="AB47" s="1560">
        <f t="shared" si="4"/>
        <v>1</v>
      </c>
      <c r="AC47" s="1560">
        <f t="shared" si="5"/>
        <v>1</v>
      </c>
    </row>
    <row r="48" spans="1:29" ht="20.25">
      <c r="A48" s="607" t="s">
        <v>556</v>
      </c>
      <c r="B48" s="608" t="s">
        <v>3005</v>
      </c>
      <c r="C48" s="609" t="s">
        <v>1</v>
      </c>
      <c r="D48" s="610"/>
      <c r="E48" s="611">
        <v>1256</v>
      </c>
      <c r="F48" s="612"/>
      <c r="G48" s="613">
        <v>1257</v>
      </c>
      <c r="H48" s="614"/>
      <c r="I48" s="611">
        <v>1303</v>
      </c>
      <c r="J48" s="614"/>
      <c r="K48" s="1335"/>
      <c r="L48" s="2127"/>
      <c r="M48" s="2115"/>
      <c r="N48" s="2115"/>
      <c r="O48" s="2128"/>
      <c r="P48" s="3386" t="str">
        <f>A48</f>
        <v>成交单价</v>
      </c>
      <c r="Q48" s="3386"/>
      <c r="R48" s="3400">
        <f>E48</f>
        <v>1256</v>
      </c>
      <c r="S48" s="3400"/>
      <c r="T48" s="3400">
        <f>G48</f>
        <v>1257</v>
      </c>
      <c r="U48" s="3400"/>
      <c r="V48" s="3400">
        <f>I48</f>
        <v>1303</v>
      </c>
      <c r="W48" s="3400"/>
      <c r="X48" s="1543"/>
      <c r="Y48" s="1565"/>
      <c r="Z48" s="1543"/>
      <c r="AA48" s="1543"/>
      <c r="AB48" s="1543"/>
      <c r="AC48" s="1543"/>
    </row>
    <row r="49" spans="1:29" ht="21" thickBot="1">
      <c r="A49" s="615" t="s">
        <v>2690</v>
      </c>
      <c r="B49" s="616"/>
      <c r="C49" s="617">
        <f>R50</f>
        <v>1232</v>
      </c>
      <c r="D49" s="618"/>
      <c r="E49" s="617">
        <f>R49</f>
        <v>1209</v>
      </c>
      <c r="F49" s="619"/>
      <c r="G49" s="620">
        <f>T49</f>
        <v>1285</v>
      </c>
      <c r="H49" s="618"/>
      <c r="I49" s="617">
        <f>V49</f>
        <v>1203</v>
      </c>
      <c r="J49" s="618"/>
      <c r="K49" s="1336"/>
      <c r="L49" s="2127"/>
      <c r="M49" s="2115"/>
      <c r="N49" s="2115"/>
      <c r="O49" s="2128"/>
      <c r="P49" s="3386" t="str">
        <f>A49</f>
        <v>比较价格（元/平方米）</v>
      </c>
      <c r="Q49" s="3386"/>
      <c r="R49" s="3411">
        <f>ROUND(PRODUCT(R48,AA9:AA47),0)</f>
        <v>1209</v>
      </c>
      <c r="S49" s="3411"/>
      <c r="T49" s="3411">
        <f>ROUND(PRODUCT(T48,AB9:AB47),0)</f>
        <v>1285</v>
      </c>
      <c r="U49" s="3411"/>
      <c r="V49" s="3411">
        <f>ROUND(PRODUCT(V48,AC9:AC47),0)</f>
        <v>1203</v>
      </c>
      <c r="W49" s="3411"/>
      <c r="X49" s="1543"/>
      <c r="Y49" s="1543"/>
      <c r="Z49" s="1543"/>
      <c r="AA49" s="1543"/>
      <c r="AB49" s="1543"/>
      <c r="AC49" s="1543"/>
    </row>
    <row r="50" spans="1:29" ht="21" thickBot="1">
      <c r="A50" s="621" t="s">
        <v>2924</v>
      </c>
      <c r="B50" s="622"/>
      <c r="C50" s="623">
        <f>R50</f>
        <v>1232</v>
      </c>
      <c r="D50" s="623"/>
      <c r="E50" s="623"/>
      <c r="F50" s="623"/>
      <c r="G50" s="623"/>
      <c r="H50" s="623"/>
      <c r="I50" s="623"/>
      <c r="J50" s="623"/>
      <c r="K50" s="1337"/>
      <c r="L50" s="2127"/>
      <c r="M50" s="2115"/>
      <c r="N50" s="2115"/>
      <c r="O50" s="2128"/>
      <c r="P50" s="3408" t="str">
        <f>A50</f>
        <v>估价对象XX用房的比较价格（楼面单价，元/平方米）</v>
      </c>
      <c r="Q50" s="3409"/>
      <c r="R50" s="3410">
        <f>ROUND(AVERAGE(R49:V49),0)</f>
        <v>1232</v>
      </c>
      <c r="S50" s="3410"/>
      <c r="T50" s="3410"/>
      <c r="U50" s="3410"/>
      <c r="V50" s="3410"/>
      <c r="W50" s="341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20.25">
      <c r="A53" s="2128"/>
      <c r="B53" s="2128"/>
      <c r="C53" s="624" t="s">
        <v>557</v>
      </c>
      <c r="D53" s="625"/>
      <c r="E53" s="626">
        <f>IF(E48&lt;E49,E49/E48-1,E48/E49-1)</f>
        <v>3.8875103391232457E-2</v>
      </c>
      <c r="F53" s="627" t="str">
        <f>IF(OR(E53&gt;=0.3,E53&lt;=-0.3),"超过30%","")</f>
        <v/>
      </c>
      <c r="G53" s="626">
        <f>IF(G48&lt;G49,G49/G48-1,G48/G49-1)</f>
        <v>2.2275258552108212E-2</v>
      </c>
      <c r="H53" s="627" t="str">
        <f>IF(OR(G53&gt;=0.3,G53&lt;=-0.3),"超过30%","")</f>
        <v/>
      </c>
      <c r="I53" s="626">
        <f>IF(I48&lt;I49,I49/I48-1,I48/I49-1)</f>
        <v>8.3125519534497094E-2</v>
      </c>
      <c r="J53" s="627"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20.25">
      <c r="A54" s="2128"/>
      <c r="B54" s="2128"/>
      <c r="C54" s="624" t="s">
        <v>558</v>
      </c>
      <c r="D54" s="628"/>
      <c r="E54" s="626">
        <f>IF(E49&lt;G49,G49/E49-1,E49/G49-1)</f>
        <v>6.2861869313482144E-2</v>
      </c>
      <c r="F54" s="627" t="str">
        <f>IF(OR(E54&gt;=0.2,E54&lt;=-0.2),"超过20%","")</f>
        <v/>
      </c>
      <c r="G54" s="626">
        <f>IF(G49&lt;I49,I49/G49-1,G49/I49-1)</f>
        <v>6.8162926018287662E-2</v>
      </c>
      <c r="H54" s="627" t="str">
        <f>IF(OR(G54&gt;=0.2,G54&lt;=-0.2),"超过20%","")</f>
        <v/>
      </c>
      <c r="I54" s="626">
        <f>IF(I49&lt;E49,E49/I49-1,I49/E49-1)</f>
        <v>4.9875311720697368E-3</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20.25">
      <c r="A55" s="2129"/>
      <c r="B55" s="2129"/>
      <c r="C55" s="624" t="s">
        <v>559</v>
      </c>
      <c r="D55" s="628"/>
      <c r="E55" s="626">
        <f>IF(E48&lt;G48,G48/E48-1,E48/G48-1)</f>
        <v>7.9617834394896114E-4</v>
      </c>
      <c r="F55" s="627" t="str">
        <f>IF(OR(E55&gt;=0.3,E55&lt;=-0.3),"超过30%","")</f>
        <v/>
      </c>
      <c r="G55" s="626">
        <f>IF(G48&lt;I48,I48/G48-1,G48/I48-1)</f>
        <v>3.6595067621320698E-2</v>
      </c>
      <c r="H55" s="627" t="str">
        <f>IF(OR(G55&gt;=0.3,G55&lt;=-0.3),"超过30%","")</f>
        <v/>
      </c>
      <c r="I55" s="626">
        <f>IF(I48&lt;E48,E48/I48-1,I48/E48-1)</f>
        <v>3.742038216560517E-2</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7">
      <c r="A57" s="629" t="s">
        <v>560</v>
      </c>
      <c r="B57" s="630" t="s">
        <v>561</v>
      </c>
      <c r="C57" s="1544" t="s">
        <v>1724</v>
      </c>
      <c r="D57" s="2210" t="s">
        <v>2291</v>
      </c>
      <c r="E57" s="631" t="s">
        <v>562</v>
      </c>
      <c r="F57" s="632" t="s">
        <v>563</v>
      </c>
      <c r="G57" s="3370" t="s">
        <v>2279</v>
      </c>
      <c r="H57" s="3371"/>
      <c r="I57" s="1539" t="s">
        <v>1722</v>
      </c>
      <c r="J57" s="1539" t="str">
        <f>项目基本情况!F41</f>
        <v>山东省青岛市</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564</v>
      </c>
      <c r="B58" s="634">
        <f>C50</f>
        <v>1232</v>
      </c>
      <c r="C58" s="635">
        <v>1</v>
      </c>
      <c r="D58" s="2211">
        <v>1</v>
      </c>
      <c r="E58" s="635">
        <f>'数据-汇总表'!E8+'数据-汇总表'!E9</f>
        <v>111957.3</v>
      </c>
      <c r="F58" s="636">
        <f t="shared" ref="F58:F67" si="15">ROUND(B58*E58/10000,0)</f>
        <v>13793</v>
      </c>
      <c r="G58" s="3372"/>
      <c r="H58" s="3373"/>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565</v>
      </c>
      <c r="B59" s="638">
        <f>ROUND($C$50*C59*D59,0)</f>
        <v>0</v>
      </c>
      <c r="C59" s="378">
        <f t="shared" ref="C59:C67" si="16">IF($C$57="北京市系数",I59,J59)</f>
        <v>0</v>
      </c>
      <c r="D59" s="2212">
        <v>0.25</v>
      </c>
      <c r="E59" s="639">
        <v>0</v>
      </c>
      <c r="F59" s="636">
        <f t="shared" si="15"/>
        <v>0</v>
      </c>
      <c r="G59" s="3374"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566</v>
      </c>
      <c r="B60" s="638">
        <f t="shared" ref="B60:B67" si="17">ROUND($C$50*C60*D60,0)</f>
        <v>0</v>
      </c>
      <c r="C60" s="378">
        <f t="shared" si="16"/>
        <v>0</v>
      </c>
      <c r="D60" s="2212">
        <v>0.25</v>
      </c>
      <c r="E60" s="639">
        <v>0</v>
      </c>
      <c r="F60" s="636">
        <f t="shared" si="15"/>
        <v>0</v>
      </c>
      <c r="G60" s="3374"/>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567</v>
      </c>
      <c r="B61" s="638">
        <f t="shared" si="17"/>
        <v>0</v>
      </c>
      <c r="C61" s="378">
        <f t="shared" si="16"/>
        <v>0</v>
      </c>
      <c r="D61" s="2212">
        <v>0.25</v>
      </c>
      <c r="E61" s="639">
        <v>0</v>
      </c>
      <c r="F61" s="636">
        <f t="shared" si="15"/>
        <v>0</v>
      </c>
      <c r="G61" s="3374"/>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568</v>
      </c>
      <c r="B62" s="638">
        <f t="shared" si="17"/>
        <v>0</v>
      </c>
      <c r="C62" s="378">
        <f t="shared" si="16"/>
        <v>0</v>
      </c>
      <c r="D62" s="2212">
        <v>0.25</v>
      </c>
      <c r="E62" s="639">
        <v>0</v>
      </c>
      <c r="F62" s="636">
        <f t="shared" si="15"/>
        <v>0</v>
      </c>
      <c r="G62" s="3374"/>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2326</v>
      </c>
      <c r="B63" s="638">
        <f t="shared" si="17"/>
        <v>0</v>
      </c>
      <c r="C63" s="378">
        <f t="shared" si="16"/>
        <v>0</v>
      </c>
      <c r="D63" s="2212">
        <v>0.25</v>
      </c>
      <c r="E63" s="641">
        <f>'数据-汇总表'!E11</f>
        <v>0</v>
      </c>
      <c r="F63" s="636">
        <f t="shared" si="15"/>
        <v>0</v>
      </c>
      <c r="G63" s="1928" t="s">
        <v>2281</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569</v>
      </c>
      <c r="B64" s="638">
        <f t="shared" si="17"/>
        <v>0</v>
      </c>
      <c r="C64" s="378">
        <f t="shared" si="16"/>
        <v>0</v>
      </c>
      <c r="D64" s="2212">
        <v>0.25</v>
      </c>
      <c r="E64" s="641">
        <f>'数据-汇总表'!E12</f>
        <v>0</v>
      </c>
      <c r="F64" s="636">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570</v>
      </c>
      <c r="B65" s="638">
        <f t="shared" si="17"/>
        <v>0</v>
      </c>
      <c r="C65" s="378">
        <f t="shared" si="16"/>
        <v>0</v>
      </c>
      <c r="D65" s="2212">
        <v>0.25</v>
      </c>
      <c r="E65" s="641">
        <f>'数据-汇总表'!E13</f>
        <v>0</v>
      </c>
      <c r="F65" s="636">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571</v>
      </c>
      <c r="B66" s="638">
        <f t="shared" si="17"/>
        <v>0</v>
      </c>
      <c r="C66" s="378">
        <f t="shared" si="16"/>
        <v>0</v>
      </c>
      <c r="D66" s="2212">
        <v>0.25</v>
      </c>
      <c r="E66" s="641">
        <f>'数据-汇总表'!E14</f>
        <v>0</v>
      </c>
      <c r="F66" s="636">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572</v>
      </c>
      <c r="B67" s="638">
        <f t="shared" si="17"/>
        <v>0</v>
      </c>
      <c r="C67" s="378">
        <f t="shared" si="16"/>
        <v>0</v>
      </c>
      <c r="D67" s="2212">
        <v>0.25</v>
      </c>
      <c r="E67" s="641">
        <f>'数据-汇总表'!E15</f>
        <v>0</v>
      </c>
      <c r="F67" s="636">
        <f t="shared" si="15"/>
        <v>0</v>
      </c>
      <c r="G67" s="1930" t="s">
        <v>2281</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573</v>
      </c>
      <c r="B68" s="643" t="s">
        <v>17</v>
      </c>
      <c r="C68" s="643" t="s">
        <v>18</v>
      </c>
      <c r="D68" s="643" t="s">
        <v>2292</v>
      </c>
      <c r="E68" s="643">
        <f>IF(B48="楼面地价",SUM(E58:E67),'数据-汇总表'!D3)</f>
        <v>111957.3</v>
      </c>
      <c r="F68" s="644">
        <f>IF(B48="楼面地价",SUM(F58:F67),ROUND(C50*E68/10000,0))</f>
        <v>13793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2020-5-1</v>
      </c>
      <c r="D70" s="2752">
        <f>EDATE(C70,-3)</f>
        <v>43862</v>
      </c>
      <c r="E70" s="2752">
        <f t="shared" ref="E70:N70" si="18">EDATE(D70,-3)</f>
        <v>43770</v>
      </c>
      <c r="F70" s="2752">
        <f t="shared" si="18"/>
        <v>43678</v>
      </c>
      <c r="G70" s="2752">
        <f t="shared" si="18"/>
        <v>43586</v>
      </c>
      <c r="H70" s="2752">
        <f t="shared" si="18"/>
        <v>43497</v>
      </c>
      <c r="I70" s="2752">
        <f t="shared" si="18"/>
        <v>43405</v>
      </c>
      <c r="J70" s="2752">
        <f t="shared" si="18"/>
        <v>43313</v>
      </c>
      <c r="K70" s="2752">
        <f t="shared" si="18"/>
        <v>43221</v>
      </c>
      <c r="L70" s="2752">
        <f t="shared" si="18"/>
        <v>43132</v>
      </c>
      <c r="M70" s="2752">
        <f t="shared" si="18"/>
        <v>43040</v>
      </c>
      <c r="N70" s="2752">
        <f t="shared" si="18"/>
        <v>42948</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2530</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97</v>
      </c>
      <c r="E91" s="679">
        <f>D91-$K17</f>
        <v>94</v>
      </c>
      <c r="F91" s="679">
        <f>E91-$K17</f>
        <v>91</v>
      </c>
      <c r="G91" s="679">
        <f>F91-$K17</f>
        <v>88</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97</v>
      </c>
      <c r="E93" s="679">
        <f>D93-$K19</f>
        <v>94</v>
      </c>
      <c r="F93" s="679">
        <f>E93-$K19</f>
        <v>91</v>
      </c>
      <c r="G93" s="679">
        <f>F93-$K19</f>
        <v>88</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97</v>
      </c>
      <c r="E95" s="679">
        <f>D95-$K21</f>
        <v>94</v>
      </c>
      <c r="F95" s="679">
        <f>E95-$K21</f>
        <v>91</v>
      </c>
      <c r="G95" s="679">
        <f>F95-$K21</f>
        <v>88</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97</v>
      </c>
      <c r="E97" s="679">
        <f>D97-$K23</f>
        <v>94</v>
      </c>
      <c r="F97" s="679">
        <f>E97-$K23</f>
        <v>91</v>
      </c>
      <c r="G97" s="679">
        <f>F97-$K23</f>
        <v>88</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97</v>
      </c>
      <c r="E99" s="679">
        <f>D99-$K25</f>
        <v>94</v>
      </c>
      <c r="F99" s="679">
        <f>E99-$K25</f>
        <v>91</v>
      </c>
      <c r="G99" s="679">
        <f>F99-$K25</f>
        <v>88</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2546</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2548</v>
      </c>
      <c r="C104" s="2560" t="s">
        <v>2549</v>
      </c>
      <c r="D104" s="2560" t="s">
        <v>2550</v>
      </c>
      <c r="E104" s="2560" t="s">
        <v>2551</v>
      </c>
      <c r="F104" s="2560" t="s">
        <v>2552</v>
      </c>
      <c r="G104" s="2560" t="s">
        <v>2553</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1" t="str">
        <f t="shared" si="25"/>
        <v>(含)-</v>
      </c>
      <c r="K118" s="3041" t="str">
        <f t="shared" si="25"/>
        <v>(含)-</v>
      </c>
      <c r="L118" s="3042" t="str">
        <f t="shared" si="25"/>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10000</v>
      </c>
      <c r="E119" s="730">
        <v>20000</v>
      </c>
      <c r="F119" s="730">
        <v>50000</v>
      </c>
      <c r="G119" s="730">
        <v>100000</v>
      </c>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26">
        <v>102</v>
      </c>
      <c r="F120" s="726">
        <v>103</v>
      </c>
      <c r="G120" s="726">
        <v>104</v>
      </c>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2423</v>
      </c>
      <c r="C125" s="1369" t="s">
        <v>3201</v>
      </c>
      <c r="D125" s="1369" t="s">
        <v>3202</v>
      </c>
      <c r="E125" s="1369" t="s">
        <v>3203</v>
      </c>
      <c r="F125" s="1369" t="s">
        <v>3204</v>
      </c>
      <c r="G125" s="1369" t="s">
        <v>3205</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2" sqref="M22"/>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2">
        <f>MATCH(B1,'数据-取费表'!A6:A16,0)+5</f>
        <v>7</v>
      </c>
    </row>
    <row r="2" spans="1:31" s="2024" customFormat="1" ht="18" customHeight="1">
      <c r="A2" s="2084" t="s">
        <v>467</v>
      </c>
      <c r="B2" s="2088">
        <f ca="1">C36</f>
        <v>27738</v>
      </c>
      <c r="C2" s="2087"/>
      <c r="D2" s="2087"/>
      <c r="E2" s="2087"/>
      <c r="F2" s="2087"/>
      <c r="G2" s="2087"/>
      <c r="H2" s="2087"/>
      <c r="I2" s="2087"/>
      <c r="J2" s="2087"/>
      <c r="K2" s="2087"/>
    </row>
    <row r="3" spans="1:31" s="2024" customFormat="1" ht="18" customHeight="1">
      <c r="A3" s="2089" t="s">
        <v>1684</v>
      </c>
      <c r="B3" s="2090">
        <f ca="1">ROUND(B2*10000/IF(B1="",'数据-汇总表'!E3,INDIRECT("'数据-取费表'!K"&amp;$K$1)),0)</f>
        <v>2478</v>
      </c>
      <c r="C3" s="2087"/>
      <c r="D3" s="2087"/>
      <c r="E3" s="2087"/>
      <c r="F3" s="2087"/>
      <c r="G3" s="2087"/>
      <c r="H3" s="2087"/>
      <c r="I3" s="2087"/>
      <c r="J3" s="2087"/>
      <c r="K3" s="2087"/>
    </row>
    <row r="4" spans="1:31" s="2024" customFormat="1" ht="18" customHeight="1">
      <c r="A4" s="426" t="s">
        <v>468</v>
      </c>
      <c r="B4" s="427">
        <f ca="1">ROUND(B2*10000/IF(B1="",'数据-汇总表'!D3,INDIRECT("'数据-取费表'!R"&amp;$K$1)),0)</f>
        <v>5203</v>
      </c>
      <c r="C4" s="428"/>
      <c r="D4" s="422"/>
      <c r="E4" s="422"/>
      <c r="F4" s="422"/>
      <c r="G4" s="422"/>
      <c r="H4" s="422"/>
      <c r="I4" s="422"/>
      <c r="J4" s="422"/>
      <c r="K4" s="422"/>
    </row>
    <row r="5" spans="1:31" s="2024" customFormat="1" ht="18" customHeight="1" thickBot="1">
      <c r="A5" s="429"/>
      <c r="B5" s="430">
        <f ca="1">ROUND(B2/(IF(B1="",'数据-汇总表'!D3,INDIRECT("'数据-取费表'!R"&amp;$K$1))/666.67),0)</f>
        <v>347</v>
      </c>
      <c r="C5" s="431" t="s">
        <v>469</v>
      </c>
      <c r="D5" s="422"/>
      <c r="E5" s="422"/>
      <c r="F5" s="422"/>
      <c r="G5" s="422"/>
      <c r="H5" s="422"/>
      <c r="I5" s="422"/>
      <c r="J5" s="422"/>
      <c r="K5" s="422"/>
    </row>
    <row r="6" spans="1:31" s="2094" customFormat="1" ht="16.5" customHeight="1">
      <c r="A6" s="2781" t="s">
        <v>1842</v>
      </c>
      <c r="B6" s="2782"/>
      <c r="C6" s="2783">
        <f>SUM(C10:K10)</f>
        <v>89510</v>
      </c>
      <c r="D6" s="2782"/>
      <c r="E6" s="2782"/>
      <c r="F6" s="2782"/>
      <c r="G6" s="2782"/>
      <c r="H6" s="2782"/>
      <c r="I6" s="2782"/>
      <c r="J6" s="2782"/>
      <c r="K6" s="2784"/>
    </row>
    <row r="7" spans="1:31" s="2096" customFormat="1" ht="15">
      <c r="A7" s="2785" t="s">
        <v>470</v>
      </c>
      <c r="B7" s="2786" t="s">
        <v>471</v>
      </c>
      <c r="C7" s="436" t="s">
        <v>2998</v>
      </c>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1845</v>
      </c>
      <c r="B8" s="261" t="s">
        <v>472</v>
      </c>
      <c r="C8" s="2787">
        <f>'不动产比较法-住宅'!B3</f>
        <v>7995</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1846</v>
      </c>
      <c r="B9" s="261" t="s">
        <v>473</v>
      </c>
      <c r="C9" s="441">
        <f>SUMIF('数据-汇总表'!$C19:$C33,'剩余法-待开发'!C7,'数据-汇总表'!$E19:$E33)</f>
        <v>111957.3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89510</v>
      </c>
      <c r="D10" s="2978"/>
      <c r="E10" s="2978"/>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50">
        <f ca="1">IF(B1="",'数据-取费表'!P16,INDIRECT("'数据-取费表'!p"&amp;$K$1)+INDIRECT("'数据-取费表'!t"&amp;$K$1))</f>
        <v>29109</v>
      </c>
      <c r="D13" s="2797"/>
      <c r="E13" s="2798"/>
      <c r="F13" s="2799"/>
      <c r="G13" s="2765"/>
      <c r="H13" s="2766"/>
      <c r="I13" s="2766"/>
      <c r="J13" s="2766"/>
      <c r="K13" s="2767"/>
    </row>
    <row r="14" spans="1:31" s="2099" customFormat="1" ht="13.5" customHeight="1">
      <c r="A14" s="2795" t="s">
        <v>1849</v>
      </c>
      <c r="B14" s="2796" t="s">
        <v>480</v>
      </c>
      <c r="C14" s="53">
        <f ca="1">ROUND(C13*F14,0)</f>
        <v>1455</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0" customFormat="1" ht="13.5" customHeight="1">
      <c r="A16" s="2795" t="s">
        <v>1851</v>
      </c>
      <c r="B16" s="2796" t="s">
        <v>484</v>
      </c>
      <c r="C16" s="53">
        <f ca="1">ROUND(D16*E16/10000,0)</f>
        <v>2239</v>
      </c>
      <c r="D16" s="2797">
        <f ca="1">IF(B1="",'数据-汇总表'!E3,INDIRECT("'数据-取费表'!K"&amp;$K$1)+INDIRECT("'数据-取费表'!S"&amp;$K$1))</f>
        <v>111957.3</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437</v>
      </c>
      <c r="D17" s="475"/>
      <c r="E17" s="2801"/>
      <c r="F17" s="2802">
        <f>'数据-取费表'!B36</f>
        <v>1.4999999999999999E-2</v>
      </c>
      <c r="G17" s="261" t="s">
        <v>486</v>
      </c>
      <c r="H17" s="2768"/>
      <c r="I17" s="2768"/>
      <c r="J17" s="2768"/>
      <c r="K17" s="279"/>
    </row>
    <row r="18" spans="1:14" s="2099" customFormat="1" ht="13.5" customHeight="1">
      <c r="A18" s="2803" t="s">
        <v>1853</v>
      </c>
      <c r="B18" s="2804" t="s">
        <v>487</v>
      </c>
      <c r="C18" s="2805">
        <f ca="1">SUM(C13:C17)</f>
        <v>33240</v>
      </c>
      <c r="D18" s="2806"/>
      <c r="E18" s="468"/>
      <c r="F18" s="468"/>
      <c r="G18" s="2769" t="s">
        <v>2428</v>
      </c>
      <c r="H18" s="2770"/>
      <c r="I18" s="2770"/>
      <c r="J18" s="2770"/>
      <c r="K18" s="2771"/>
    </row>
    <row r="19" spans="1:14" s="2099" customFormat="1" ht="13.5" customHeight="1">
      <c r="A19" s="2803" t="s">
        <v>1854</v>
      </c>
      <c r="B19" s="2804" t="s">
        <v>488</v>
      </c>
      <c r="C19" s="2761">
        <f ca="1">ROUND(D19*E19/10000,0)</f>
        <v>1120</v>
      </c>
      <c r="D19" s="2807">
        <f ca="1">D16</f>
        <v>111957.3</v>
      </c>
      <c r="E19" s="2761">
        <f>'数据-取费表'!B32</f>
        <v>100</v>
      </c>
      <c r="F19" s="468"/>
      <c r="G19" s="2765" t="s">
        <v>489</v>
      </c>
      <c r="H19" s="2766"/>
      <c r="I19" s="2770"/>
      <c r="J19" s="2770"/>
      <c r="K19" s="2771"/>
    </row>
    <row r="20" spans="1:14" s="2099" customFormat="1" ht="13.5" customHeight="1">
      <c r="A20" s="2803" t="s">
        <v>1855</v>
      </c>
      <c r="B20" s="2804" t="s">
        <v>490</v>
      </c>
      <c r="C20" s="2761">
        <f ca="1">C21+C22-IF(B1="",'数据-取费表'!B29,IF(G20="已全部缴纳",C21+C22,H20))</f>
        <v>2396</v>
      </c>
      <c r="D20" s="2807"/>
      <c r="E20" s="2761"/>
      <c r="F20" s="2808"/>
      <c r="G20" s="3037"/>
      <c r="H20" s="2763"/>
      <c r="I20" s="2764" t="s">
        <v>2648</v>
      </c>
      <c r="J20" s="2770"/>
      <c r="K20" s="2771"/>
    </row>
    <row r="21" spans="1:14" s="2099" customFormat="1" ht="13.5" customHeight="1">
      <c r="A21" s="2795" t="s">
        <v>1856</v>
      </c>
      <c r="B21" s="2796" t="s">
        <v>491</v>
      </c>
      <c r="C21" s="53">
        <f ca="1">ROUND(D21*E21/10000,0)</f>
        <v>2396</v>
      </c>
      <c r="D21" s="2797">
        <f ca="1">IF(B1="",'数据-汇总表'!E5,IF(INDIRECT("'数据-取费表'!c"&amp;$K$1)="住宅",INDIRECT("'数据-取费表'!k"&amp;$K$1),0))</f>
        <v>111957.3</v>
      </c>
      <c r="E21" s="53">
        <f>'数据-取费表'!B27</f>
        <v>214</v>
      </c>
      <c r="F21" s="2800"/>
      <c r="G21" s="26"/>
      <c r="H21" s="51"/>
      <c r="I21" s="51"/>
      <c r="J21" s="51"/>
      <c r="K21" s="2772"/>
    </row>
    <row r="22" spans="1:14" s="2099"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214</v>
      </c>
      <c r="F22" s="2800"/>
      <c r="G22" s="26"/>
      <c r="H22" s="51"/>
      <c r="I22" s="51"/>
      <c r="J22" s="51"/>
      <c r="K22" s="2772"/>
    </row>
    <row r="23" spans="1:14" s="2099" customFormat="1" ht="13.5" customHeight="1">
      <c r="A23" s="2803" t="s">
        <v>1858</v>
      </c>
      <c r="B23" s="2984" t="s">
        <v>2831</v>
      </c>
      <c r="C23" s="2805">
        <f ca="1">ROUND((C18+C19+C20)*F23,0)</f>
        <v>735</v>
      </c>
      <c r="D23" s="468"/>
      <c r="E23" s="468"/>
      <c r="F23" s="2809">
        <f>'数据-取费表'!B37</f>
        <v>0.02</v>
      </c>
      <c r="G23" s="2765" t="s">
        <v>2429</v>
      </c>
      <c r="H23" s="2766"/>
      <c r="I23" s="2766"/>
      <c r="J23" s="2766"/>
      <c r="K23" s="2767"/>
      <c r="L23" s="2101"/>
      <c r="M23" s="2101"/>
      <c r="N23" s="2101"/>
    </row>
    <row r="24" spans="1:14" s="2099" customFormat="1" ht="13.5" customHeight="1">
      <c r="A24" s="2803" t="s">
        <v>1859</v>
      </c>
      <c r="B24" s="2984" t="s">
        <v>2834</v>
      </c>
      <c r="C24" s="2805">
        <f>ROUND(C6*F24,0)</f>
        <v>2238</v>
      </c>
      <c r="D24" s="475"/>
      <c r="E24" s="473"/>
      <c r="F24" s="2809">
        <f>'数据-取费表'!B38</f>
        <v>2.5000000000000001E-2</v>
      </c>
      <c r="G24" s="2774" t="s">
        <v>499</v>
      </c>
      <c r="H24" s="2768"/>
      <c r="I24" s="2768"/>
      <c r="J24" s="2768"/>
      <c r="K24" s="279"/>
      <c r="L24" s="2101"/>
      <c r="M24" s="2101"/>
      <c r="N24" s="2101"/>
    </row>
    <row r="25" spans="1:14" s="2102" customFormat="1" ht="13.5" customHeight="1">
      <c r="A25" s="2803" t="s">
        <v>1860</v>
      </c>
      <c r="B25" s="2984" t="s">
        <v>2832</v>
      </c>
      <c r="C25" s="467">
        <f>ROUND(F25/(1+'数据-取费表'!C42),4)</f>
        <v>3.8600000000000002E-2</v>
      </c>
      <c r="D25" s="462" t="s">
        <v>2826</v>
      </c>
      <c r="E25" s="469"/>
      <c r="F25" s="2809">
        <f>IF(项目基本情况!B8="出让",0,'数据-取费表'!B48+'数据-取费表'!B49)</f>
        <v>4.0500000000000001E-2</v>
      </c>
      <c r="G25" s="2773" t="s">
        <v>2287</v>
      </c>
      <c r="H25" s="2766"/>
      <c r="I25" s="2766"/>
      <c r="J25" s="2766"/>
      <c r="K25" s="2767"/>
    </row>
    <row r="26" spans="1:14" s="2101" customFormat="1" ht="13.5" customHeight="1">
      <c r="A26" s="2803" t="s">
        <v>1861</v>
      </c>
      <c r="B26" s="2985" t="s">
        <v>2833</v>
      </c>
      <c r="C26" s="2810">
        <f ca="1">C28</f>
        <v>2373</v>
      </c>
      <c r="D26" s="467">
        <f ca="1">C27</f>
        <v>0.1278</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1856</v>
      </c>
      <c r="B27" s="2811" t="s">
        <v>496</v>
      </c>
      <c r="C27" s="2812">
        <f ca="1">ROUND(IF('数据-取费表'!B22&lt;=1,(1+C25)*F26*'数据-取费表'!B24,(1+C25)*(POWER((1+F26),'数据-取费表'!B24)-1)),4)</f>
        <v>0.1278</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1857</v>
      </c>
      <c r="B28" s="2811" t="s">
        <v>2835</v>
      </c>
      <c r="C28" s="2813">
        <f ca="1">ROUND(IF('数据-取费表'!B22&lt;=1,(C18+C19+C20+C23+C24)*F26*'数据-取费表'!B24/2,(C18+C19+C20+C23+C24)*(POWER((1+F26),'数据-取费表'!B24/2)-1)),0)</f>
        <v>2373</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1862</v>
      </c>
      <c r="B29" s="2804" t="s">
        <v>497</v>
      </c>
      <c r="C29" s="2805">
        <f>ROUND(C6*F29/(1+'数据-取费表'!C42),0)</f>
        <v>4774</v>
      </c>
      <c r="D29" s="468"/>
      <c r="E29" s="468"/>
      <c r="F29" s="2986">
        <f>'数据-取费表'!B41</f>
        <v>5.6000000000000001E-2</v>
      </c>
      <c r="G29" s="2774" t="s">
        <v>498</v>
      </c>
      <c r="H29" s="2766"/>
      <c r="I29" s="2766"/>
      <c r="J29" s="2766"/>
      <c r="K29" s="2767"/>
    </row>
    <row r="30" spans="1:14" s="2104" customFormat="1" ht="13.5" customHeight="1">
      <c r="A30" s="1618" t="s">
        <v>1863</v>
      </c>
      <c r="B30" s="2815" t="s">
        <v>500</v>
      </c>
      <c r="C30" s="2810">
        <f ca="1">C31</f>
        <v>46876</v>
      </c>
      <c r="D30" s="477">
        <f ca="1">C32</f>
        <v>0.16639999999999999</v>
      </c>
      <c r="E30" s="469" t="s">
        <v>495</v>
      </c>
      <c r="F30" s="471"/>
      <c r="G30" s="2773" t="s">
        <v>2960</v>
      </c>
      <c r="H30" s="2766"/>
      <c r="I30" s="2766"/>
      <c r="J30" s="2766"/>
      <c r="K30" s="2767"/>
    </row>
    <row r="31" spans="1:14" s="2103" customFormat="1" ht="13.5" customHeight="1">
      <c r="A31" s="803" t="s">
        <v>1856</v>
      </c>
      <c r="B31" s="2811"/>
      <c r="C31" s="450">
        <f ca="1">C18+C19+C20+C23+C24+C26+C29</f>
        <v>46876</v>
      </c>
      <c r="D31" s="472"/>
      <c r="E31" s="473"/>
      <c r="F31" s="474"/>
      <c r="G31" s="261"/>
      <c r="H31" s="2768"/>
      <c r="I31" s="2768"/>
      <c r="J31" s="2768"/>
      <c r="K31" s="279"/>
    </row>
    <row r="32" spans="1:14" s="2103" customFormat="1" ht="13.5" customHeight="1">
      <c r="A32" s="803" t="s">
        <v>1857</v>
      </c>
      <c r="B32" s="2811"/>
      <c r="C32" s="53">
        <f ca="1">ROUND(C25+D26,4)</f>
        <v>0.16639999999999999</v>
      </c>
      <c r="D32" s="472"/>
      <c r="E32" s="473"/>
      <c r="F32" s="474"/>
      <c r="G32" s="261"/>
      <c r="H32" s="2768"/>
      <c r="I32" s="2768"/>
      <c r="J32" s="2768"/>
      <c r="K32" s="279"/>
    </row>
    <row r="33" spans="1:11" s="2105" customFormat="1" ht="13.5" customHeight="1">
      <c r="A33" s="2983" t="s">
        <v>2830</v>
      </c>
      <c r="B33" s="2981" t="s">
        <v>2828</v>
      </c>
      <c r="C33" s="478">
        <f ca="1">C35</f>
        <v>5959</v>
      </c>
      <c r="D33" s="467">
        <f ca="1">C34</f>
        <v>0.15579999999999999</v>
      </c>
      <c r="E33" s="469" t="s">
        <v>495</v>
      </c>
      <c r="F33" s="479">
        <f ca="1">IF(B1="",'数据-取费表'!Q16,INDIRECT("'数据-取费表'!q"&amp;$K$1))</f>
        <v>0.15</v>
      </c>
      <c r="G33" s="2769"/>
      <c r="H33" s="2770"/>
      <c r="I33" s="2770"/>
      <c r="J33" s="2770"/>
      <c r="K33" s="2771"/>
    </row>
    <row r="34" spans="1:11" s="2106" customFormat="1" ht="13.5" customHeight="1">
      <c r="A34" s="375" t="s">
        <v>1856</v>
      </c>
      <c r="B34" s="2816" t="s">
        <v>501</v>
      </c>
      <c r="C34" s="472">
        <f ca="1">ROUND((1+C25)*F33,4)</f>
        <v>0.15579999999999999</v>
      </c>
      <c r="D34" s="472"/>
      <c r="E34" s="473"/>
      <c r="F34" s="480"/>
      <c r="G34" s="261" t="s">
        <v>2288</v>
      </c>
      <c r="H34" s="2768"/>
      <c r="I34" s="2768"/>
      <c r="J34" s="2768"/>
      <c r="K34" s="279"/>
    </row>
    <row r="35" spans="1:11" s="2106" customFormat="1" ht="13.5" customHeight="1" thickBot="1">
      <c r="A35" s="1619" t="s">
        <v>1857</v>
      </c>
      <c r="B35" s="2982" t="s">
        <v>2836</v>
      </c>
      <c r="C35" s="1611">
        <f ca="1">ROUND((C18+C19+C20+C23+C24)*F33,0)</f>
        <v>5959</v>
      </c>
      <c r="D35" s="1612"/>
      <c r="E35" s="2817"/>
      <c r="F35" s="1613"/>
      <c r="G35" s="2775"/>
      <c r="H35" s="2776"/>
      <c r="I35" s="2776"/>
      <c r="J35" s="2776"/>
      <c r="K35" s="2777"/>
    </row>
    <row r="36" spans="1:11" s="2068" customFormat="1" ht="13.5" customHeight="1" thickBot="1">
      <c r="A36" s="284" t="s">
        <v>1844</v>
      </c>
      <c r="B36" s="2779"/>
      <c r="C36" s="2818">
        <f ca="1">ROUND((C6-C30-C33)/(1+D30+D33),0)</f>
        <v>27738</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04" t="str">
        <f>项目基本情况!B1</f>
        <v>山东省青岛市胶州市出让国有建设用地使用权抵押价格预评估</v>
      </c>
      <c r="C37" s="3204"/>
      <c r="D37" s="3204"/>
      <c r="E37" s="3204"/>
      <c r="F37" s="3204"/>
      <c r="G37" s="3204"/>
      <c r="H37" s="3204"/>
      <c r="I37" s="3204"/>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ht="12.75">
      <c r="B46" s="1637" t="str">
        <f>项目基本情况!K4</f>
        <v>王鹏、郑燚</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762"/>
      <c r="C1" s="2087"/>
      <c r="D1" s="2087"/>
      <c r="E1" s="2087"/>
      <c r="F1" s="2087"/>
      <c r="G1" s="2087"/>
      <c r="H1" s="2087"/>
      <c r="I1" s="2087"/>
      <c r="J1" s="2087"/>
      <c r="K1" s="422">
        <f>MATCH(B1,'数据-取费表'!A6:A16,0)+5</f>
        <v>7</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1684</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2649</v>
      </c>
      <c r="B6" s="433"/>
      <c r="C6" s="1606">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1848</v>
      </c>
      <c r="B13" s="449" t="s">
        <v>479</v>
      </c>
      <c r="C13" s="450">
        <f ca="1">IF(B1="",'数据-取费表'!M16,INDIRECT("'数据-取费表'!M"&amp;$K$1)+INDIRECT("'数据-取费表'!t"&amp;$K$1))</f>
        <v>29109</v>
      </c>
      <c r="D13" s="451"/>
      <c r="E13" s="365"/>
      <c r="F13" s="452"/>
      <c r="G13" s="444"/>
      <c r="H13" s="447"/>
      <c r="I13" s="447"/>
      <c r="J13" s="447"/>
      <c r="K13" s="448"/>
    </row>
    <row r="14" spans="1:41" s="2099" customFormat="1" ht="13.5" customHeight="1">
      <c r="A14" s="1616" t="s">
        <v>1849</v>
      </c>
      <c r="B14" s="449" t="s">
        <v>480</v>
      </c>
      <c r="C14" s="53">
        <f ca="1">ROUND(C13*F14,0)</f>
        <v>1455</v>
      </c>
      <c r="D14" s="451"/>
      <c r="E14" s="365"/>
      <c r="F14" s="453">
        <f>'数据-取费表'!B33</f>
        <v>0.05</v>
      </c>
      <c r="G14" s="444" t="s">
        <v>502</v>
      </c>
      <c r="H14" s="447"/>
      <c r="I14" s="447"/>
      <c r="J14" s="447"/>
      <c r="K14" s="448"/>
    </row>
    <row r="15" spans="1:41" s="2099" customFormat="1" ht="13.5" customHeight="1">
      <c r="A15" s="1616"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1851</v>
      </c>
      <c r="B16" s="449" t="s">
        <v>484</v>
      </c>
      <c r="C16" s="53">
        <f ca="1">ROUND(D16*E16/10000,0)</f>
        <v>2239</v>
      </c>
      <c r="D16" s="451">
        <f ca="1">IF(B1="",'数据-汇总表'!E3,INDIRECT("'数据-取费表'!K"&amp;$K$1)+INDIRECT("'数据-取费表'!S"&amp;$K$1))</f>
        <v>111957.3</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9" t="s">
        <v>485</v>
      </c>
      <c r="C17" s="454">
        <f ca="1">ROUND(C13*F17,0)</f>
        <v>437</v>
      </c>
      <c r="D17" s="455"/>
      <c r="E17" s="454"/>
      <c r="F17" s="456">
        <f>'数据-取费表'!B36</f>
        <v>1.4999999999999999E-2</v>
      </c>
      <c r="G17" s="444" t="s">
        <v>502</v>
      </c>
      <c r="H17" s="457"/>
      <c r="I17" s="457"/>
      <c r="J17" s="457"/>
      <c r="K17" s="458"/>
    </row>
    <row r="18" spans="1:14" s="2102" customFormat="1" ht="13.5" customHeight="1">
      <c r="A18" s="1617" t="s">
        <v>1853</v>
      </c>
      <c r="B18" s="459" t="s">
        <v>487</v>
      </c>
      <c r="C18" s="460">
        <f ca="1">SUM(C13:C17)</f>
        <v>33240</v>
      </c>
      <c r="D18" s="461"/>
      <c r="E18" s="462"/>
      <c r="F18" s="462"/>
      <c r="G18" s="1322" t="s">
        <v>2430</v>
      </c>
      <c r="H18" s="447"/>
      <c r="I18" s="447"/>
      <c r="J18" s="447"/>
      <c r="K18" s="448"/>
    </row>
    <row r="19" spans="1:14" s="2102" customFormat="1" ht="13.5" customHeight="1">
      <c r="A19" s="1617" t="s">
        <v>1854</v>
      </c>
      <c r="B19" s="459" t="s">
        <v>493</v>
      </c>
      <c r="C19" s="460">
        <f ca="1">ROUND(C18*F19,0)</f>
        <v>665</v>
      </c>
      <c r="D19" s="462"/>
      <c r="E19" s="462"/>
      <c r="F19" s="466">
        <f>'数据-取费表'!B37</f>
        <v>0.02</v>
      </c>
      <c r="G19" s="444" t="s">
        <v>503</v>
      </c>
      <c r="H19" s="447"/>
      <c r="I19" s="447"/>
      <c r="J19" s="447"/>
      <c r="K19" s="448"/>
      <c r="L19" s="2104"/>
      <c r="M19" s="2104"/>
      <c r="N19" s="2104"/>
    </row>
    <row r="20" spans="1:14" s="2102" customFormat="1" ht="13.5" customHeight="1">
      <c r="A20" s="1617" t="s">
        <v>1855</v>
      </c>
      <c r="B20" s="459" t="s">
        <v>504</v>
      </c>
      <c r="C20" s="2979">
        <f>F20</f>
        <v>2.5000000000000001E-2</v>
      </c>
      <c r="D20" s="469" t="s">
        <v>505</v>
      </c>
      <c r="E20" s="469"/>
      <c r="F20" s="486">
        <f>'数据-取费表'!B38</f>
        <v>2.5000000000000001E-2</v>
      </c>
      <c r="G20" s="1322" t="s">
        <v>506</v>
      </c>
      <c r="H20" s="447"/>
      <c r="I20" s="447"/>
      <c r="J20" s="447"/>
      <c r="K20" s="448"/>
      <c r="L20" s="2104"/>
      <c r="M20" s="2104"/>
      <c r="N20" s="2104"/>
    </row>
    <row r="21" spans="1:14" s="2104" customFormat="1" ht="13.5" customHeight="1">
      <c r="A21" s="1617" t="s">
        <v>1858</v>
      </c>
      <c r="B21" s="461" t="s">
        <v>494</v>
      </c>
      <c r="C21" s="470">
        <f ca="1">C22</f>
        <v>2025</v>
      </c>
      <c r="D21" s="467">
        <f ca="1">C23</f>
        <v>1.5E-3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2452</v>
      </c>
    </row>
    <row r="22" spans="1:14" s="2103" customFormat="1" ht="13.5" customHeight="1">
      <c r="A22" s="1616" t="s">
        <v>1848</v>
      </c>
      <c r="B22" s="1323" t="s">
        <v>2433</v>
      </c>
      <c r="C22" s="487">
        <f ca="1">ROUND(IF('数据-取费表'!B22&lt;=1,(C18+C19)*F21*'数据-取费表'!B20/2,(C18+C19)*(POWER((1+F21),'数据-取费表'!B20/2)-1)),0)</f>
        <v>2025</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1849</v>
      </c>
      <c r="B23" s="1323" t="s">
        <v>508</v>
      </c>
      <c r="C23" s="488">
        <f ca="1">ROUND(IF('数据-取费表'!B22&lt;=1,F20*F21*'数据-取费表'!B20/2,F20*(POWER((1+F21),'数据-取费表'!B20/2)-1)),4)</f>
        <v>1.5E-3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1859</v>
      </c>
      <c r="B24" s="2981" t="s">
        <v>2829</v>
      </c>
      <c r="C24" s="478">
        <f ca="1">C25</f>
        <v>5086</v>
      </c>
      <c r="D24" s="489">
        <f ca="1">C26</f>
        <v>3.8E-3</v>
      </c>
      <c r="E24" s="469" t="s">
        <v>507</v>
      </c>
      <c r="F24" s="479">
        <f ca="1">IF(B1="",'数据-取费表'!Q16,INDIRECT("'数据-取费表'!q"&amp;$K$1))</f>
        <v>0.15</v>
      </c>
      <c r="G24" s="444"/>
      <c r="H24" s="447"/>
      <c r="I24" s="447"/>
      <c r="J24" s="447"/>
      <c r="K24" s="448"/>
    </row>
    <row r="25" spans="1:14" s="2103" customFormat="1" ht="13.5" customHeight="1">
      <c r="A25" s="1616" t="s">
        <v>1848</v>
      </c>
      <c r="B25" s="1323" t="s">
        <v>2434</v>
      </c>
      <c r="C25" s="490">
        <f ca="1">ROUND((C18+C19)*F24,0)</f>
        <v>5086</v>
      </c>
      <c r="D25" s="472"/>
      <c r="E25" s="473"/>
      <c r="F25" s="480"/>
      <c r="G25" s="1321" t="s">
        <v>2431</v>
      </c>
      <c r="H25" s="457"/>
      <c r="I25" s="457"/>
      <c r="J25" s="457"/>
      <c r="K25" s="458"/>
    </row>
    <row r="26" spans="1:14" s="2103" customFormat="1" ht="13.5" customHeight="1">
      <c r="A26" s="1616" t="s">
        <v>1849</v>
      </c>
      <c r="B26" s="1323" t="s">
        <v>509</v>
      </c>
      <c r="C26" s="491">
        <f ca="1">ROUND(F20*F24,4)</f>
        <v>3.8E-3</v>
      </c>
      <c r="D26" s="472"/>
      <c r="E26" s="481"/>
      <c r="F26" s="480"/>
      <c r="G26" s="1321" t="s">
        <v>510</v>
      </c>
      <c r="H26" s="457"/>
      <c r="I26" s="457"/>
      <c r="J26" s="457"/>
      <c r="K26" s="458"/>
    </row>
    <row r="27" spans="1:14" s="2103" customFormat="1" ht="13.5" customHeight="1">
      <c r="A27" s="1620" t="s">
        <v>1867</v>
      </c>
      <c r="B27" s="459" t="s">
        <v>511</v>
      </c>
      <c r="C27" s="2980">
        <f>ROUND(F27/(1+'数据-取费表'!C42),4)</f>
        <v>5.33E-2</v>
      </c>
      <c r="D27" s="462" t="s">
        <v>2827</v>
      </c>
      <c r="E27" s="462"/>
      <c r="F27" s="466">
        <f>'数据-取费表'!B41</f>
        <v>5.6000000000000001E-2</v>
      </c>
      <c r="G27" s="1943" t="s">
        <v>2289</v>
      </c>
      <c r="H27" s="447"/>
      <c r="I27" s="447"/>
      <c r="J27" s="447"/>
      <c r="K27" s="448"/>
    </row>
    <row r="28" spans="1:14" s="2104" customFormat="1" ht="13.5" customHeight="1">
      <c r="A28" s="1620" t="s">
        <v>1868</v>
      </c>
      <c r="B28" s="476" t="s">
        <v>512</v>
      </c>
      <c r="C28" s="470">
        <f ca="1">ROUND((C18+C19+C21+C24)/(1-C20-D21-D24-C27),0)</f>
        <v>44758</v>
      </c>
      <c r="D28" s="477"/>
      <c r="E28" s="469"/>
      <c r="F28" s="471"/>
      <c r="G28" s="1322" t="s">
        <v>2432</v>
      </c>
      <c r="H28" s="447"/>
      <c r="I28" s="447"/>
      <c r="J28" s="447"/>
      <c r="K28" s="448"/>
    </row>
    <row r="29" spans="1:14" s="2104" customFormat="1" ht="13.5" customHeight="1">
      <c r="A29" s="1620" t="s">
        <v>1869</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1865</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5">
      <c r="A6" s="512" t="s">
        <v>521</v>
      </c>
      <c r="B6" s="513"/>
      <c r="C6" s="3392" t="s">
        <v>522</v>
      </c>
      <c r="D6" s="3393"/>
      <c r="E6" s="3417" t="s">
        <v>523</v>
      </c>
      <c r="F6" s="3418"/>
      <c r="G6" s="3392" t="s">
        <v>524</v>
      </c>
      <c r="H6" s="3393"/>
      <c r="I6" s="3392" t="s">
        <v>525</v>
      </c>
      <c r="J6" s="3393"/>
      <c r="K6" s="514" t="s">
        <v>526</v>
      </c>
      <c r="L6" s="2116"/>
      <c r="M6" s="2117"/>
      <c r="N6" s="2117"/>
      <c r="O6" s="2117"/>
      <c r="P6" s="3394" t="s">
        <v>527</v>
      </c>
      <c r="Q6" s="3395"/>
      <c r="R6" s="3380" t="s">
        <v>523</v>
      </c>
      <c r="S6" s="3381"/>
      <c r="T6" s="3380" t="s">
        <v>524</v>
      </c>
      <c r="U6" s="3381"/>
      <c r="V6" s="3400" t="s">
        <v>525</v>
      </c>
      <c r="W6" s="3400"/>
      <c r="X6" s="1551"/>
      <c r="Y6" s="3380" t="s">
        <v>527</v>
      </c>
      <c r="Z6" s="3381"/>
      <c r="AA6" s="3375" t="s">
        <v>523</v>
      </c>
      <c r="AB6" s="3376" t="s">
        <v>524</v>
      </c>
      <c r="AC6" s="3375" t="s">
        <v>525</v>
      </c>
    </row>
    <row r="7" spans="1:29" ht="15">
      <c r="A7" s="515"/>
      <c r="B7" s="516"/>
      <c r="C7" s="3405" t="s">
        <v>2918</v>
      </c>
      <c r="D7" s="3404"/>
      <c r="E7" s="3419" t="s">
        <v>2919</v>
      </c>
      <c r="F7" s="3420"/>
      <c r="G7" s="3405" t="s">
        <v>2920</v>
      </c>
      <c r="H7" s="3404"/>
      <c r="I7" s="3405" t="s">
        <v>2921</v>
      </c>
      <c r="J7" s="3404"/>
      <c r="K7" s="514"/>
      <c r="L7" s="2116"/>
      <c r="M7" s="2117"/>
      <c r="N7" s="2117"/>
      <c r="O7" s="2117"/>
      <c r="P7" s="3396"/>
      <c r="Q7" s="3397"/>
      <c r="R7" s="3382"/>
      <c r="S7" s="3383"/>
      <c r="T7" s="3382"/>
      <c r="U7" s="3383"/>
      <c r="V7" s="3400"/>
      <c r="W7" s="3400"/>
      <c r="X7" s="1551"/>
      <c r="Y7" s="3382"/>
      <c r="Z7" s="3383"/>
      <c r="AA7" s="3376"/>
      <c r="AB7" s="3376"/>
      <c r="AC7" s="3376"/>
    </row>
    <row r="8" spans="1:29" ht="15.75" thickBot="1">
      <c r="A8" s="517"/>
      <c r="B8" s="518"/>
      <c r="C8" s="3401" t="s">
        <v>2922</v>
      </c>
      <c r="D8" s="3402"/>
      <c r="E8" s="3421" t="s">
        <v>2922</v>
      </c>
      <c r="F8" s="3422"/>
      <c r="G8" s="3401" t="s">
        <v>2922</v>
      </c>
      <c r="H8" s="3402"/>
      <c r="I8" s="3401" t="s">
        <v>2922</v>
      </c>
      <c r="J8" s="3402"/>
      <c r="K8" s="514" t="s">
        <v>528</v>
      </c>
      <c r="L8" s="2116"/>
      <c r="M8" s="2117"/>
      <c r="N8" s="2117"/>
      <c r="O8" s="2117"/>
      <c r="P8" s="3398"/>
      <c r="Q8" s="3399"/>
      <c r="R8" s="3382"/>
      <c r="S8" s="3383"/>
      <c r="T8" s="3384"/>
      <c r="U8" s="3385"/>
      <c r="V8" s="3400"/>
      <c r="W8" s="3400"/>
      <c r="X8" s="1551"/>
      <c r="Y8" s="3384"/>
      <c r="Z8" s="3385"/>
      <c r="AA8" s="3377"/>
      <c r="AB8" s="3377"/>
      <c r="AC8" s="3377"/>
    </row>
    <row r="9" spans="1:29" s="1215" customFormat="1" ht="15.75" thickBot="1">
      <c r="A9" s="2864"/>
      <c r="B9" s="2871" t="s">
        <v>529</v>
      </c>
      <c r="C9" s="519">
        <f>'数据-取费表'!B2</f>
        <v>43972</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78" t="s">
        <v>530</v>
      </c>
      <c r="Q9" s="3387"/>
      <c r="R9" s="1552" t="s">
        <v>8</v>
      </c>
      <c r="S9" s="1553">
        <f t="shared" ref="S9:S17" si="0">F9</f>
        <v>0</v>
      </c>
      <c r="T9" s="1552" t="s">
        <v>8</v>
      </c>
      <c r="U9" s="1553">
        <f t="shared" ref="U9:U17" si="1">H9</f>
        <v>0</v>
      </c>
      <c r="V9" s="1552" t="s">
        <v>8</v>
      </c>
      <c r="W9" s="1553">
        <f t="shared" ref="W9:W17" si="2">J9</f>
        <v>0</v>
      </c>
      <c r="X9" s="1554"/>
      <c r="Y9" s="3378" t="s">
        <v>530</v>
      </c>
      <c r="Z9" s="3379"/>
      <c r="AA9" s="1555" t="e">
        <f>D9/F9</f>
        <v>#DIV/0!</v>
      </c>
      <c r="AB9" s="1555" t="e">
        <f>D9/H9</f>
        <v>#DIV/0!</v>
      </c>
      <c r="AC9" s="1555"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78" t="s">
        <v>533</v>
      </c>
      <c r="Q10" s="3379"/>
      <c r="R10" s="1552" t="s">
        <v>8</v>
      </c>
      <c r="S10" s="1553">
        <f t="shared" si="0"/>
        <v>0</v>
      </c>
      <c r="T10" s="1552" t="s">
        <v>8</v>
      </c>
      <c r="U10" s="1553">
        <f t="shared" si="1"/>
        <v>0</v>
      </c>
      <c r="V10" s="1552" t="s">
        <v>8</v>
      </c>
      <c r="W10" s="1553">
        <f t="shared" si="2"/>
        <v>0</v>
      </c>
      <c r="X10" s="1554"/>
      <c r="Y10" s="3378" t="s">
        <v>533</v>
      </c>
      <c r="Z10" s="3379"/>
      <c r="AA10" s="1555" t="e">
        <f t="shared" ref="AA10:AA42" si="3">D10/F10</f>
        <v>#DIV/0!</v>
      </c>
      <c r="AB10" s="1555" t="e">
        <f t="shared" ref="AB10:AB42" si="4">D10/H10</f>
        <v>#DIV/0!</v>
      </c>
      <c r="AC10" s="1555" t="e">
        <f t="shared" ref="AC10:AC42" si="5">D10/J10</f>
        <v>#DIV/0!</v>
      </c>
    </row>
    <row r="11" spans="1:29" s="1215" customFormat="1" ht="15">
      <c r="A11" s="2866"/>
      <c r="B11" s="2873"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86" t="s">
        <v>535</v>
      </c>
      <c r="Q11" s="1146" t="str">
        <f t="shared" ref="Q11:Q17" si="6">B11</f>
        <v>用途</v>
      </c>
      <c r="R11" s="1552" t="s">
        <v>8</v>
      </c>
      <c r="S11" s="1553">
        <f t="shared" si="0"/>
        <v>100</v>
      </c>
      <c r="T11" s="1552" t="s">
        <v>8</v>
      </c>
      <c r="U11" s="1553">
        <f t="shared" si="1"/>
        <v>100</v>
      </c>
      <c r="V11" s="1552" t="s">
        <v>8</v>
      </c>
      <c r="W11" s="1553">
        <f t="shared" si="2"/>
        <v>100</v>
      </c>
      <c r="X11" s="1554"/>
      <c r="Y11" s="3343" t="s">
        <v>536</v>
      </c>
      <c r="Z11" s="1145" t="str">
        <f t="shared" ref="Z11:Z17" si="7">Q11</f>
        <v>用途</v>
      </c>
      <c r="AA11" s="1555">
        <f t="shared" si="3"/>
        <v>1</v>
      </c>
      <c r="AB11" s="1555">
        <f t="shared" si="4"/>
        <v>1</v>
      </c>
      <c r="AC11" s="1555">
        <f t="shared" si="5"/>
        <v>1</v>
      </c>
    </row>
    <row r="12" spans="1:29" s="1333" customFormat="1" ht="27">
      <c r="A12" s="2867"/>
      <c r="B12" s="2872" t="s">
        <v>2754</v>
      </c>
      <c r="C12" s="528"/>
      <c r="D12" s="255">
        <v>100</v>
      </c>
      <c r="E12" s="528"/>
      <c r="F12" s="255">
        <f>ROUND(100/'数据-取费表'!G16,0)</f>
        <v>111</v>
      </c>
      <c r="G12" s="528"/>
      <c r="H12" s="255">
        <f>ROUND(100/'数据-取费表'!G16,0)</f>
        <v>111</v>
      </c>
      <c r="I12" s="528"/>
      <c r="J12" s="255">
        <f>ROUND(100/'数据-取费表'!G16,0)</f>
        <v>111</v>
      </c>
      <c r="K12" s="531"/>
      <c r="L12" s="2121"/>
      <c r="M12" s="2161"/>
      <c r="N12" s="2161"/>
      <c r="O12" s="2122"/>
      <c r="P12" s="3386"/>
      <c r="Q12" s="1146" t="str">
        <f t="shared" si="6"/>
        <v>土地使用年限（年）</v>
      </c>
      <c r="R12" s="1552" t="s">
        <v>8</v>
      </c>
      <c r="S12" s="1553">
        <f t="shared" si="0"/>
        <v>111</v>
      </c>
      <c r="T12" s="1552" t="s">
        <v>8</v>
      </c>
      <c r="U12" s="1553">
        <f t="shared" si="1"/>
        <v>111</v>
      </c>
      <c r="V12" s="1552" t="s">
        <v>8</v>
      </c>
      <c r="W12" s="1553">
        <f t="shared" si="2"/>
        <v>111</v>
      </c>
      <c r="X12" s="1554"/>
      <c r="Y12" s="3343"/>
      <c r="Z12" s="1145" t="str">
        <f t="shared" si="7"/>
        <v>土地使用年限（年）</v>
      </c>
      <c r="AA12" s="1555">
        <f t="shared" si="3"/>
        <v>0.90090090090090091</v>
      </c>
      <c r="AB12" s="1555">
        <f t="shared" si="4"/>
        <v>0.90090090090090091</v>
      </c>
      <c r="AC12" s="1555">
        <f t="shared" si="5"/>
        <v>0.90090090090090091</v>
      </c>
    </row>
    <row r="13" spans="1:29" ht="15">
      <c r="A13" s="2868"/>
      <c r="B13" s="2872"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86"/>
      <c r="Q13" s="1146" t="str">
        <f t="shared" si="6"/>
        <v>容积率</v>
      </c>
      <c r="R13" s="1552" t="s">
        <v>8</v>
      </c>
      <c r="S13" s="1553" t="e">
        <f t="shared" si="0"/>
        <v>#N/A</v>
      </c>
      <c r="T13" s="1552" t="s">
        <v>8</v>
      </c>
      <c r="U13" s="1553" t="e">
        <f t="shared" si="1"/>
        <v>#N/A</v>
      </c>
      <c r="V13" s="1552" t="s">
        <v>8</v>
      </c>
      <c r="W13" s="1553" t="e">
        <f t="shared" si="2"/>
        <v>#N/A</v>
      </c>
      <c r="X13" s="1554"/>
      <c r="Y13" s="3343"/>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86"/>
      <c r="Q14" s="1146">
        <f t="shared" si="6"/>
        <v>111</v>
      </c>
      <c r="R14" s="1552" t="s">
        <v>8</v>
      </c>
      <c r="S14" s="1553">
        <f t="shared" si="0"/>
        <v>100</v>
      </c>
      <c r="T14" s="1552" t="s">
        <v>8</v>
      </c>
      <c r="U14" s="1553">
        <f t="shared" si="1"/>
        <v>100</v>
      </c>
      <c r="V14" s="1552" t="s">
        <v>8</v>
      </c>
      <c r="W14" s="1553">
        <f t="shared" si="2"/>
        <v>100</v>
      </c>
      <c r="X14" s="1554"/>
      <c r="Y14" s="3343"/>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86"/>
      <c r="Q15" s="1146">
        <f t="shared" si="6"/>
        <v>111</v>
      </c>
      <c r="R15" s="1552" t="s">
        <v>8</v>
      </c>
      <c r="S15" s="1553">
        <f t="shared" si="0"/>
        <v>100</v>
      </c>
      <c r="T15" s="1552" t="s">
        <v>8</v>
      </c>
      <c r="U15" s="1553">
        <f t="shared" si="1"/>
        <v>100</v>
      </c>
      <c r="V15" s="1552" t="s">
        <v>8</v>
      </c>
      <c r="W15" s="1553">
        <f t="shared" si="2"/>
        <v>100</v>
      </c>
      <c r="X15" s="1554"/>
      <c r="Y15" s="3343"/>
      <c r="Z15" s="1145">
        <f t="shared" si="7"/>
        <v>111</v>
      </c>
      <c r="AA15" s="1555">
        <f t="shared" si="3"/>
        <v>1</v>
      </c>
      <c r="AB15" s="1555">
        <f t="shared" si="4"/>
        <v>1</v>
      </c>
      <c r="AC15" s="1555">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86"/>
      <c r="Q16" s="1146">
        <f t="shared" si="6"/>
        <v>111</v>
      </c>
      <c r="R16" s="1552" t="s">
        <v>8</v>
      </c>
      <c r="S16" s="1553">
        <f t="shared" si="0"/>
        <v>100</v>
      </c>
      <c r="T16" s="1552" t="s">
        <v>8</v>
      </c>
      <c r="U16" s="1553">
        <f t="shared" si="1"/>
        <v>100</v>
      </c>
      <c r="V16" s="1552" t="s">
        <v>8</v>
      </c>
      <c r="W16" s="1553">
        <f t="shared" si="2"/>
        <v>100</v>
      </c>
      <c r="X16" s="1554"/>
      <c r="Y16" s="3343"/>
      <c r="Z16" s="1145">
        <f t="shared" si="7"/>
        <v>111</v>
      </c>
      <c r="AA16" s="1555">
        <f t="shared" si="3"/>
        <v>1</v>
      </c>
      <c r="AB16" s="1555">
        <f t="shared" si="4"/>
        <v>1</v>
      </c>
      <c r="AC16" s="1555">
        <f t="shared" si="5"/>
        <v>1</v>
      </c>
    </row>
    <row r="17" spans="1:29" ht="15">
      <c r="A17" s="2862" t="s">
        <v>2751</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388" t="s">
        <v>540</v>
      </c>
      <c r="Q17" s="1556" t="str">
        <f t="shared" si="6"/>
        <v>产业集聚程度</v>
      </c>
      <c r="R17" s="1557" t="s">
        <v>8</v>
      </c>
      <c r="S17" s="1558">
        <f t="shared" si="0"/>
        <v>100</v>
      </c>
      <c r="T17" s="1557" t="s">
        <v>8</v>
      </c>
      <c r="U17" s="1558">
        <f t="shared" si="1"/>
        <v>100</v>
      </c>
      <c r="V17" s="1557" t="s">
        <v>8</v>
      </c>
      <c r="W17" s="1558">
        <f t="shared" si="2"/>
        <v>100</v>
      </c>
      <c r="X17" s="1551"/>
      <c r="Y17" s="3388"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389"/>
      <c r="Q18" s="1556"/>
      <c r="R18" s="1557"/>
      <c r="S18" s="1558"/>
      <c r="T18" s="1557"/>
      <c r="U18" s="1558"/>
      <c r="V18" s="1557"/>
      <c r="W18" s="1558"/>
      <c r="X18" s="1551"/>
      <c r="Y18" s="3389"/>
      <c r="Z18" s="1559"/>
      <c r="AA18" s="1560">
        <v>1</v>
      </c>
      <c r="AB18" s="1560">
        <v>1</v>
      </c>
      <c r="AC18" s="1560">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389"/>
      <c r="Q19" s="1556" t="str">
        <f>B19</f>
        <v>交通便捷度</v>
      </c>
      <c r="R19" s="1557" t="s">
        <v>8</v>
      </c>
      <c r="S19" s="1558">
        <f>F19</f>
        <v>100</v>
      </c>
      <c r="T19" s="1557" t="s">
        <v>8</v>
      </c>
      <c r="U19" s="1558">
        <f>H19</f>
        <v>100</v>
      </c>
      <c r="V19" s="1557" t="s">
        <v>8</v>
      </c>
      <c r="W19" s="1558">
        <f>J19</f>
        <v>100</v>
      </c>
      <c r="X19" s="1551"/>
      <c r="Y19" s="3389"/>
      <c r="Z19" s="1559" t="str">
        <f>Q19</f>
        <v>交通便捷度</v>
      </c>
      <c r="AA19" s="1560">
        <f t="shared" si="3"/>
        <v>1</v>
      </c>
      <c r="AB19" s="1560">
        <f t="shared" si="4"/>
        <v>1</v>
      </c>
      <c r="AC19" s="1560">
        <f t="shared" si="5"/>
        <v>1</v>
      </c>
    </row>
    <row r="20" spans="1:29" ht="15">
      <c r="A20" s="532"/>
      <c r="B20" s="921"/>
      <c r="C20" s="576"/>
      <c r="D20" s="555"/>
      <c r="E20" s="556"/>
      <c r="F20" s="555"/>
      <c r="G20" s="556"/>
      <c r="H20" s="555"/>
      <c r="I20" s="558"/>
      <c r="J20" s="555"/>
      <c r="K20" s="531"/>
      <c r="L20" s="2125"/>
      <c r="M20" s="2117"/>
      <c r="N20" s="2117"/>
      <c r="O20" s="2124"/>
      <c r="P20" s="3389"/>
      <c r="Q20" s="1556"/>
      <c r="R20" s="1557"/>
      <c r="S20" s="1558"/>
      <c r="T20" s="1557"/>
      <c r="U20" s="1558"/>
      <c r="V20" s="1557"/>
      <c r="W20" s="1558"/>
      <c r="X20" s="1551"/>
      <c r="Y20" s="3389"/>
      <c r="Z20" s="1559"/>
      <c r="AA20" s="1560">
        <v>1</v>
      </c>
      <c r="AB20" s="1560">
        <v>1</v>
      </c>
      <c r="AC20" s="1560">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389"/>
      <c r="Q21" s="1556" t="str">
        <f t="shared" ref="Q21:Q35" si="8">B21</f>
        <v>区域土地利用方向</v>
      </c>
      <c r="R21" s="1557" t="s">
        <v>8</v>
      </c>
      <c r="S21" s="1558">
        <f>F21</f>
        <v>100</v>
      </c>
      <c r="T21" s="1557" t="s">
        <v>8</v>
      </c>
      <c r="U21" s="1558">
        <f>H21</f>
        <v>100</v>
      </c>
      <c r="V21" s="1557" t="s">
        <v>8</v>
      </c>
      <c r="W21" s="1558">
        <f>J21</f>
        <v>100</v>
      </c>
      <c r="X21" s="1551"/>
      <c r="Y21" s="3389"/>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389"/>
      <c r="Q22" s="1556"/>
      <c r="R22" s="1557"/>
      <c r="S22" s="1558"/>
      <c r="T22" s="1557"/>
      <c r="U22" s="1558"/>
      <c r="V22" s="1557"/>
      <c r="W22" s="1558"/>
      <c r="X22" s="1551"/>
      <c r="Y22" s="3389"/>
      <c r="Z22" s="1559"/>
      <c r="AA22" s="1560"/>
      <c r="AB22" s="1560"/>
      <c r="AC22" s="1560"/>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389"/>
      <c r="Q23" s="1556" t="str">
        <f t="shared" si="8"/>
        <v>环境状况</v>
      </c>
      <c r="R23" s="1557" t="s">
        <v>8</v>
      </c>
      <c r="S23" s="1558">
        <f>F23</f>
        <v>100</v>
      </c>
      <c r="T23" s="1557" t="s">
        <v>8</v>
      </c>
      <c r="U23" s="1558">
        <f>H23</f>
        <v>100</v>
      </c>
      <c r="V23" s="1557" t="s">
        <v>8</v>
      </c>
      <c r="W23" s="1558">
        <f>J23</f>
        <v>100</v>
      </c>
      <c r="X23" s="1551"/>
      <c r="Y23" s="3389"/>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389"/>
      <c r="Q24" s="1556"/>
      <c r="R24" s="1557"/>
      <c r="S24" s="1558"/>
      <c r="T24" s="1557"/>
      <c r="U24" s="1558"/>
      <c r="V24" s="1557"/>
      <c r="W24" s="1558"/>
      <c r="X24" s="1551"/>
      <c r="Y24" s="3389"/>
      <c r="Z24" s="1559"/>
      <c r="AA24" s="1560">
        <v>1</v>
      </c>
      <c r="AB24" s="1560">
        <v>1</v>
      </c>
      <c r="AC24" s="1560">
        <v>1</v>
      </c>
    </row>
    <row r="25" spans="1:29" s="1215" customFormat="1" ht="15">
      <c r="A25" s="577"/>
      <c r="B25" s="2555"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389"/>
      <c r="Q25" s="1146" t="str">
        <f t="shared" si="8"/>
        <v>公共配套设施</v>
      </c>
      <c r="R25" s="1552" t="s">
        <v>8</v>
      </c>
      <c r="S25" s="1553">
        <f>F25</f>
        <v>100</v>
      </c>
      <c r="T25" s="1552" t="s">
        <v>8</v>
      </c>
      <c r="U25" s="1553">
        <f>H25</f>
        <v>100</v>
      </c>
      <c r="V25" s="1552" t="s">
        <v>8</v>
      </c>
      <c r="W25" s="1553">
        <f>J25</f>
        <v>100</v>
      </c>
      <c r="X25" s="1554"/>
      <c r="Y25" s="3389"/>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389"/>
      <c r="Q26" s="1146"/>
      <c r="R26" s="1552"/>
      <c r="S26" s="1553"/>
      <c r="T26" s="1552"/>
      <c r="U26" s="1553"/>
      <c r="V26" s="1552"/>
      <c r="W26" s="1553"/>
      <c r="X26" s="1554"/>
      <c r="Y26" s="3389"/>
      <c r="Z26" s="1145"/>
      <c r="AA26" s="1555">
        <v>1</v>
      </c>
      <c r="AB26" s="1555">
        <v>1</v>
      </c>
      <c r="AC26" s="1555">
        <v>1</v>
      </c>
    </row>
    <row r="27" spans="1:29" s="1215" customFormat="1" ht="15">
      <c r="A27" s="577"/>
      <c r="B27" s="2555"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389"/>
      <c r="Q27" s="2540" t="str">
        <f t="shared" ref="Q27" si="9">B27</f>
        <v>基础设施水平</v>
      </c>
      <c r="R27" s="1552" t="s">
        <v>8</v>
      </c>
      <c r="S27" s="1553">
        <f>F27</f>
        <v>100</v>
      </c>
      <c r="T27" s="1552" t="s">
        <v>8</v>
      </c>
      <c r="U27" s="1553">
        <f>H27</f>
        <v>100</v>
      </c>
      <c r="V27" s="1552" t="s">
        <v>8</v>
      </c>
      <c r="W27" s="1553">
        <f>J27</f>
        <v>100</v>
      </c>
      <c r="X27" s="1554"/>
      <c r="Y27" s="3389"/>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389"/>
      <c r="Q28" s="2540"/>
      <c r="R28" s="1552"/>
      <c r="S28" s="1553"/>
      <c r="T28" s="1552"/>
      <c r="U28" s="1553"/>
      <c r="V28" s="1552"/>
      <c r="W28" s="1553"/>
      <c r="X28" s="1554"/>
      <c r="Y28" s="3389"/>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389"/>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389"/>
      <c r="Z29" s="1559" t="str">
        <f t="shared" ref="Z29:Z42" si="13">Q29</f>
        <v>临街状况</v>
      </c>
      <c r="AA29" s="1560">
        <f t="shared" si="3"/>
        <v>1</v>
      </c>
      <c r="AB29" s="1560">
        <f t="shared" si="4"/>
        <v>1</v>
      </c>
      <c r="AC29" s="1560">
        <f t="shared" si="5"/>
        <v>1</v>
      </c>
    </row>
    <row r="30" spans="1:29" ht="27">
      <c r="A30" s="532"/>
      <c r="B30" s="921"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389"/>
      <c r="Q30" s="1556" t="str">
        <f t="shared" si="8"/>
        <v>毗邻道路的类型与等级</v>
      </c>
      <c r="R30" s="1557" t="s">
        <v>8</v>
      </c>
      <c r="S30" s="1558">
        <f t="shared" si="10"/>
        <v>100</v>
      </c>
      <c r="T30" s="1557" t="s">
        <v>8</v>
      </c>
      <c r="U30" s="1558">
        <f t="shared" si="11"/>
        <v>100</v>
      </c>
      <c r="V30" s="1557" t="s">
        <v>8</v>
      </c>
      <c r="W30" s="1558">
        <f t="shared" si="12"/>
        <v>100</v>
      </c>
      <c r="X30" s="1551"/>
      <c r="Y30" s="3389"/>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389"/>
      <c r="Q31" s="1556"/>
      <c r="R31" s="1557"/>
      <c r="S31" s="1558"/>
      <c r="T31" s="1557"/>
      <c r="U31" s="1558"/>
      <c r="V31" s="1557"/>
      <c r="W31" s="1558"/>
      <c r="X31" s="1551"/>
      <c r="Y31" s="3389"/>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389"/>
      <c r="Q32" s="1556" t="str">
        <f t="shared" si="8"/>
        <v>土地级别</v>
      </c>
      <c r="R32" s="1557" t="s">
        <v>8</v>
      </c>
      <c r="S32" s="1558">
        <f t="shared" si="10"/>
        <v>100</v>
      </c>
      <c r="T32" s="1557" t="s">
        <v>8</v>
      </c>
      <c r="U32" s="1558">
        <f t="shared" si="11"/>
        <v>100</v>
      </c>
      <c r="V32" s="1557" t="s">
        <v>8</v>
      </c>
      <c r="W32" s="1558">
        <f t="shared" si="12"/>
        <v>100</v>
      </c>
      <c r="X32" s="1551"/>
      <c r="Y32" s="3389"/>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389"/>
      <c r="Q33" s="1556">
        <f t="shared" si="8"/>
        <v>111</v>
      </c>
      <c r="R33" s="1557" t="s">
        <v>8</v>
      </c>
      <c r="S33" s="1558">
        <f t="shared" si="10"/>
        <v>100</v>
      </c>
      <c r="T33" s="1557" t="s">
        <v>8</v>
      </c>
      <c r="U33" s="1558">
        <f t="shared" si="11"/>
        <v>100</v>
      </c>
      <c r="V33" s="1557" t="s">
        <v>8</v>
      </c>
      <c r="W33" s="1558">
        <f t="shared" si="12"/>
        <v>100</v>
      </c>
      <c r="X33" s="1551"/>
      <c r="Y33" s="3389"/>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390" t="s">
        <v>550</v>
      </c>
      <c r="Q34" s="1556">
        <f t="shared" si="8"/>
        <v>111</v>
      </c>
      <c r="R34" s="1557" t="s">
        <v>8</v>
      </c>
      <c r="S34" s="1558">
        <f t="shared" si="10"/>
        <v>100</v>
      </c>
      <c r="T34" s="1557" t="s">
        <v>8</v>
      </c>
      <c r="U34" s="1558">
        <f t="shared" si="11"/>
        <v>100</v>
      </c>
      <c r="V34" s="1557" t="s">
        <v>8</v>
      </c>
      <c r="W34" s="1558">
        <f t="shared" si="12"/>
        <v>100</v>
      </c>
      <c r="X34" s="1551"/>
      <c r="Y34" s="3391" t="s">
        <v>550</v>
      </c>
      <c r="Z34" s="1559">
        <f t="shared" si="13"/>
        <v>111</v>
      </c>
      <c r="AA34" s="1560">
        <f t="shared" si="3"/>
        <v>1</v>
      </c>
      <c r="AB34" s="1560">
        <f t="shared" si="4"/>
        <v>1</v>
      </c>
      <c r="AC34" s="1560">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391"/>
      <c r="Q35" s="1556">
        <f t="shared" si="8"/>
        <v>111</v>
      </c>
      <c r="R35" s="1561" t="s">
        <v>8</v>
      </c>
      <c r="S35" s="1562">
        <f t="shared" si="10"/>
        <v>100</v>
      </c>
      <c r="T35" s="1561" t="s">
        <v>8</v>
      </c>
      <c r="U35" s="1562">
        <f t="shared" si="11"/>
        <v>100</v>
      </c>
      <c r="V35" s="1561" t="s">
        <v>8</v>
      </c>
      <c r="W35" s="1562">
        <f t="shared" si="12"/>
        <v>100</v>
      </c>
      <c r="X35" s="1563"/>
      <c r="Y35" s="3391"/>
      <c r="Z35" s="1564">
        <f t="shared" si="13"/>
        <v>111</v>
      </c>
      <c r="AA35" s="1560">
        <f t="shared" si="3"/>
        <v>1</v>
      </c>
      <c r="AB35" s="1560">
        <f t="shared" si="4"/>
        <v>1</v>
      </c>
      <c r="AC35" s="1560">
        <f t="shared" si="5"/>
        <v>1</v>
      </c>
    </row>
    <row r="36" spans="1:29" ht="15">
      <c r="A36" s="2860"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391"/>
      <c r="Q36" s="1556" t="str">
        <f>B36</f>
        <v>宗地面积</v>
      </c>
      <c r="R36" s="1557" t="s">
        <v>8</v>
      </c>
      <c r="S36" s="1558" t="e">
        <f t="shared" si="10"/>
        <v>#N/A</v>
      </c>
      <c r="T36" s="1557" t="s">
        <v>8</v>
      </c>
      <c r="U36" s="1558" t="e">
        <f t="shared" si="11"/>
        <v>#N/A</v>
      </c>
      <c r="V36" s="1557" t="s">
        <v>8</v>
      </c>
      <c r="W36" s="1558" t="e">
        <f t="shared" si="12"/>
        <v>#N/A</v>
      </c>
      <c r="X36" s="1551"/>
      <c r="Y36" s="3391"/>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391"/>
      <c r="Q37" s="1556" t="str">
        <f t="shared" ref="Q37:Q42" si="14">B37</f>
        <v>宗地形状</v>
      </c>
      <c r="R37" s="1557" t="s">
        <v>8</v>
      </c>
      <c r="S37" s="1558">
        <f t="shared" si="10"/>
        <v>100</v>
      </c>
      <c r="T37" s="1557" t="s">
        <v>8</v>
      </c>
      <c r="U37" s="1558">
        <f t="shared" si="11"/>
        <v>100</v>
      </c>
      <c r="V37" s="1557" t="s">
        <v>8</v>
      </c>
      <c r="W37" s="1558">
        <f t="shared" si="12"/>
        <v>100</v>
      </c>
      <c r="X37" s="1551"/>
      <c r="Y37" s="3391"/>
      <c r="Z37" s="1559" t="str">
        <f t="shared" si="13"/>
        <v>宗地形状</v>
      </c>
      <c r="AA37" s="1560">
        <f t="shared" si="3"/>
        <v>1</v>
      </c>
      <c r="AB37" s="1560">
        <f t="shared" si="4"/>
        <v>1</v>
      </c>
      <c r="AC37" s="1560">
        <f t="shared" si="5"/>
        <v>1</v>
      </c>
    </row>
    <row r="38" spans="1:29" s="1215" customFormat="1" ht="15">
      <c r="A38" s="600"/>
      <c r="B38" s="1878"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391"/>
      <c r="Q38" s="1556" t="str">
        <f t="shared" si="14"/>
        <v>宗地开发程度</v>
      </c>
      <c r="R38" s="1552" t="s">
        <v>8</v>
      </c>
      <c r="S38" s="1553">
        <f t="shared" si="10"/>
        <v>100</v>
      </c>
      <c r="T38" s="1552" t="s">
        <v>8</v>
      </c>
      <c r="U38" s="1553">
        <f t="shared" si="11"/>
        <v>100</v>
      </c>
      <c r="V38" s="1552" t="s">
        <v>8</v>
      </c>
      <c r="W38" s="1553">
        <f t="shared" si="12"/>
        <v>100</v>
      </c>
      <c r="X38" s="1554"/>
      <c r="Y38" s="3391"/>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91" t="s">
        <v>601</v>
      </c>
      <c r="Q39" s="1556" t="str">
        <f t="shared" si="14"/>
        <v>工程地质条件</v>
      </c>
      <c r="R39" s="1557" t="s">
        <v>8</v>
      </c>
      <c r="S39" s="1558">
        <f t="shared" si="10"/>
        <v>100</v>
      </c>
      <c r="T39" s="1557" t="s">
        <v>8</v>
      </c>
      <c r="U39" s="1558">
        <f t="shared" si="11"/>
        <v>100</v>
      </c>
      <c r="V39" s="1557" t="s">
        <v>8</v>
      </c>
      <c r="W39" s="1558">
        <f t="shared" si="12"/>
        <v>100</v>
      </c>
      <c r="X39" s="1551"/>
      <c r="Y39" s="3391"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391"/>
      <c r="Q40" s="1556">
        <f t="shared" si="14"/>
        <v>111</v>
      </c>
      <c r="R40" s="1557" t="s">
        <v>8</v>
      </c>
      <c r="S40" s="1558">
        <f t="shared" si="10"/>
        <v>100</v>
      </c>
      <c r="T40" s="1557" t="s">
        <v>8</v>
      </c>
      <c r="U40" s="1558">
        <f t="shared" si="11"/>
        <v>100</v>
      </c>
      <c r="V40" s="1557" t="s">
        <v>8</v>
      </c>
      <c r="W40" s="1558">
        <f t="shared" si="12"/>
        <v>100</v>
      </c>
      <c r="X40" s="1551"/>
      <c r="Y40" s="3391"/>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391"/>
      <c r="Q41" s="1556">
        <f t="shared" si="14"/>
        <v>111</v>
      </c>
      <c r="R41" s="1557" t="s">
        <v>8</v>
      </c>
      <c r="S41" s="1558">
        <f t="shared" si="10"/>
        <v>100</v>
      </c>
      <c r="T41" s="1557" t="s">
        <v>8</v>
      </c>
      <c r="U41" s="1558">
        <f t="shared" si="11"/>
        <v>100</v>
      </c>
      <c r="V41" s="1557" t="s">
        <v>8</v>
      </c>
      <c r="W41" s="1558">
        <f t="shared" si="12"/>
        <v>100</v>
      </c>
      <c r="X41" s="1551"/>
      <c r="Y41" s="3391"/>
      <c r="Z41" s="1559">
        <f t="shared" si="13"/>
        <v>111</v>
      </c>
      <c r="AA41" s="1560">
        <f t="shared" si="3"/>
        <v>1</v>
      </c>
      <c r="AB41" s="1560">
        <f t="shared" si="4"/>
        <v>1</v>
      </c>
      <c r="AC41" s="1560">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391"/>
      <c r="Q42" s="1556">
        <f t="shared" si="14"/>
        <v>111</v>
      </c>
      <c r="R42" s="1561" t="s">
        <v>8</v>
      </c>
      <c r="S42" s="1562">
        <f t="shared" si="10"/>
        <v>100</v>
      </c>
      <c r="T42" s="1561" t="s">
        <v>8</v>
      </c>
      <c r="U42" s="1562">
        <f t="shared" si="11"/>
        <v>100</v>
      </c>
      <c r="V42" s="1561" t="s">
        <v>8</v>
      </c>
      <c r="W42" s="1562">
        <f t="shared" si="12"/>
        <v>100</v>
      </c>
      <c r="X42" s="1563"/>
      <c r="Y42" s="3391"/>
      <c r="Z42" s="1564">
        <f t="shared" si="13"/>
        <v>111</v>
      </c>
      <c r="AA42" s="1560">
        <f t="shared" si="3"/>
        <v>1</v>
      </c>
      <c r="AB42" s="1560">
        <f t="shared" si="4"/>
        <v>1</v>
      </c>
      <c r="AC42" s="1560">
        <f t="shared" si="5"/>
        <v>1</v>
      </c>
    </row>
    <row r="43" spans="1:29" ht="15">
      <c r="A43" s="607" t="s">
        <v>556</v>
      </c>
      <c r="B43" s="608" t="s">
        <v>2923</v>
      </c>
      <c r="C43" s="609" t="s">
        <v>1</v>
      </c>
      <c r="D43" s="610"/>
      <c r="E43" s="611"/>
      <c r="F43" s="612"/>
      <c r="G43" s="613"/>
      <c r="H43" s="614"/>
      <c r="I43" s="611"/>
      <c r="J43" s="614"/>
      <c r="K43" s="1335"/>
      <c r="L43" s="2127"/>
      <c r="M43" s="2117"/>
      <c r="N43" s="2117"/>
      <c r="O43" s="2128"/>
      <c r="P43" s="3386" t="str">
        <f>A43</f>
        <v>成交单价</v>
      </c>
      <c r="Q43" s="3386"/>
      <c r="R43" s="3400">
        <f>E43</f>
        <v>0</v>
      </c>
      <c r="S43" s="3400"/>
      <c r="T43" s="3400">
        <f>G43</f>
        <v>0</v>
      </c>
      <c r="U43" s="3400"/>
      <c r="V43" s="3400">
        <f>I43</f>
        <v>0</v>
      </c>
      <c r="W43" s="3400"/>
      <c r="X43" s="1543"/>
      <c r="Y43" s="1565"/>
      <c r="Z43" s="1543"/>
      <c r="AA43" s="1543"/>
      <c r="AB43" s="1543"/>
      <c r="AC43" s="1543"/>
    </row>
    <row r="44" spans="1:29" ht="15.7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86" t="str">
        <f>A44</f>
        <v>比较价格（元/平方米）</v>
      </c>
      <c r="Q44" s="3386"/>
      <c r="R44" s="3411" t="e">
        <f>ROUND(PRODUCT(R43,AA9:AA42),0)</f>
        <v>#DIV/0!</v>
      </c>
      <c r="S44" s="3411"/>
      <c r="T44" s="3411" t="e">
        <f>ROUND(PRODUCT(T43,AB9:AB42),0)</f>
        <v>#DIV/0!</v>
      </c>
      <c r="U44" s="3411"/>
      <c r="V44" s="3411" t="e">
        <f>ROUND(PRODUCT(V43,AC9:AC42),0)</f>
        <v>#DIV/0!</v>
      </c>
      <c r="W44" s="3411"/>
      <c r="X44" s="1543"/>
      <c r="Y44" s="1543"/>
      <c r="Z44" s="1543"/>
      <c r="AA44" s="1543"/>
      <c r="AB44" s="1543"/>
      <c r="AC44" s="1543"/>
    </row>
    <row r="45" spans="1:29" ht="15.75" thickBot="1">
      <c r="A45" s="621" t="s">
        <v>2924</v>
      </c>
      <c r="B45" s="622"/>
      <c r="C45" s="623" t="e">
        <f>R45</f>
        <v>#DIV/0!</v>
      </c>
      <c r="D45" s="623"/>
      <c r="E45" s="623"/>
      <c r="F45" s="623"/>
      <c r="G45" s="623"/>
      <c r="H45" s="623"/>
      <c r="I45" s="623"/>
      <c r="J45" s="623"/>
      <c r="K45" s="1337"/>
      <c r="L45" s="2127"/>
      <c r="M45" s="2117"/>
      <c r="N45" s="2117"/>
      <c r="O45" s="2128"/>
      <c r="P45" s="3408" t="str">
        <f>A45</f>
        <v>估价对象XX用房的比较价格（楼面单价，元/平方米）</v>
      </c>
      <c r="Q45" s="3409"/>
      <c r="R45" s="3410" t="e">
        <f>ROUND(AVERAGE(R44:V44),0)</f>
        <v>#DIV/0!</v>
      </c>
      <c r="S45" s="3410"/>
      <c r="T45" s="3410"/>
      <c r="U45" s="3410"/>
      <c r="V45" s="3410"/>
      <c r="W45" s="341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4" t="s">
        <v>1724</v>
      </c>
      <c r="D52" s="2210" t="s">
        <v>2291</v>
      </c>
      <c r="E52" s="631" t="s">
        <v>562</v>
      </c>
      <c r="F52" s="1934" t="s">
        <v>563</v>
      </c>
      <c r="G52" s="3412" t="s">
        <v>2282</v>
      </c>
      <c r="H52" s="3413"/>
      <c r="I52" s="1935" t="s">
        <v>1943</v>
      </c>
      <c r="J52" s="1539" t="str">
        <f>项目基本情况!F41</f>
        <v>山东省青岛市</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564</v>
      </c>
      <c r="B53" s="634" t="e">
        <f>C45</f>
        <v>#DIV/0!</v>
      </c>
      <c r="C53" s="635">
        <v>1</v>
      </c>
      <c r="D53" s="2211">
        <v>1</v>
      </c>
      <c r="E53" s="635">
        <f>'数据-汇总表'!E8+'数据-汇总表'!E9</f>
        <v>111957.3</v>
      </c>
      <c r="F53" s="1933" t="e">
        <f t="shared" ref="F53:F62" si="15">ROUND(B53*E53/10000,0)</f>
        <v>#DIV/0!</v>
      </c>
      <c r="G53" s="3414"/>
      <c r="H53" s="3415"/>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565</v>
      </c>
      <c r="B54" s="638" t="e">
        <f>ROUND($C$45*C54*D54,0)</f>
        <v>#DIV/0!</v>
      </c>
      <c r="C54" s="378">
        <f t="shared" ref="C54:C62" si="16">IF($C$52="北京市系数",I54,J54)</f>
        <v>0</v>
      </c>
      <c r="D54" s="2212">
        <v>0.25</v>
      </c>
      <c r="E54" s="639"/>
      <c r="F54" s="1933" t="e">
        <f t="shared" si="15"/>
        <v>#DIV/0!</v>
      </c>
      <c r="G54" s="3416"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566</v>
      </c>
      <c r="B55" s="638" t="e">
        <f t="shared" ref="B55:B62" si="17">ROUND($C$45*C55*D55,0)</f>
        <v>#DIV/0!</v>
      </c>
      <c r="C55" s="378">
        <f t="shared" si="16"/>
        <v>0</v>
      </c>
      <c r="D55" s="2212">
        <v>0.25</v>
      </c>
      <c r="E55" s="639"/>
      <c r="F55" s="1933" t="e">
        <f t="shared" si="15"/>
        <v>#DIV/0!</v>
      </c>
      <c r="G55" s="3416"/>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567</v>
      </c>
      <c r="B56" s="638" t="e">
        <f t="shared" si="17"/>
        <v>#DIV/0!</v>
      </c>
      <c r="C56" s="378">
        <f t="shared" si="16"/>
        <v>0</v>
      </c>
      <c r="D56" s="2212">
        <v>0.25</v>
      </c>
      <c r="E56" s="639"/>
      <c r="F56" s="1933" t="e">
        <f t="shared" si="15"/>
        <v>#DIV/0!</v>
      </c>
      <c r="G56" s="3416"/>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568</v>
      </c>
      <c r="B57" s="638" t="e">
        <f t="shared" si="17"/>
        <v>#DIV/0!</v>
      </c>
      <c r="C57" s="378">
        <f t="shared" si="16"/>
        <v>0</v>
      </c>
      <c r="D57" s="2212">
        <v>0.25</v>
      </c>
      <c r="E57" s="639"/>
      <c r="F57" s="1933" t="e">
        <f t="shared" si="15"/>
        <v>#DIV/0!</v>
      </c>
      <c r="G57" s="3416"/>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2326</v>
      </c>
      <c r="B58" s="638" t="e">
        <f t="shared" si="17"/>
        <v>#DIV/0!</v>
      </c>
      <c r="C58" s="378">
        <f t="shared" si="16"/>
        <v>0</v>
      </c>
      <c r="D58" s="2212">
        <v>0.25</v>
      </c>
      <c r="E58" s="641">
        <f>'数据-汇总表'!E11</f>
        <v>0</v>
      </c>
      <c r="F58" s="1933" t="e">
        <f t="shared" si="15"/>
        <v>#DIV/0!</v>
      </c>
      <c r="G58" s="1939" t="s">
        <v>2284</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569</v>
      </c>
      <c r="B59" s="638" t="e">
        <f t="shared" si="17"/>
        <v>#DIV/0!</v>
      </c>
      <c r="C59" s="378">
        <f t="shared" si="16"/>
        <v>0</v>
      </c>
      <c r="D59" s="2212">
        <v>0.25</v>
      </c>
      <c r="E59" s="641">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570</v>
      </c>
      <c r="B60" s="638" t="e">
        <f t="shared" si="17"/>
        <v>#DIV/0!</v>
      </c>
      <c r="C60" s="378">
        <f t="shared" si="16"/>
        <v>0</v>
      </c>
      <c r="D60" s="2212">
        <v>0.25</v>
      </c>
      <c r="E60" s="641">
        <f>'数据-汇总表'!E13</f>
        <v>0</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571</v>
      </c>
      <c r="B61" s="638" t="e">
        <f t="shared" si="17"/>
        <v>#DIV/0!</v>
      </c>
      <c r="C61" s="378">
        <f t="shared" si="16"/>
        <v>0</v>
      </c>
      <c r="D61" s="2212">
        <v>0.25</v>
      </c>
      <c r="E61" s="641">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572</v>
      </c>
      <c r="B62" s="638" t="e">
        <f t="shared" si="17"/>
        <v>#DIV/0!</v>
      </c>
      <c r="C62" s="378">
        <f t="shared" si="16"/>
        <v>0</v>
      </c>
      <c r="D62" s="2212">
        <v>0.25</v>
      </c>
      <c r="E62" s="641">
        <f>'数据-汇总表'!E15</f>
        <v>0</v>
      </c>
      <c r="F62" s="1933" t="e">
        <f t="shared" si="15"/>
        <v>#DIV/0!</v>
      </c>
      <c r="G62" s="1940" t="s">
        <v>2284</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573</v>
      </c>
      <c r="B63" s="643" t="s">
        <v>17</v>
      </c>
      <c r="C63" s="643" t="s">
        <v>18</v>
      </c>
      <c r="D63" s="643" t="s">
        <v>2292</v>
      </c>
      <c r="E63" s="643">
        <f>IF(B43="楼面地价",SUM(E53:E62),'数据-汇总表'!D3)</f>
        <v>53313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2020-5-1</v>
      </c>
      <c r="D65" s="2752">
        <f>EDATE(C65,-3)</f>
        <v>43862</v>
      </c>
      <c r="E65" s="2752">
        <f t="shared" ref="E65:N65" si="18">EDATE(D65,-3)</f>
        <v>43770</v>
      </c>
      <c r="F65" s="2752">
        <f t="shared" si="18"/>
        <v>43678</v>
      </c>
      <c r="G65" s="2752">
        <f t="shared" si="18"/>
        <v>43586</v>
      </c>
      <c r="H65" s="2752">
        <f t="shared" si="18"/>
        <v>43497</v>
      </c>
      <c r="I65" s="2752">
        <f t="shared" si="18"/>
        <v>43405</v>
      </c>
      <c r="J65" s="2752">
        <f t="shared" si="18"/>
        <v>43313</v>
      </c>
      <c r="K65" s="2752">
        <f t="shared" si="18"/>
        <v>43221</v>
      </c>
      <c r="L65" s="2752">
        <f t="shared" si="18"/>
        <v>43132</v>
      </c>
      <c r="M65" s="2752">
        <f t="shared" si="18"/>
        <v>43040</v>
      </c>
      <c r="N65" s="2752">
        <f t="shared" si="18"/>
        <v>42948</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2531</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北京市平均增长率0.00%</v>
      </c>
      <c r="C68" s="893">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2546</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2548</v>
      </c>
      <c r="C95" s="2560" t="s">
        <v>2549</v>
      </c>
      <c r="D95" s="2560" t="s">
        <v>2550</v>
      </c>
      <c r="E95" s="2560" t="s">
        <v>2551</v>
      </c>
      <c r="F95" s="2560" t="s">
        <v>2552</v>
      </c>
      <c r="G95" s="2560" t="s">
        <v>2553</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2423</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8" t="s">
        <v>2759</v>
      </c>
      <c r="S1" s="2888" t="s">
        <v>2760</v>
      </c>
      <c r="T1" s="2888" t="s">
        <v>2781</v>
      </c>
      <c r="U1" s="2888" t="s">
        <v>2782</v>
      </c>
      <c r="V1" s="2888" t="s">
        <v>2783</v>
      </c>
      <c r="W1" s="2172"/>
      <c r="X1" s="2172"/>
      <c r="Y1" s="2172"/>
      <c r="Z1" s="2172"/>
      <c r="AA1" s="2172"/>
      <c r="AB1" s="2172"/>
      <c r="AC1" s="2173"/>
    </row>
    <row r="2" spans="1:39" ht="15.75">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75">
      <c r="A3" s="1405" t="s">
        <v>1687</v>
      </c>
      <c r="B3" s="1037" t="e">
        <f>ROUND(B2*10000/D1,0)</f>
        <v>#DIV/0!</v>
      </c>
      <c r="C3" s="1401" t="s">
        <v>927</v>
      </c>
      <c r="D3" s="1402" t="s">
        <v>928</v>
      </c>
      <c r="E3" s="1406"/>
      <c r="F3" s="1407"/>
      <c r="G3" s="1038">
        <f>IF(F3="宗地容积率",'数据-汇总表'!I4,IF(F3="估价对象容积率",'数据-汇总表'!I6,'数据-汇总表'!I7))</f>
        <v>4</v>
      </c>
      <c r="H3" s="1408" t="s">
        <v>929</v>
      </c>
      <c r="I3" s="1039">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28.5">
      <c r="A4" s="1874" t="s">
        <v>2278</v>
      </c>
      <c r="B4" s="2415" t="e">
        <f>ROUND(B2*10000/F1,0)</f>
        <v>#DIV/0!</v>
      </c>
      <c r="C4" s="1877" t="s">
        <v>2252</v>
      </c>
      <c r="D4" s="1877" t="e">
        <f>ROUND(B2/(F1/666.67),0)</f>
        <v>#DIV/0!</v>
      </c>
      <c r="E4" s="1877" t="s">
        <v>2253</v>
      </c>
      <c r="F4" s="1875"/>
      <c r="G4" s="1875"/>
      <c r="H4" s="1875"/>
      <c r="I4" s="1875"/>
      <c r="J4" s="1876"/>
      <c r="K4" s="3145"/>
      <c r="L4" s="1868" t="s">
        <v>2239</v>
      </c>
      <c r="M4" s="1869">
        <f>SUMPRODUCT((区片价!B49:B75=I2)*(区片价!C3:F3=E2)*(区片价!C49:F75))</f>
        <v>0</v>
      </c>
      <c r="N4" s="1870">
        <f>SUMPRODUCT((因素修正幅度!B49:B75=I2)*(因素修正幅度!C3:F3=E2)*(因素修正幅度!C49:F75))</f>
        <v>0</v>
      </c>
      <c r="O4" s="3145"/>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75" thickBot="1">
      <c r="A5" s="1621" t="s">
        <v>1823</v>
      </c>
      <c r="B5" s="1409" t="s">
        <v>931</v>
      </c>
      <c r="C5" s="1040" t="e">
        <f>ROUND(IF(E2="商业",C6*C7+C16,(IF(E2="住宅",C6*C12+C16,C6+C16))),0)</f>
        <v>#DIV/0!</v>
      </c>
      <c r="D5" s="3069" t="e">
        <f>ROUND(C6+C16,0)</f>
        <v>#DIV/0!</v>
      </c>
      <c r="E5" s="3069"/>
      <c r="F5" s="1410"/>
      <c r="G5" s="1411"/>
      <c r="H5" s="1411"/>
      <c r="I5" s="1411"/>
      <c r="J5" s="1412"/>
      <c r="K5" s="3146"/>
      <c r="L5" s="1868" t="s">
        <v>2240</v>
      </c>
      <c r="M5" s="1869">
        <f>SUMPRODUCT((区片价!B76:B109=I2)*(区片价!C3:F3=E2)*(区片价!C76:F109))</f>
        <v>0</v>
      </c>
      <c r="N5" s="1870">
        <f>SUMPRODUCT((因素修正幅度!B76:B109=I2)*(因素修正幅度!C3:F3=E2)*(因素修正幅度!C76:F109))</f>
        <v>0</v>
      </c>
      <c r="O5" s="3146"/>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1">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24" t="str">
        <f>IF(E2="商业",IF(C8="不临58条商业街","",2),"")</f>
        <v/>
      </c>
      <c r="B7" s="1421" t="s">
        <v>932</v>
      </c>
      <c r="C7" s="1042" t="e">
        <f>IF(C8="不临58条商业街",1,ROUND(1+(1.6*E8+1.2*E9+0.8*E10+0.4*E11)*C9,4))</f>
        <v>#DIV/0!</v>
      </c>
      <c r="D7" s="1422" t="s">
        <v>933</v>
      </c>
      <c r="E7" s="1043"/>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5"/>
      <c r="AB7" s="2175"/>
      <c r="AC7" s="2176"/>
      <c r="AD7" s="2881"/>
      <c r="AE7" s="2881"/>
      <c r="AF7" s="2881"/>
      <c r="AG7" s="2881"/>
      <c r="AH7" s="2881"/>
      <c r="AI7" s="2881"/>
      <c r="AJ7" s="2882"/>
    </row>
    <row r="8" spans="1:39" ht="15">
      <c r="A8" s="3425"/>
      <c r="B8" s="1408" t="s">
        <v>934</v>
      </c>
      <c r="C8" s="1514"/>
      <c r="D8" s="1044" t="s">
        <v>935</v>
      </c>
      <c r="E8" s="1045"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35" t="s">
        <v>2780</v>
      </c>
      <c r="X8" s="3436"/>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5"/>
      <c r="B9" s="1408" t="s">
        <v>937</v>
      </c>
      <c r="C9" s="1046">
        <f>SUMIF(修正!C59:C119,C8,修正!E59:E119)</f>
        <v>0</v>
      </c>
      <c r="D9" s="1047" t="s">
        <v>938</v>
      </c>
      <c r="E9" s="1047"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34"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5"/>
      <c r="B10" s="1408" t="s">
        <v>940</v>
      </c>
      <c r="C10" s="1047">
        <f>SUMIF(修正!C59:C119,C8,修正!F59:F119)</f>
        <v>0</v>
      </c>
      <c r="D10" s="1047" t="s">
        <v>941</v>
      </c>
      <c r="E10" s="1047"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3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5"/>
      <c r="B11" s="1429" t="s">
        <v>943</v>
      </c>
      <c r="C11" s="1048">
        <f>C10/4</f>
        <v>0</v>
      </c>
      <c r="D11" s="1048" t="s">
        <v>944</v>
      </c>
      <c r="E11" s="1048"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34" t="s">
        <v>2778</v>
      </c>
      <c r="X11" s="1047" t="s">
        <v>2763</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5" thickBot="1">
      <c r="A12" s="3424" t="s">
        <v>1871</v>
      </c>
      <c r="B12" s="1433" t="s">
        <v>946</v>
      </c>
      <c r="C12" s="1042">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34"/>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6"/>
      <c r="B13" s="1438" t="s">
        <v>1696</v>
      </c>
      <c r="C13" s="1439" t="s">
        <v>1697</v>
      </c>
      <c r="D13" s="1084" t="s">
        <v>1698</v>
      </c>
      <c r="E13" s="1084" t="s">
        <v>1699</v>
      </c>
      <c r="F13" s="1440" t="s">
        <v>948</v>
      </c>
      <c r="G13" s="1441" t="s">
        <v>1642</v>
      </c>
      <c r="H13" s="1442" t="s">
        <v>1642</v>
      </c>
      <c r="I13" s="1443" t="s">
        <v>1642</v>
      </c>
      <c r="J13" s="1444" t="s">
        <v>1642</v>
      </c>
      <c r="K13" s="3161"/>
      <c r="L13" s="3161"/>
      <c r="M13" s="3161"/>
      <c r="N13" s="3161"/>
      <c r="O13" s="3161"/>
      <c r="P13" s="1395"/>
      <c r="Q13" s="2172"/>
      <c r="R13" s="2889">
        <v>12</v>
      </c>
      <c r="S13" s="2878"/>
      <c r="T13" s="2889" t="e">
        <f t="shared" si="0"/>
        <v>#DIV/0!</v>
      </c>
      <c r="U13" s="2878"/>
      <c r="V13" s="2889" t="e">
        <f t="shared" si="1"/>
        <v>#DIV/0!</v>
      </c>
      <c r="W13" s="3434"/>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26"/>
      <c r="B14" s="1445"/>
      <c r="C14" s="1446"/>
      <c r="D14" s="1447"/>
      <c r="E14" s="1447"/>
      <c r="F14" s="1448"/>
      <c r="G14" s="1449" t="s">
        <v>949</v>
      </c>
      <c r="H14" s="1450"/>
      <c r="I14" s="1451"/>
      <c r="J14" s="1452"/>
      <c r="K14" s="3147"/>
      <c r="L14" s="3147"/>
      <c r="M14" s="3147"/>
      <c r="N14" s="3147"/>
      <c r="O14" s="3147"/>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27"/>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24" t="s">
        <v>1838</v>
      </c>
      <c r="B16" s="1421" t="s">
        <v>950</v>
      </c>
      <c r="C16" s="1051" t="e">
        <f>ROUND(IF(F17="与级别开发程度一致",0,(G17-E17)/C17),0)</f>
        <v>#DIV/0!</v>
      </c>
      <c r="D16" s="3442" t="s">
        <v>954</v>
      </c>
      <c r="E16" s="3443"/>
      <c r="F16" s="3442" t="s">
        <v>951</v>
      </c>
      <c r="G16" s="3443"/>
      <c r="H16" s="1453"/>
      <c r="I16" s="1453"/>
      <c r="J16" s="1453"/>
      <c r="K16" s="1453"/>
      <c r="L16" s="1453"/>
      <c r="M16" s="1453"/>
      <c r="N16" s="1453"/>
      <c r="O16" s="3171"/>
      <c r="P16" s="1395"/>
      <c r="Q16" s="2175"/>
      <c r="R16" s="2889">
        <v>15</v>
      </c>
      <c r="S16" s="2878"/>
      <c r="T16" s="2889" t="e">
        <f t="shared" si="0"/>
        <v>#DIV/0!</v>
      </c>
      <c r="U16" s="2878"/>
      <c r="V16" s="2889" t="e">
        <f t="shared" si="1"/>
        <v>#DIV/0!</v>
      </c>
      <c r="W16" s="2175"/>
      <c r="X16" s="2175"/>
      <c r="Y16" s="2175"/>
      <c r="Z16" s="2175"/>
      <c r="AA16" s="2175"/>
      <c r="AB16" s="2175"/>
      <c r="AC16" s="2176"/>
    </row>
    <row r="17" spans="1:40" ht="13.5" thickBot="1">
      <c r="A17" s="342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2">
        <f>ROUND(IF(H19="按公示增长率计算",SUMPRODUCT((地价!A3:A29=YEAR(G19)&amp;"-"&amp;ROUNDUP(MONTH(G19)/3,0))*(地价!X2:AB2=E2)*(地价!X3:AB29)),IF(H19="地价指数",M20/M19,(1+I19)^O19)),4)</f>
        <v>0</v>
      </c>
      <c r="D19" s="1460" t="s">
        <v>957</v>
      </c>
      <c r="E19" s="1053">
        <v>41640</v>
      </c>
      <c r="F19" s="1460" t="s">
        <v>958</v>
      </c>
      <c r="G19" s="1054">
        <f>'数据-取费表'!B2</f>
        <v>43972</v>
      </c>
      <c r="H19" s="1461" t="s">
        <v>2979</v>
      </c>
      <c r="I19" s="2738" t="str">
        <f>IF(H19="季度增幅（自定义）",SUMIF(N21:N24,E2,O21:O24),"")</f>
        <v/>
      </c>
      <c r="J19" s="1457"/>
      <c r="K19" s="3146"/>
      <c r="L19" s="2989" t="s">
        <v>2838</v>
      </c>
      <c r="M19" s="2990">
        <f>ROUND(SUMIF(地价!B2:F2,E2,地价!B29:F29),0)</f>
        <v>0</v>
      </c>
      <c r="N19" s="2740" t="s">
        <v>1676</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2839</v>
      </c>
      <c r="M20" s="3155">
        <f>ROUND(SUMPRODUCT((地价!A4:A29=YEAR(G19)&amp;"-"&amp;ROUNDUP(MONTH(G19)/3,0))*(地价!B2:F2=E2)*(地价!B4:F29)),0)</f>
        <v>0</v>
      </c>
      <c r="N20" s="2743" t="s">
        <v>2642</v>
      </c>
      <c r="O20" s="2741" t="s">
        <v>2641</v>
      </c>
      <c r="P20" s="2742" t="s">
        <v>2647</v>
      </c>
      <c r="Q20" s="2877"/>
      <c r="R20" s="2178"/>
      <c r="S20" s="2178"/>
      <c r="T20" s="2178"/>
      <c r="U20" s="2178"/>
      <c r="V20" s="2178"/>
      <c r="W20" s="2178"/>
      <c r="X20" s="2178"/>
      <c r="Y20" s="1458"/>
      <c r="Z20" s="1458"/>
      <c r="AA20" s="1458"/>
      <c r="AB20" s="1458"/>
      <c r="AC20" s="1458"/>
      <c r="AD20" s="1458"/>
    </row>
    <row r="21" spans="1:40" s="1415" customFormat="1" ht="14.25">
      <c r="A21" s="1625" t="s">
        <v>1837</v>
      </c>
      <c r="B21" s="1466" t="s">
        <v>2758</v>
      </c>
      <c r="C21" s="1153">
        <f>IF(B21="容积率修正",IF(G3&lt;=10,D22,J22),C23)</f>
        <v>0</v>
      </c>
      <c r="D21" s="1467"/>
      <c r="E21" s="1467"/>
      <c r="F21" s="1467"/>
      <c r="G21" s="1467"/>
      <c r="H21" s="1467"/>
      <c r="I21" s="1467"/>
      <c r="J21" s="1468"/>
      <c r="K21" s="3146"/>
      <c r="L21" s="1467"/>
      <c r="M21" s="1467"/>
      <c r="N21" s="1464" t="s">
        <v>975</v>
      </c>
      <c r="O21" s="1527"/>
      <c r="P21" s="2730">
        <f>SUMPRODUCT((地价!A3:A29=YEAR(G19)&amp;"-"&amp;ROUNDUP(MONTH(G19)/3,0))*(地价!AD2:AH2=N21)*(地价!AD3:AH29))</f>
        <v>0</v>
      </c>
      <c r="Q21" s="2877"/>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7"/>
      <c r="M22" s="1467"/>
      <c r="N22" s="1464" t="s">
        <v>978</v>
      </c>
      <c r="O22" s="1527"/>
      <c r="P22" s="2730">
        <f>SUMPRODUCT((地价!A3:A29=YEAR(G19)&amp;"-"&amp;ROUNDUP(MONTH(G19)/3,0))*(地价!AD2:AH2=N22)*(地价!AD3:AH29))</f>
        <v>0</v>
      </c>
      <c r="Q22" s="2877"/>
      <c r="R22" s="2178"/>
      <c r="S22" s="2178"/>
      <c r="T22" s="2178"/>
      <c r="U22" s="2178"/>
      <c r="V22" s="2178"/>
      <c r="W22" s="2178"/>
      <c r="X22" s="2178"/>
      <c r="Y22" s="1458"/>
      <c r="Z22" s="1458"/>
      <c r="AA22" s="1458"/>
      <c r="AB22" s="1458"/>
      <c r="AC22" s="1458"/>
      <c r="AD22" s="1458"/>
    </row>
    <row r="23" spans="1:40" ht="15.7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50"/>
      <c r="L23" s="1395"/>
      <c r="M23" s="1395"/>
      <c r="N23" s="1464" t="s">
        <v>923</v>
      </c>
      <c r="O23" s="1527"/>
      <c r="P23" s="2730">
        <f>SUMPRODUCT((地价!A3:A29=YEAR(G19)&amp;"-"&amp;ROUNDUP(MONTH(G19)/3,0))*(地价!AD2:AH2=N23)*(地价!AD3:AH29))</f>
        <v>0</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7">
        <f>SUMIF(A44:A87,E2,B44:B87)</f>
        <v>0</v>
      </c>
      <c r="D24" s="1520"/>
      <c r="E24" s="1521"/>
      <c r="F24" s="1521"/>
      <c r="G24" s="1521"/>
      <c r="H24" s="1521"/>
      <c r="I24" s="1521"/>
      <c r="J24" s="1521"/>
      <c r="K24" s="3150"/>
      <c r="L24" s="1467"/>
      <c r="M24" s="1467"/>
      <c r="N24" s="1464" t="s">
        <v>981</v>
      </c>
      <c r="O24" s="3154"/>
      <c r="P24" s="2730">
        <f>SUMPRODUCT((地价!A3:A29=YEAR(G19)&amp;"-"&amp;ROUNDUP(MONTH(G19)/3,0))*(地价!AD2:AH2=N24)*(地价!AD3:AH29))</f>
        <v>0</v>
      </c>
      <c r="Q24" s="2877"/>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6" t="s">
        <v>2645</v>
      </c>
      <c r="O25" s="3157"/>
      <c r="P25" s="2409">
        <f>SUMPRODUCT((地价!A3:A29=YEAR(G19)&amp;"-"&amp;ROUNDUP(MONTH(G19)/3,0))*(地价!AD2:AH2=N25)*(地价!AD3:AH29))</f>
        <v>0</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14.25">
      <c r="A29" s="1487"/>
      <c r="B29" s="1488" t="s">
        <v>993</v>
      </c>
      <c r="C29" s="1058" t="e">
        <f>ROUND(C5*C18*C19*C20*C21*C24,0)</f>
        <v>#DIV/0!</v>
      </c>
      <c r="D29" s="1489"/>
      <c r="E29" s="1832" t="e">
        <f>ROUND(C29*D29/10000,0)</f>
        <v>#DIV/0!</v>
      </c>
      <c r="F29" s="1490" t="s">
        <v>1701</v>
      </c>
      <c r="G29" s="1491"/>
      <c r="H29" s="1491"/>
      <c r="I29" s="1491"/>
      <c r="J29" s="1492"/>
      <c r="K29" s="3151"/>
      <c r="L29" s="3151"/>
      <c r="M29" s="3151"/>
      <c r="N29" s="3151"/>
      <c r="O29" s="3151"/>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75"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2"/>
      <c r="L32" s="3152"/>
      <c r="M32" s="3152"/>
      <c r="N32" s="3152"/>
      <c r="O32" s="3152"/>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31" t="s">
        <v>2949</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3"/>
      <c r="L33" s="3153"/>
      <c r="M33" s="3153"/>
      <c r="N33" s="3153"/>
      <c r="O33" s="3153"/>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32"/>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3"/>
      <c r="L34" s="3153"/>
      <c r="M34" s="3153"/>
      <c r="N34" s="3153"/>
      <c r="O34" s="3153"/>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32"/>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3"/>
      <c r="L35" s="3153"/>
      <c r="M35" s="3153"/>
      <c r="N35" s="3153"/>
      <c r="O35" s="3153"/>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33"/>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3"/>
      <c r="L36" s="3153"/>
      <c r="M36" s="3153"/>
      <c r="N36" s="3153"/>
      <c r="O36" s="3153"/>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4" t="s">
        <v>2973</v>
      </c>
      <c r="C41" s="839" t="e">
        <f>ROUND(POWER(1+E41,H41-G41)*(POWER(1+E41,G41)-1)/(POWER(1+E41,H41)-1),4)</f>
        <v>#DIV/0!</v>
      </c>
      <c r="D41" s="378" t="s">
        <v>2971</v>
      </c>
      <c r="E41" s="3143">
        <f>G20</f>
        <v>0</v>
      </c>
      <c r="F41" s="378" t="s">
        <v>2972</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2" t="s">
        <v>1020</v>
      </c>
      <c r="B47" s="2373">
        <f>估价对象房地状况!C16</f>
        <v>0</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2" t="s">
        <v>1021</v>
      </c>
      <c r="B48" s="2370">
        <f>估价对象房地状况!C18</f>
        <v>0</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1023</v>
      </c>
      <c r="B50" s="3046" t="s">
        <v>2926</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1025</v>
      </c>
      <c r="B52" s="3045" t="s">
        <v>2925</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f>估价对象房地状况!C21</f>
        <v>0</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f>估价对象房地状况!C22</f>
        <v>0</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f>估价对象房地状况!C20</f>
        <v>0</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2" t="s">
        <v>1030</v>
      </c>
      <c r="B58" s="2373">
        <f>估价对象房地状况!C17</f>
        <v>0</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2" t="s">
        <v>1021</v>
      </c>
      <c r="B59" s="2370">
        <f>估价对象房地状况!C18</f>
        <v>0</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1023</v>
      </c>
      <c r="B61" s="3046" t="s">
        <v>2927</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1025</v>
      </c>
      <c r="B63" s="3045" t="s">
        <v>2925</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f>估价对象房地状况!C21</f>
        <v>0</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f>估价对象房地状况!C22</f>
        <v>0</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f>估价对象房地状况!C20</f>
        <v>0</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2" t="s">
        <v>1032</v>
      </c>
      <c r="B69" s="2373">
        <f>估价对象房地状况!C15</f>
        <v>0</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2" t="s">
        <v>1033</v>
      </c>
      <c r="B70" s="2370">
        <f>估价对象房地状况!C18</f>
        <v>0</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f>估价对象房地状况!C21</f>
        <v>0</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f>估价对象房地状况!C22</f>
        <v>0</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1025</v>
      </c>
      <c r="B75" s="3045" t="s">
        <v>2925</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1028</v>
      </c>
      <c r="B76" s="2373">
        <f>估价对象房地状况!C20</f>
        <v>0</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24">
      <c r="A80" s="1062" t="s">
        <v>1037</v>
      </c>
      <c r="B80" s="2370">
        <f>估价对象房地状况!G15</f>
        <v>0</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14.25">
      <c r="A81" s="1062" t="s">
        <v>1033</v>
      </c>
      <c r="B81" s="2370">
        <f>估价对象房地状况!G16</f>
        <v>0</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f>估价对象房地状况!G19</f>
        <v>0</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f>估价对象房地状况!G20</f>
        <v>0</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1025</v>
      </c>
      <c r="B86" s="3045" t="s">
        <v>2925</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15" thickBot="1">
      <c r="A87" s="2403" t="s">
        <v>1038</v>
      </c>
      <c r="B87" s="2372">
        <f>估价对象房地状况!G18</f>
        <v>0</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29" t="s">
        <v>1633</v>
      </c>
      <c r="B90" s="3429"/>
      <c r="C90" s="3429"/>
      <c r="D90" s="3429"/>
      <c r="E90" s="3429"/>
      <c r="F90" s="3429"/>
      <c r="G90" s="3429"/>
      <c r="H90" s="3429"/>
      <c r="I90" s="3429"/>
      <c r="J90" s="3429"/>
      <c r="K90" s="2412"/>
      <c r="L90" s="2412"/>
      <c r="M90" s="2412"/>
      <c r="N90" s="2412"/>
    </row>
    <row r="91" spans="1:40">
      <c r="A91" s="3430" t="s">
        <v>1443</v>
      </c>
      <c r="B91" s="3430" t="s">
        <v>1634</v>
      </c>
      <c r="C91" s="1135" t="s">
        <v>1635</v>
      </c>
      <c r="D91" s="1136"/>
      <c r="E91" s="1136"/>
      <c r="F91" s="1136"/>
      <c r="G91" s="1136"/>
      <c r="H91" s="1136"/>
      <c r="I91" s="1136"/>
      <c r="J91" s="1137"/>
      <c r="K91" s="1129"/>
      <c r="L91" s="1129"/>
      <c r="M91" s="1129"/>
      <c r="N91" s="1129"/>
    </row>
    <row r="92" spans="1:40">
      <c r="A92" s="3430"/>
      <c r="B92" s="3430"/>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37"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7"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8"/>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8"/>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8"/>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8"/>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8"/>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8"/>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8"/>
      <c r="B108" s="344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9"/>
      <c r="B109" s="3441"/>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3" t="s">
        <v>1639</v>
      </c>
      <c r="B110" s="3423"/>
      <c r="C110" s="3423"/>
      <c r="D110" s="3423"/>
      <c r="E110" s="3423"/>
      <c r="F110" s="3423"/>
      <c r="G110" s="3423"/>
      <c r="H110" s="3423"/>
      <c r="I110" s="3423"/>
      <c r="J110" s="3423"/>
      <c r="K110" s="2410"/>
      <c r="L110" s="2410"/>
      <c r="M110" s="2410"/>
      <c r="N110" s="2410"/>
    </row>
    <row r="112" spans="1:14" ht="12.75" thickBot="1"/>
    <row r="113" spans="1:13" ht="25.5" thickBot="1">
      <c r="A113" s="1015" t="s">
        <v>896</v>
      </c>
      <c r="B113" s="2413">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2976</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30" t="s">
        <v>1007</v>
      </c>
      <c r="B18" s="1149" t="s">
        <v>1446</v>
      </c>
      <c r="C18" s="1126" t="s">
        <v>1447</v>
      </c>
      <c r="D18" s="1127"/>
      <c r="E18" s="1149">
        <v>1</v>
      </c>
      <c r="F18" s="1128" t="s">
        <v>1448</v>
      </c>
      <c r="G18" s="1129"/>
      <c r="H18" s="1100"/>
      <c r="I18" s="1100"/>
    </row>
    <row r="19" spans="1:9" s="1582" customFormat="1" ht="19.5" customHeight="1">
      <c r="A19" s="3430"/>
      <c r="B19" s="3430" t="s">
        <v>1449</v>
      </c>
      <c r="C19" s="1126" t="s">
        <v>1450</v>
      </c>
      <c r="D19" s="1127"/>
      <c r="E19" s="1149">
        <v>0.9</v>
      </c>
      <c r="F19" s="1128" t="s">
        <v>1451</v>
      </c>
      <c r="G19" s="1129"/>
      <c r="H19" s="1100"/>
      <c r="I19" s="1100"/>
    </row>
    <row r="20" spans="1:9" s="1582" customFormat="1" ht="19.5" customHeight="1">
      <c r="A20" s="3430"/>
      <c r="B20" s="3430"/>
      <c r="C20" s="1126" t="s">
        <v>1452</v>
      </c>
      <c r="D20" s="1127"/>
      <c r="E20" s="1149">
        <v>1.1000000000000001</v>
      </c>
      <c r="F20" s="1128" t="s">
        <v>1453</v>
      </c>
      <c r="G20" s="1129"/>
      <c r="H20" s="1100"/>
      <c r="I20" s="1100"/>
    </row>
    <row r="21" spans="1:9" s="1582" customFormat="1" ht="19.5" customHeight="1">
      <c r="A21" s="3430"/>
      <c r="B21" s="3430"/>
      <c r="C21" s="1126" t="s">
        <v>1454</v>
      </c>
      <c r="D21" s="1127"/>
      <c r="E21" s="1149">
        <v>0.8</v>
      </c>
      <c r="F21" s="1128" t="s">
        <v>1455</v>
      </c>
      <c r="G21" s="1129"/>
      <c r="H21" s="1100"/>
      <c r="I21" s="1100"/>
    </row>
    <row r="22" spans="1:9" s="1582" customFormat="1" ht="19.5" customHeight="1">
      <c r="A22" s="3430"/>
      <c r="B22" s="3430"/>
      <c r="C22" s="1126" t="s">
        <v>1456</v>
      </c>
      <c r="D22" s="1127"/>
      <c r="E22" s="1149">
        <v>0.5</v>
      </c>
      <c r="F22" s="1128"/>
      <c r="G22" s="1129"/>
      <c r="H22" s="1100"/>
      <c r="I22" s="1100"/>
    </row>
    <row r="23" spans="1:9" s="1582" customFormat="1" ht="19.5" customHeight="1">
      <c r="A23" s="3430" t="s">
        <v>1029</v>
      </c>
      <c r="B23" s="1149" t="s">
        <v>1446</v>
      </c>
      <c r="C23" s="1126" t="s">
        <v>1457</v>
      </c>
      <c r="D23" s="1127"/>
      <c r="E23" s="1149">
        <v>1</v>
      </c>
      <c r="F23" s="1128" t="s">
        <v>1458</v>
      </c>
      <c r="G23" s="1129"/>
      <c r="H23" s="1100"/>
      <c r="I23" s="1100"/>
    </row>
    <row r="24" spans="1:9" s="1582" customFormat="1" ht="19.5" customHeight="1">
      <c r="A24" s="3430"/>
      <c r="B24" s="3430" t="s">
        <v>1449</v>
      </c>
      <c r="C24" s="1126" t="s">
        <v>1459</v>
      </c>
      <c r="D24" s="1127"/>
      <c r="E24" s="1149">
        <v>0.5</v>
      </c>
      <c r="F24" s="1128"/>
      <c r="G24" s="1129"/>
      <c r="H24" s="1100"/>
      <c r="I24" s="1100"/>
    </row>
    <row r="25" spans="1:9" s="1582" customFormat="1" ht="19.5" customHeight="1">
      <c r="A25" s="3430"/>
      <c r="B25" s="3430"/>
      <c r="C25" s="1126" t="s">
        <v>1460</v>
      </c>
      <c r="D25" s="1127"/>
      <c r="E25" s="1149">
        <v>1.1000000000000001</v>
      </c>
      <c r="F25" s="1128"/>
      <c r="G25" s="1129"/>
      <c r="H25" s="1100"/>
      <c r="I25" s="1100"/>
    </row>
    <row r="26" spans="1:9" s="1582" customFormat="1" ht="19.5" customHeight="1">
      <c r="A26" s="3430"/>
      <c r="B26" s="3430"/>
      <c r="C26" s="1126" t="s">
        <v>1461</v>
      </c>
      <c r="D26" s="1127"/>
      <c r="E26" s="1149">
        <v>1.1000000000000001</v>
      </c>
      <c r="F26" s="1128"/>
      <c r="G26" s="1129"/>
      <c r="H26" s="1100"/>
      <c r="I26" s="1100"/>
    </row>
    <row r="27" spans="1:9" s="1582" customFormat="1" ht="19.5" customHeight="1">
      <c r="A27" s="3430"/>
      <c r="B27" s="3430"/>
      <c r="C27" s="1126" t="s">
        <v>1462</v>
      </c>
      <c r="D27" s="1127"/>
      <c r="E27" s="1149">
        <v>0.9</v>
      </c>
      <c r="F27" s="1128" t="s">
        <v>1463</v>
      </c>
      <c r="G27" s="1129"/>
      <c r="H27" s="1100"/>
      <c r="I27" s="1100"/>
    </row>
    <row r="28" spans="1:9" s="1582" customFormat="1" ht="19.5" customHeight="1">
      <c r="A28" s="3430"/>
      <c r="B28" s="3430"/>
      <c r="C28" s="1126" t="s">
        <v>1464</v>
      </c>
      <c r="D28" s="1127"/>
      <c r="E28" s="1149">
        <v>0.9</v>
      </c>
      <c r="F28" s="1128" t="s">
        <v>1465</v>
      </c>
      <c r="G28" s="1129"/>
      <c r="H28" s="1100"/>
      <c r="I28" s="1100"/>
    </row>
    <row r="29" spans="1:9" s="1582" customFormat="1" ht="19.5" customHeight="1">
      <c r="A29" s="3430"/>
      <c r="B29" s="3430"/>
      <c r="C29" s="1126" t="s">
        <v>1466</v>
      </c>
      <c r="D29" s="1127"/>
      <c r="E29" s="1149">
        <v>0.9</v>
      </c>
      <c r="F29" s="1128" t="s">
        <v>1467</v>
      </c>
      <c r="G29" s="1129"/>
      <c r="H29" s="1100"/>
      <c r="I29" s="1100"/>
    </row>
    <row r="30" spans="1:9" s="1582" customFormat="1" ht="19.5" customHeight="1">
      <c r="A30" s="3430"/>
      <c r="B30" s="3430"/>
      <c r="C30" s="1126" t="s">
        <v>1468</v>
      </c>
      <c r="D30" s="1127"/>
      <c r="E30" s="1149">
        <v>0.9</v>
      </c>
      <c r="F30" s="1128" t="s">
        <v>1469</v>
      </c>
      <c r="G30" s="1129"/>
      <c r="H30" s="1100"/>
      <c r="I30" s="1100"/>
    </row>
    <row r="31" spans="1:9" s="1582" customFormat="1" ht="19.5" customHeight="1">
      <c r="A31" s="3430"/>
      <c r="B31" s="3430"/>
      <c r="C31" s="1126" t="s">
        <v>1470</v>
      </c>
      <c r="D31" s="1127"/>
      <c r="E31" s="1149">
        <v>0.8</v>
      </c>
      <c r="F31" s="1128" t="s">
        <v>1471</v>
      </c>
      <c r="G31" s="1129"/>
      <c r="H31" s="1100"/>
      <c r="I31" s="1100"/>
    </row>
    <row r="32" spans="1:9" s="1582" customFormat="1" ht="19.5" customHeight="1">
      <c r="A32" s="3430"/>
      <c r="B32" s="3430"/>
      <c r="C32" s="1126" t="s">
        <v>1472</v>
      </c>
      <c r="D32" s="1127"/>
      <c r="E32" s="1149">
        <v>0.8</v>
      </c>
      <c r="F32" s="1128" t="s">
        <v>1473</v>
      </c>
      <c r="G32" s="1129"/>
      <c r="H32" s="1100"/>
      <c r="I32" s="1100"/>
    </row>
    <row r="33" spans="1:9" s="1582" customFormat="1" ht="19.5" customHeight="1">
      <c r="A33" s="3430" t="s">
        <v>1474</v>
      </c>
      <c r="B33" s="1149" t="s">
        <v>1446</v>
      </c>
      <c r="C33" s="1126" t="s">
        <v>1475</v>
      </c>
      <c r="D33" s="1127"/>
      <c r="E33" s="1149">
        <v>1</v>
      </c>
      <c r="F33" s="1128" t="s">
        <v>1476</v>
      </c>
      <c r="G33" s="1129"/>
      <c r="H33" s="1100"/>
      <c r="I33" s="1100"/>
    </row>
    <row r="34" spans="1:9" s="1582" customFormat="1" ht="19.5" customHeight="1">
      <c r="A34" s="3430"/>
      <c r="B34" s="1149" t="s">
        <v>1449</v>
      </c>
      <c r="C34" s="1126" t="s">
        <v>1477</v>
      </c>
      <c r="D34" s="1127"/>
      <c r="E34" s="1149">
        <v>1.5</v>
      </c>
      <c r="F34" s="1128" t="s">
        <v>1478</v>
      </c>
      <c r="G34" s="1129"/>
      <c r="H34" s="1100"/>
      <c r="I34" s="1100"/>
    </row>
    <row r="35" spans="1:9" s="1582" customFormat="1" ht="19.5" customHeight="1">
      <c r="A35" s="3430" t="s">
        <v>1432</v>
      </c>
      <c r="B35" s="1149" t="s">
        <v>1446</v>
      </c>
      <c r="C35" s="1126" t="s">
        <v>1479</v>
      </c>
      <c r="D35" s="1127"/>
      <c r="E35" s="1149">
        <v>1</v>
      </c>
      <c r="F35" s="1128" t="s">
        <v>1480</v>
      </c>
      <c r="G35" s="1129"/>
      <c r="H35" s="1100"/>
      <c r="I35" s="1100"/>
    </row>
    <row r="36" spans="1:9" s="1582" customFormat="1" ht="19.5" customHeight="1">
      <c r="A36" s="3430"/>
      <c r="B36" s="3430" t="s">
        <v>1449</v>
      </c>
      <c r="C36" s="1126" t="s">
        <v>1481</v>
      </c>
      <c r="D36" s="1127"/>
      <c r="E36" s="1149">
        <v>1</v>
      </c>
      <c r="F36" s="1128" t="s">
        <v>1482</v>
      </c>
      <c r="G36" s="1129"/>
      <c r="H36" s="1100"/>
      <c r="I36" s="1100"/>
    </row>
    <row r="37" spans="1:9" s="1582" customFormat="1" ht="19.5" customHeight="1">
      <c r="A37" s="3430"/>
      <c r="B37" s="3430"/>
      <c r="C37" s="1126" t="s">
        <v>1483</v>
      </c>
      <c r="D37" s="1127"/>
      <c r="E37" s="1149">
        <v>1.5</v>
      </c>
      <c r="F37" s="1128" t="s">
        <v>1484</v>
      </c>
      <c r="G37" s="1129"/>
      <c r="H37" s="1100"/>
      <c r="I37" s="1100"/>
    </row>
    <row r="38" spans="1:9" s="1582" customFormat="1" ht="19.5" customHeight="1">
      <c r="A38" s="3430"/>
      <c r="B38" s="3430"/>
      <c r="C38" s="1126" t="s">
        <v>1485</v>
      </c>
      <c r="D38" s="1127"/>
      <c r="E38" s="1149">
        <v>1</v>
      </c>
      <c r="F38" s="1128" t="s">
        <v>1486</v>
      </c>
      <c r="G38" s="1129"/>
      <c r="H38" s="1100"/>
      <c r="I38" s="1100"/>
    </row>
    <row r="39" spans="1:9" s="1582" customFormat="1" ht="19.5" customHeight="1">
      <c r="A39" s="3430"/>
      <c r="B39" s="3430"/>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0" t="s">
        <v>1501</v>
      </c>
      <c r="C61" s="1063" t="s">
        <v>1502</v>
      </c>
      <c r="D61" s="1063" t="s">
        <v>1503</v>
      </c>
      <c r="E61" s="1134">
        <v>0.5</v>
      </c>
      <c r="F61" s="1149">
        <v>80</v>
      </c>
      <c r="H61" s="1100">
        <f>SUMIF(C59:C119,基准地价!C8,E59:E119)</f>
        <v>0</v>
      </c>
    </row>
    <row r="62" spans="1:8" s="1100" customFormat="1" ht="24">
      <c r="A62" s="1149">
        <v>2</v>
      </c>
      <c r="B62" s="3430"/>
      <c r="C62" s="1063" t="s">
        <v>1504</v>
      </c>
      <c r="D62" s="1063" t="s">
        <v>1505</v>
      </c>
      <c r="E62" s="1134">
        <v>0.5</v>
      </c>
      <c r="F62" s="1149">
        <v>80</v>
      </c>
    </row>
    <row r="63" spans="1:8" s="1100" customFormat="1" ht="36">
      <c r="A63" s="1149">
        <v>3</v>
      </c>
      <c r="B63" s="3430"/>
      <c r="C63" s="1063" t="s">
        <v>1506</v>
      </c>
      <c r="D63" s="1063" t="s">
        <v>1507</v>
      </c>
      <c r="E63" s="1134">
        <v>0.5</v>
      </c>
      <c r="F63" s="1149">
        <v>80</v>
      </c>
    </row>
    <row r="64" spans="1:8" s="1100" customFormat="1" ht="36">
      <c r="A64" s="1149">
        <v>4</v>
      </c>
      <c r="B64" s="3430"/>
      <c r="C64" s="1063" t="s">
        <v>1508</v>
      </c>
      <c r="D64" s="1063" t="s">
        <v>1509</v>
      </c>
      <c r="E64" s="1134">
        <v>0.4</v>
      </c>
      <c r="F64" s="1149">
        <v>60</v>
      </c>
    </row>
    <row r="65" spans="1:6" s="1100" customFormat="1" ht="36">
      <c r="A65" s="1149">
        <v>5</v>
      </c>
      <c r="B65" s="3430"/>
      <c r="C65" s="1063" t="s">
        <v>1510</v>
      </c>
      <c r="D65" s="1063" t="s">
        <v>1511</v>
      </c>
      <c r="E65" s="1134">
        <v>0.2</v>
      </c>
      <c r="F65" s="1149">
        <v>30</v>
      </c>
    </row>
    <row r="66" spans="1:6" s="1100" customFormat="1" ht="36">
      <c r="A66" s="1149">
        <v>6</v>
      </c>
      <c r="B66" s="3430"/>
      <c r="C66" s="1063" t="s">
        <v>1512</v>
      </c>
      <c r="D66" s="1063" t="s">
        <v>1513</v>
      </c>
      <c r="E66" s="1134">
        <v>0.3</v>
      </c>
      <c r="F66" s="1149">
        <v>50</v>
      </c>
    </row>
    <row r="67" spans="1:6" s="1100" customFormat="1" ht="36">
      <c r="A67" s="1149">
        <v>7</v>
      </c>
      <c r="B67" s="3430"/>
      <c r="C67" s="1063" t="s">
        <v>1514</v>
      </c>
      <c r="D67" s="1063" t="s">
        <v>1515</v>
      </c>
      <c r="E67" s="1134">
        <v>0.2</v>
      </c>
      <c r="F67" s="1149">
        <v>30</v>
      </c>
    </row>
    <row r="68" spans="1:6" s="1100" customFormat="1" ht="36">
      <c r="A68" s="1149">
        <v>8</v>
      </c>
      <c r="B68" s="3430"/>
      <c r="C68" s="1063" t="s">
        <v>1516</v>
      </c>
      <c r="D68" s="1063" t="s">
        <v>1517</v>
      </c>
      <c r="E68" s="1134">
        <v>0.2</v>
      </c>
      <c r="F68" s="1149">
        <v>30</v>
      </c>
    </row>
    <row r="69" spans="1:6" s="1100" customFormat="1" ht="36">
      <c r="A69" s="1149">
        <v>9</v>
      </c>
      <c r="B69" s="3430"/>
      <c r="C69" s="1063" t="s">
        <v>1518</v>
      </c>
      <c r="D69" s="1063" t="s">
        <v>1519</v>
      </c>
      <c r="E69" s="1134">
        <v>0.2</v>
      </c>
      <c r="F69" s="1149">
        <v>30</v>
      </c>
    </row>
    <row r="70" spans="1:6" s="1100" customFormat="1" ht="48">
      <c r="A70" s="1149">
        <v>10</v>
      </c>
      <c r="B70" s="3430"/>
      <c r="C70" s="1063" t="s">
        <v>1520</v>
      </c>
      <c r="D70" s="1063" t="s">
        <v>1521</v>
      </c>
      <c r="E70" s="1134">
        <v>0.2</v>
      </c>
      <c r="F70" s="1149">
        <v>30</v>
      </c>
    </row>
    <row r="71" spans="1:6" s="1100" customFormat="1" ht="48">
      <c r="A71" s="1149">
        <v>11</v>
      </c>
      <c r="B71" s="3430"/>
      <c r="C71" s="1063" t="s">
        <v>1522</v>
      </c>
      <c r="D71" s="1063" t="s">
        <v>1523</v>
      </c>
      <c r="E71" s="1134">
        <v>0.2</v>
      </c>
      <c r="F71" s="1149">
        <v>30</v>
      </c>
    </row>
    <row r="72" spans="1:6" s="1100" customFormat="1" ht="36">
      <c r="A72" s="1149">
        <v>12</v>
      </c>
      <c r="B72" s="3430"/>
      <c r="C72" s="1063" t="s">
        <v>1524</v>
      </c>
      <c r="D72" s="1063" t="s">
        <v>1525</v>
      </c>
      <c r="E72" s="1134">
        <v>0.5</v>
      </c>
      <c r="F72" s="1149">
        <v>80</v>
      </c>
    </row>
    <row r="73" spans="1:6" s="1100" customFormat="1" ht="24">
      <c r="A73" s="1149">
        <v>13</v>
      </c>
      <c r="B73" s="3430"/>
      <c r="C73" s="1063" t="s">
        <v>1526</v>
      </c>
      <c r="D73" s="1063" t="s">
        <v>1527</v>
      </c>
      <c r="E73" s="1134">
        <v>0.4</v>
      </c>
      <c r="F73" s="1149">
        <v>60</v>
      </c>
    </row>
    <row r="74" spans="1:6" s="1100" customFormat="1" ht="24">
      <c r="A74" s="1149">
        <v>14</v>
      </c>
      <c r="B74" s="3430"/>
      <c r="C74" s="1063" t="s">
        <v>1528</v>
      </c>
      <c r="D74" s="1063" t="s">
        <v>1529</v>
      </c>
      <c r="E74" s="1134">
        <v>0.2</v>
      </c>
      <c r="F74" s="1149">
        <v>30</v>
      </c>
    </row>
    <row r="75" spans="1:6" s="1100" customFormat="1" ht="24">
      <c r="A75" s="1149">
        <v>15</v>
      </c>
      <c r="B75" s="3430"/>
      <c r="C75" s="1063" t="s">
        <v>1530</v>
      </c>
      <c r="D75" s="1063" t="s">
        <v>1531</v>
      </c>
      <c r="E75" s="1134">
        <v>0.2</v>
      </c>
      <c r="F75" s="1149">
        <v>30</v>
      </c>
    </row>
    <row r="76" spans="1:6" s="1100" customFormat="1" ht="24">
      <c r="A76" s="1149">
        <v>16</v>
      </c>
      <c r="B76" s="3430" t="s">
        <v>1532</v>
      </c>
      <c r="C76" s="1063" t="s">
        <v>1533</v>
      </c>
      <c r="D76" s="1063" t="s">
        <v>1534</v>
      </c>
      <c r="E76" s="1134">
        <v>0.5</v>
      </c>
      <c r="F76" s="1149">
        <v>80</v>
      </c>
    </row>
    <row r="77" spans="1:6" s="1100" customFormat="1" ht="24">
      <c r="A77" s="1149">
        <v>17</v>
      </c>
      <c r="B77" s="3430"/>
      <c r="C77" s="1063" t="s">
        <v>1535</v>
      </c>
      <c r="D77" s="1063" t="s">
        <v>1536</v>
      </c>
      <c r="E77" s="1134">
        <v>0.5</v>
      </c>
      <c r="F77" s="1149">
        <v>80</v>
      </c>
    </row>
    <row r="78" spans="1:6" s="1100" customFormat="1" ht="24">
      <c r="A78" s="1149">
        <v>18</v>
      </c>
      <c r="B78" s="3430"/>
      <c r="C78" s="1063" t="s">
        <v>1537</v>
      </c>
      <c r="D78" s="1063" t="s">
        <v>1538</v>
      </c>
      <c r="E78" s="1134">
        <v>0.2</v>
      </c>
      <c r="F78" s="1149">
        <v>30</v>
      </c>
    </row>
    <row r="79" spans="1:6" s="1100" customFormat="1" ht="24">
      <c r="A79" s="1149">
        <v>19</v>
      </c>
      <c r="B79" s="3430"/>
      <c r="C79" s="1063" t="s">
        <v>1539</v>
      </c>
      <c r="D79" s="1063" t="s">
        <v>1540</v>
      </c>
      <c r="E79" s="1134">
        <v>0.5</v>
      </c>
      <c r="F79" s="1149">
        <v>80</v>
      </c>
    </row>
    <row r="80" spans="1:6" s="1100" customFormat="1" ht="36">
      <c r="A80" s="1149">
        <v>20</v>
      </c>
      <c r="B80" s="3430"/>
      <c r="C80" s="1063" t="s">
        <v>1541</v>
      </c>
      <c r="D80" s="1063" t="s">
        <v>1542</v>
      </c>
      <c r="E80" s="1134">
        <v>0.2</v>
      </c>
      <c r="F80" s="1149">
        <v>30</v>
      </c>
    </row>
    <row r="81" spans="1:6" s="1100" customFormat="1" ht="36">
      <c r="A81" s="1149">
        <v>21</v>
      </c>
      <c r="B81" s="3430"/>
      <c r="C81" s="1063" t="s">
        <v>1543</v>
      </c>
      <c r="D81" s="1063" t="s">
        <v>1544</v>
      </c>
      <c r="E81" s="1134">
        <v>0.2</v>
      </c>
      <c r="F81" s="1149">
        <v>30</v>
      </c>
    </row>
    <row r="82" spans="1:6" s="1100" customFormat="1" ht="48">
      <c r="A82" s="1149">
        <v>22</v>
      </c>
      <c r="B82" s="3430"/>
      <c r="C82" s="1063" t="s">
        <v>1545</v>
      </c>
      <c r="D82" s="1063" t="s">
        <v>1546</v>
      </c>
      <c r="E82" s="1134">
        <v>0.2</v>
      </c>
      <c r="F82" s="1149">
        <v>30</v>
      </c>
    </row>
    <row r="83" spans="1:6" s="1100" customFormat="1" ht="48">
      <c r="A83" s="1149">
        <v>23</v>
      </c>
      <c r="B83" s="3430"/>
      <c r="C83" s="1063" t="s">
        <v>1547</v>
      </c>
      <c r="D83" s="1063" t="s">
        <v>1548</v>
      </c>
      <c r="E83" s="1134">
        <v>0.2</v>
      </c>
      <c r="F83" s="1149">
        <v>30</v>
      </c>
    </row>
    <row r="84" spans="1:6" s="1100" customFormat="1" ht="36">
      <c r="A84" s="1149">
        <v>24</v>
      </c>
      <c r="B84" s="3430"/>
      <c r="C84" s="1063" t="s">
        <v>1549</v>
      </c>
      <c r="D84" s="1063" t="s">
        <v>1550</v>
      </c>
      <c r="E84" s="1134">
        <v>0.2</v>
      </c>
      <c r="F84" s="1149">
        <v>30</v>
      </c>
    </row>
    <row r="85" spans="1:6" s="1100" customFormat="1" ht="36">
      <c r="A85" s="1149">
        <v>25</v>
      </c>
      <c r="B85" s="3430"/>
      <c r="C85" s="1063" t="s">
        <v>1551</v>
      </c>
      <c r="D85" s="1063" t="s">
        <v>1552</v>
      </c>
      <c r="E85" s="1134">
        <v>0.5</v>
      </c>
      <c r="F85" s="1149">
        <v>80</v>
      </c>
    </row>
    <row r="86" spans="1:6" s="1100" customFormat="1" ht="36">
      <c r="A86" s="1149">
        <v>26</v>
      </c>
      <c r="B86" s="3430"/>
      <c r="C86" s="1063" t="s">
        <v>1553</v>
      </c>
      <c r="D86" s="1063" t="s">
        <v>1554</v>
      </c>
      <c r="E86" s="1134">
        <v>0.2</v>
      </c>
      <c r="F86" s="1149">
        <v>30</v>
      </c>
    </row>
    <row r="87" spans="1:6" s="1100" customFormat="1" ht="36">
      <c r="A87" s="1149">
        <v>27</v>
      </c>
      <c r="B87" s="3430"/>
      <c r="C87" s="1063" t="s">
        <v>1555</v>
      </c>
      <c r="D87" s="1063" t="s">
        <v>1556</v>
      </c>
      <c r="E87" s="1134">
        <v>0.2</v>
      </c>
      <c r="F87" s="1149">
        <v>30</v>
      </c>
    </row>
    <row r="88" spans="1:6" s="1100" customFormat="1" ht="36">
      <c r="A88" s="1149">
        <v>28</v>
      </c>
      <c r="B88" s="3430"/>
      <c r="C88" s="1063" t="s">
        <v>1557</v>
      </c>
      <c r="D88" s="1063" t="s">
        <v>1558</v>
      </c>
      <c r="E88" s="1134">
        <v>0.2</v>
      </c>
      <c r="F88" s="1149">
        <v>30</v>
      </c>
    </row>
    <row r="89" spans="1:6" s="1100" customFormat="1" ht="24">
      <c r="A89" s="1149">
        <v>29</v>
      </c>
      <c r="B89" s="3430"/>
      <c r="C89" s="1063" t="s">
        <v>1559</v>
      </c>
      <c r="D89" s="1063" t="s">
        <v>1560</v>
      </c>
      <c r="E89" s="1134">
        <v>0.2</v>
      </c>
      <c r="F89" s="1149">
        <v>30</v>
      </c>
    </row>
    <row r="90" spans="1:6" s="1100" customFormat="1" ht="24">
      <c r="A90" s="1149">
        <v>30</v>
      </c>
      <c r="B90" s="3430"/>
      <c r="C90" s="1063" t="s">
        <v>1561</v>
      </c>
      <c r="D90" s="1063" t="s">
        <v>1562</v>
      </c>
      <c r="E90" s="1134">
        <v>0.2</v>
      </c>
      <c r="F90" s="1149">
        <v>30</v>
      </c>
    </row>
    <row r="91" spans="1:6" s="1100" customFormat="1" ht="36">
      <c r="A91" s="1149">
        <v>31</v>
      </c>
      <c r="B91" s="3430"/>
      <c r="C91" s="1063" t="s">
        <v>1563</v>
      </c>
      <c r="D91" s="1063" t="s">
        <v>1564</v>
      </c>
      <c r="E91" s="1134">
        <v>0.2</v>
      </c>
      <c r="F91" s="1149">
        <v>30</v>
      </c>
    </row>
    <row r="92" spans="1:6" s="1100" customFormat="1" ht="24">
      <c r="A92" s="1149">
        <v>32</v>
      </c>
      <c r="B92" s="3430" t="s">
        <v>1565</v>
      </c>
      <c r="C92" s="1149" t="s">
        <v>1566</v>
      </c>
      <c r="D92" s="1063" t="s">
        <v>1567</v>
      </c>
      <c r="E92" s="1134">
        <v>0.2</v>
      </c>
      <c r="F92" s="1149">
        <v>30</v>
      </c>
    </row>
    <row r="93" spans="1:6" s="1100" customFormat="1" ht="36">
      <c r="A93" s="1149">
        <v>33</v>
      </c>
      <c r="B93" s="3430"/>
      <c r="C93" s="1149" t="s">
        <v>1568</v>
      </c>
      <c r="D93" s="1063" t="s">
        <v>1569</v>
      </c>
      <c r="E93" s="1134">
        <v>0.2</v>
      </c>
      <c r="F93" s="1149">
        <v>30</v>
      </c>
    </row>
    <row r="94" spans="1:6" s="1100" customFormat="1" ht="48">
      <c r="A94" s="1149">
        <v>34</v>
      </c>
      <c r="B94" s="3430"/>
      <c r="C94" s="1149" t="s">
        <v>1570</v>
      </c>
      <c r="D94" s="1063" t="s">
        <v>1571</v>
      </c>
      <c r="E94" s="1134">
        <v>0.2</v>
      </c>
      <c r="F94" s="1149">
        <v>30</v>
      </c>
    </row>
    <row r="95" spans="1:6" s="1100" customFormat="1" ht="36">
      <c r="A95" s="1149">
        <v>35</v>
      </c>
      <c r="B95" s="3430"/>
      <c r="C95" s="1149" t="s">
        <v>1572</v>
      </c>
      <c r="D95" s="1063" t="s">
        <v>1573</v>
      </c>
      <c r="E95" s="1134">
        <v>0.2</v>
      </c>
      <c r="F95" s="1149">
        <v>30</v>
      </c>
    </row>
    <row r="96" spans="1:6" s="1100" customFormat="1" ht="48">
      <c r="A96" s="1149">
        <v>36</v>
      </c>
      <c r="B96" s="3430"/>
      <c r="C96" s="1063" t="s">
        <v>1574</v>
      </c>
      <c r="D96" s="1063" t="s">
        <v>1575</v>
      </c>
      <c r="E96" s="1134">
        <v>0.2</v>
      </c>
      <c r="F96" s="1149">
        <v>30</v>
      </c>
    </row>
    <row r="97" spans="1:6" s="1100" customFormat="1" ht="36">
      <c r="A97" s="1149">
        <v>37</v>
      </c>
      <c r="B97" s="3430"/>
      <c r="C97" s="1149" t="s">
        <v>1576</v>
      </c>
      <c r="D97" s="1063" t="s">
        <v>1577</v>
      </c>
      <c r="E97" s="1134">
        <v>0.2</v>
      </c>
      <c r="F97" s="1149">
        <v>30</v>
      </c>
    </row>
    <row r="98" spans="1:6" s="1100" customFormat="1" ht="36">
      <c r="A98" s="1149">
        <v>38</v>
      </c>
      <c r="B98" s="3430"/>
      <c r="C98" s="1149" t="s">
        <v>1578</v>
      </c>
      <c r="D98" s="1063" t="s">
        <v>1579</v>
      </c>
      <c r="E98" s="1134">
        <v>0.2</v>
      </c>
      <c r="F98" s="1149">
        <v>30</v>
      </c>
    </row>
    <row r="99" spans="1:6" s="1100" customFormat="1" ht="36">
      <c r="A99" s="1149">
        <v>39</v>
      </c>
      <c r="B99" s="3430" t="s">
        <v>1580</v>
      </c>
      <c r="C99" s="1149" t="s">
        <v>1581</v>
      </c>
      <c r="D99" s="1063" t="s">
        <v>1582</v>
      </c>
      <c r="E99" s="1134">
        <v>0.3</v>
      </c>
      <c r="F99" s="1149">
        <v>50</v>
      </c>
    </row>
    <row r="100" spans="1:6" s="1100" customFormat="1" ht="24">
      <c r="A100" s="1149">
        <v>40</v>
      </c>
      <c r="B100" s="3430"/>
      <c r="C100" s="1149" t="s">
        <v>1583</v>
      </c>
      <c r="D100" s="1063" t="s">
        <v>1584</v>
      </c>
      <c r="E100" s="1134">
        <v>0.2</v>
      </c>
      <c r="F100" s="1149">
        <v>30</v>
      </c>
    </row>
    <row r="101" spans="1:6" s="1100" customFormat="1" ht="36">
      <c r="A101" s="1149">
        <v>41</v>
      </c>
      <c r="B101" s="3430"/>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0" t="s">
        <v>1595</v>
      </c>
      <c r="C105" s="1149" t="s">
        <v>1596</v>
      </c>
      <c r="D105" s="1063" t="s">
        <v>1597</v>
      </c>
      <c r="E105" s="1134">
        <v>0.2</v>
      </c>
      <c r="F105" s="1149">
        <v>30</v>
      </c>
    </row>
    <row r="106" spans="1:6" s="1100" customFormat="1" ht="36">
      <c r="A106" s="1149">
        <v>46</v>
      </c>
      <c r="B106" s="3430"/>
      <c r="C106" s="1149" t="s">
        <v>1598</v>
      </c>
      <c r="D106" s="1063" t="s">
        <v>1599</v>
      </c>
      <c r="E106" s="1134">
        <v>0.2</v>
      </c>
      <c r="F106" s="1149">
        <v>30</v>
      </c>
    </row>
    <row r="107" spans="1:6" s="1100" customFormat="1" ht="36">
      <c r="A107" s="1149">
        <v>47</v>
      </c>
      <c r="B107" s="3430" t="s">
        <v>1600</v>
      </c>
      <c r="C107" s="1149" t="s">
        <v>1601</v>
      </c>
      <c r="D107" s="1063" t="s">
        <v>1602</v>
      </c>
      <c r="E107" s="1134">
        <v>0.3</v>
      </c>
      <c r="F107" s="1149">
        <v>50</v>
      </c>
    </row>
    <row r="108" spans="1:6" s="1100" customFormat="1" ht="36">
      <c r="A108" s="1149">
        <v>48</v>
      </c>
      <c r="B108" s="343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0" t="s">
        <v>1611</v>
      </c>
      <c r="C111" s="1149" t="s">
        <v>1612</v>
      </c>
      <c r="D111" s="1063" t="s">
        <v>1613</v>
      </c>
      <c r="E111" s="1134">
        <v>0.2</v>
      </c>
      <c r="F111" s="1149">
        <v>30</v>
      </c>
    </row>
    <row r="112" spans="1:6" s="1100" customFormat="1" ht="24">
      <c r="A112" s="1149">
        <v>52</v>
      </c>
      <c r="B112" s="3430"/>
      <c r="C112" s="1149" t="s">
        <v>1614</v>
      </c>
      <c r="D112" s="1063" t="s">
        <v>1615</v>
      </c>
      <c r="E112" s="1134">
        <v>0.2</v>
      </c>
      <c r="F112" s="1149">
        <v>30</v>
      </c>
    </row>
    <row r="113" spans="1:14" s="1100" customFormat="1" ht="24">
      <c r="A113" s="1149">
        <v>53</v>
      </c>
      <c r="B113" s="3430"/>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0" t="s">
        <v>1624</v>
      </c>
      <c r="C116" s="1149" t="s">
        <v>1625</v>
      </c>
      <c r="D116" s="1063" t="s">
        <v>1626</v>
      </c>
      <c r="E116" s="1134">
        <v>0.2</v>
      </c>
      <c r="F116" s="1149">
        <v>30</v>
      </c>
    </row>
    <row r="117" spans="1:14" ht="36">
      <c r="A117" s="1149">
        <v>57</v>
      </c>
      <c r="B117" s="343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9" t="s">
        <v>1633</v>
      </c>
      <c r="B121" s="3429"/>
      <c r="C121" s="3429"/>
      <c r="D121" s="3429"/>
      <c r="E121" s="3429"/>
      <c r="F121" s="3429"/>
      <c r="G121" s="3429"/>
      <c r="H121" s="3429"/>
      <c r="I121" s="3429"/>
      <c r="J121" s="342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8" t="s">
        <v>2077</v>
      </c>
      <c r="B1" s="3448"/>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1096</v>
      </c>
      <c r="B6" s="1842" t="s">
        <v>2086</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2087</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2088</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2089</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2090</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2091</v>
      </c>
      <c r="C72" s="1852"/>
      <c r="D72" s="1852"/>
      <c r="E72" s="1852"/>
      <c r="F72" s="1844">
        <v>0.05</v>
      </c>
    </row>
    <row r="73" spans="1:6" ht="14.25" thickBot="1">
      <c r="A73" s="1838" t="s">
        <v>925</v>
      </c>
      <c r="B73" s="1842" t="s">
        <v>2092</v>
      </c>
      <c r="C73" s="1852"/>
      <c r="D73" s="1852"/>
      <c r="E73" s="1852"/>
      <c r="F73" s="1844">
        <v>0.05</v>
      </c>
    </row>
    <row r="74" spans="1:6" ht="14.25" thickBot="1">
      <c r="A74" s="1838" t="s">
        <v>925</v>
      </c>
      <c r="B74" s="1842" t="s">
        <v>2093</v>
      </c>
      <c r="C74" s="1852"/>
      <c r="D74" s="1852"/>
      <c r="E74" s="1852"/>
      <c r="F74" s="1844">
        <v>0.05</v>
      </c>
    </row>
    <row r="75" spans="1:6" ht="14.25" thickBot="1">
      <c r="A75" s="1846" t="s">
        <v>925</v>
      </c>
      <c r="B75" s="1853" t="s">
        <v>2094</v>
      </c>
      <c r="C75" s="1849"/>
      <c r="D75" s="1849"/>
      <c r="E75" s="1849"/>
      <c r="F75" s="1854">
        <v>0.05</v>
      </c>
    </row>
    <row r="76" spans="1:6" ht="14.25" thickBot="1">
      <c r="A76" s="1838" t="s">
        <v>1407</v>
      </c>
      <c r="B76" s="1839" t="s">
        <v>2095</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2096</v>
      </c>
      <c r="C102" s="1852"/>
      <c r="D102" s="1852"/>
      <c r="E102" s="1852"/>
      <c r="F102" s="1844">
        <v>0.05</v>
      </c>
    </row>
    <row r="103" spans="1:6" ht="24.75" thickBot="1">
      <c r="A103" s="1838" t="s">
        <v>1407</v>
      </c>
      <c r="B103" s="1842" t="s">
        <v>2097</v>
      </c>
      <c r="C103" s="1852"/>
      <c r="D103" s="1852"/>
      <c r="E103" s="1852"/>
      <c r="F103" s="1844">
        <v>0.05</v>
      </c>
    </row>
    <row r="104" spans="1:6" ht="14.25" thickBot="1">
      <c r="A104" s="1838" t="s">
        <v>1407</v>
      </c>
      <c r="B104" s="1842" t="s">
        <v>2098</v>
      </c>
      <c r="C104" s="1852"/>
      <c r="D104" s="1852"/>
      <c r="E104" s="1852"/>
      <c r="F104" s="1844">
        <v>0.05</v>
      </c>
    </row>
    <row r="105" spans="1:6" ht="14.25" thickBot="1">
      <c r="A105" s="1838" t="s">
        <v>1407</v>
      </c>
      <c r="B105" s="1842" t="s">
        <v>2099</v>
      </c>
      <c r="C105" s="1852"/>
      <c r="D105" s="1852"/>
      <c r="E105" s="1852"/>
      <c r="F105" s="1844">
        <v>0.05</v>
      </c>
    </row>
    <row r="106" spans="1:6" ht="14.25" thickBot="1">
      <c r="A106" s="1838" t="s">
        <v>1407</v>
      </c>
      <c r="B106" s="1842" t="s">
        <v>2100</v>
      </c>
      <c r="C106" s="1852"/>
      <c r="D106" s="1852"/>
      <c r="E106" s="1852"/>
      <c r="F106" s="1844">
        <v>0.05</v>
      </c>
    </row>
    <row r="107" spans="1:6" ht="24.75" thickBot="1">
      <c r="A107" s="1838" t="s">
        <v>1407</v>
      </c>
      <c r="B107" s="1842" t="s">
        <v>2101</v>
      </c>
      <c r="C107" s="1852"/>
      <c r="D107" s="1852"/>
      <c r="E107" s="1852"/>
      <c r="F107" s="1844">
        <v>0.05</v>
      </c>
    </row>
    <row r="108" spans="1:6" ht="24.75" thickBot="1">
      <c r="A108" s="1838" t="s">
        <v>1407</v>
      </c>
      <c r="B108" s="1842" t="s">
        <v>2102</v>
      </c>
      <c r="C108" s="1852"/>
      <c r="D108" s="1852"/>
      <c r="E108" s="1852"/>
      <c r="F108" s="1844">
        <v>0.05</v>
      </c>
    </row>
    <row r="109" spans="1:6" ht="24.75" thickBot="1">
      <c r="A109" s="1846" t="s">
        <v>1407</v>
      </c>
      <c r="B109" s="1853" t="s">
        <v>2103</v>
      </c>
      <c r="C109" s="1849"/>
      <c r="D109" s="1849"/>
      <c r="E109" s="1849"/>
      <c r="F109" s="1854">
        <v>0.05</v>
      </c>
    </row>
    <row r="110" spans="1:6" ht="14.25" thickBot="1">
      <c r="A110" s="1838" t="s">
        <v>1409</v>
      </c>
      <c r="B110" s="1839" t="s">
        <v>2104</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2105</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2106</v>
      </c>
      <c r="C138" s="1843">
        <v>0.105</v>
      </c>
      <c r="D138" s="1843">
        <v>0.125</v>
      </c>
      <c r="E138" s="1843">
        <v>0.112</v>
      </c>
      <c r="F138" s="1851"/>
    </row>
    <row r="139" spans="1:6" ht="14.25" thickBot="1">
      <c r="A139" s="1838" t="s">
        <v>1409</v>
      </c>
      <c r="B139" s="1842" t="s">
        <v>2107</v>
      </c>
      <c r="C139" s="1843">
        <v>0.127</v>
      </c>
      <c r="D139" s="1843">
        <v>0.127</v>
      </c>
      <c r="E139" s="1843">
        <v>0.122</v>
      </c>
      <c r="F139" s="1844">
        <v>0.13</v>
      </c>
    </row>
    <row r="140" spans="1:6" ht="14.25" thickBot="1">
      <c r="A140" s="1838" t="s">
        <v>1409</v>
      </c>
      <c r="B140" s="1842" t="s">
        <v>2108</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2109</v>
      </c>
      <c r="C144" s="1856">
        <v>0.126</v>
      </c>
      <c r="D144" s="1856">
        <v>0.126</v>
      </c>
      <c r="E144" s="1856">
        <v>0.121</v>
      </c>
      <c r="F144" s="1851"/>
    </row>
    <row r="145" spans="1:6" ht="14.25" thickBot="1">
      <c r="A145" s="1846" t="s">
        <v>1409</v>
      </c>
      <c r="B145" s="1857" t="s">
        <v>2110</v>
      </c>
      <c r="C145" s="1858"/>
      <c r="D145" s="1858"/>
      <c r="E145" s="1858"/>
      <c r="F145" s="1859">
        <v>0.05</v>
      </c>
    </row>
    <row r="146" spans="1:6" ht="24.75" thickBot="1">
      <c r="A146" s="1860" t="s">
        <v>1409</v>
      </c>
      <c r="B146" s="1845" t="s">
        <v>2111</v>
      </c>
      <c r="C146" s="1852"/>
      <c r="D146" s="1852"/>
      <c r="E146" s="1852"/>
      <c r="F146" s="1861">
        <v>0.05</v>
      </c>
    </row>
    <row r="147" spans="1:6" ht="24.75" thickBot="1">
      <c r="A147" s="1838" t="s">
        <v>1409</v>
      </c>
      <c r="B147" s="1842" t="s">
        <v>2112</v>
      </c>
      <c r="C147" s="1852"/>
      <c r="D147" s="1852"/>
      <c r="E147" s="1852"/>
      <c r="F147" s="1844">
        <v>0.05</v>
      </c>
    </row>
    <row r="148" spans="1:6" ht="24.75" thickBot="1">
      <c r="A148" s="1838" t="s">
        <v>1409</v>
      </c>
      <c r="B148" s="1842" t="s">
        <v>2113</v>
      </c>
      <c r="C148" s="1852"/>
      <c r="D148" s="1852"/>
      <c r="E148" s="1852"/>
      <c r="F148" s="1844">
        <v>0.05</v>
      </c>
    </row>
    <row r="149" spans="1:6" ht="24.75" thickBot="1">
      <c r="A149" s="1838" t="s">
        <v>1409</v>
      </c>
      <c r="B149" s="1842" t="s">
        <v>2114</v>
      </c>
      <c r="C149" s="1852"/>
      <c r="D149" s="1852"/>
      <c r="E149" s="1852"/>
      <c r="F149" s="1844">
        <v>0.05</v>
      </c>
    </row>
    <row r="150" spans="1:6" ht="24.75" thickBot="1">
      <c r="A150" s="1838" t="s">
        <v>1409</v>
      </c>
      <c r="B150" s="1842" t="s">
        <v>2115</v>
      </c>
      <c r="C150" s="1852"/>
      <c r="D150" s="1852"/>
      <c r="E150" s="1852"/>
      <c r="F150" s="1844">
        <v>0.05</v>
      </c>
    </row>
    <row r="151" spans="1:6" ht="24.75" thickBot="1">
      <c r="A151" s="1838" t="s">
        <v>1409</v>
      </c>
      <c r="B151" s="1842" t="s">
        <v>2116</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2117</v>
      </c>
      <c r="C153" s="1852"/>
      <c r="D153" s="1852"/>
      <c r="E153" s="1852"/>
      <c r="F153" s="1844">
        <v>0.05</v>
      </c>
    </row>
    <row r="154" spans="1:6" ht="14.25" thickBot="1">
      <c r="A154" s="1838" t="s">
        <v>1409</v>
      </c>
      <c r="B154" s="1842" t="s">
        <v>2118</v>
      </c>
      <c r="C154" s="1852"/>
      <c r="D154" s="1852"/>
      <c r="E154" s="1852"/>
      <c r="F154" s="1844">
        <v>0.05</v>
      </c>
    </row>
    <row r="155" spans="1:6" ht="24.75" thickBot="1">
      <c r="A155" s="1838" t="s">
        <v>1409</v>
      </c>
      <c r="B155" s="1842" t="s">
        <v>2119</v>
      </c>
      <c r="C155" s="1852"/>
      <c r="D155" s="1852"/>
      <c r="E155" s="1852"/>
      <c r="F155" s="1844">
        <v>0.05</v>
      </c>
    </row>
    <row r="156" spans="1:6" ht="24.75" thickBot="1">
      <c r="A156" s="1838" t="s">
        <v>1409</v>
      </c>
      <c r="B156" s="1842" t="s">
        <v>2120</v>
      </c>
      <c r="C156" s="1852"/>
      <c r="D156" s="1852"/>
      <c r="E156" s="1852"/>
      <c r="F156" s="1844">
        <v>0.05</v>
      </c>
    </row>
    <row r="157" spans="1:6" ht="14.25" thickBot="1">
      <c r="A157" s="1846" t="s">
        <v>1409</v>
      </c>
      <c r="B157" s="1853" t="s">
        <v>2121</v>
      </c>
      <c r="C157" s="1849"/>
      <c r="D157" s="1849"/>
      <c r="E157" s="1849"/>
      <c r="F157" s="1854">
        <v>0.05</v>
      </c>
    </row>
    <row r="158" spans="1:6" ht="14.25" thickBot="1">
      <c r="A158" s="1838" t="s">
        <v>1411</v>
      </c>
      <c r="B158" s="1839" t="s">
        <v>2122</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2123</v>
      </c>
      <c r="C171" s="1843">
        <v>0.127</v>
      </c>
      <c r="D171" s="1843">
        <v>0.126</v>
      </c>
      <c r="E171" s="1843">
        <v>0.126</v>
      </c>
      <c r="F171" s="1844">
        <v>0.11799999999999999</v>
      </c>
    </row>
    <row r="172" spans="1:6" ht="14.25" thickBot="1">
      <c r="A172" s="1838" t="s">
        <v>1411</v>
      </c>
      <c r="B172" s="1842" t="s">
        <v>2124</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2125</v>
      </c>
      <c r="C174" s="1843">
        <v>0.13</v>
      </c>
      <c r="D174" s="1843">
        <v>0.13</v>
      </c>
      <c r="E174" s="1843">
        <v>0.13</v>
      </c>
      <c r="F174" s="1844">
        <v>0.13</v>
      </c>
    </row>
    <row r="175" spans="1:6" ht="14.25" thickBot="1">
      <c r="A175" s="1838" t="s">
        <v>1411</v>
      </c>
      <c r="B175" s="1842" t="s">
        <v>2126</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2127</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2128</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2129</v>
      </c>
      <c r="C185" s="1843">
        <v>0.127</v>
      </c>
      <c r="D185" s="1843">
        <v>0.127</v>
      </c>
      <c r="E185" s="1843">
        <v>0.128</v>
      </c>
      <c r="F185" s="1844">
        <v>0.13</v>
      </c>
    </row>
    <row r="186" spans="1:6" ht="24.75" thickBot="1">
      <c r="A186" s="1838" t="s">
        <v>1411</v>
      </c>
      <c r="B186" s="1842" t="s">
        <v>2130</v>
      </c>
      <c r="C186" s="1852"/>
      <c r="D186" s="1852"/>
      <c r="E186" s="1852"/>
      <c r="F186" s="1844">
        <v>0.05</v>
      </c>
    </row>
    <row r="187" spans="1:6" ht="14.25" thickBot="1">
      <c r="A187" s="1838" t="s">
        <v>1411</v>
      </c>
      <c r="B187" s="1842" t="s">
        <v>2131</v>
      </c>
      <c r="C187" s="1852"/>
      <c r="D187" s="1852"/>
      <c r="E187" s="1852"/>
      <c r="F187" s="1844">
        <v>0.05</v>
      </c>
    </row>
    <row r="188" spans="1:6" ht="14.25" thickBot="1">
      <c r="A188" s="1838" t="s">
        <v>1411</v>
      </c>
      <c r="B188" s="1842" t="s">
        <v>2132</v>
      </c>
      <c r="C188" s="1852"/>
      <c r="D188" s="1852"/>
      <c r="E188" s="1852"/>
      <c r="F188" s="1844">
        <v>0.05</v>
      </c>
    </row>
    <row r="189" spans="1:6" ht="24.75" thickBot="1">
      <c r="A189" s="1838" t="s">
        <v>1411</v>
      </c>
      <c r="B189" s="1842" t="s">
        <v>2133</v>
      </c>
      <c r="C189" s="1852"/>
      <c r="D189" s="1852"/>
      <c r="E189" s="1852"/>
      <c r="F189" s="1844">
        <v>0.05</v>
      </c>
    </row>
    <row r="190" spans="1:6" ht="24.75" thickBot="1">
      <c r="A190" s="1838" t="s">
        <v>1411</v>
      </c>
      <c r="B190" s="1842" t="s">
        <v>2134</v>
      </c>
      <c r="C190" s="1852"/>
      <c r="D190" s="1852"/>
      <c r="E190" s="1852"/>
      <c r="F190" s="1844">
        <v>0.05</v>
      </c>
    </row>
    <row r="191" spans="1:6" ht="24.75" thickBot="1">
      <c r="A191" s="1838" t="s">
        <v>1411</v>
      </c>
      <c r="B191" s="1842" t="s">
        <v>2135</v>
      </c>
      <c r="C191" s="1852"/>
      <c r="D191" s="1852"/>
      <c r="E191" s="1852"/>
      <c r="F191" s="1844">
        <v>0.05</v>
      </c>
    </row>
    <row r="192" spans="1:6" ht="24.75" thickBot="1">
      <c r="A192" s="1838" t="s">
        <v>1411</v>
      </c>
      <c r="B192" s="1842" t="s">
        <v>2136</v>
      </c>
      <c r="C192" s="1852"/>
      <c r="D192" s="1852"/>
      <c r="E192" s="1852"/>
      <c r="F192" s="1844">
        <v>0.05</v>
      </c>
    </row>
    <row r="193" spans="1:6" ht="24.75" thickBot="1">
      <c r="A193" s="1838" t="s">
        <v>1411</v>
      </c>
      <c r="B193" s="1842" t="s">
        <v>2137</v>
      </c>
      <c r="C193" s="1852"/>
      <c r="D193" s="1852"/>
      <c r="E193" s="1852"/>
      <c r="F193" s="1844">
        <v>0.05</v>
      </c>
    </row>
    <row r="194" spans="1:6" ht="24.75" thickBot="1">
      <c r="A194" s="1838" t="s">
        <v>1411</v>
      </c>
      <c r="B194" s="1842" t="s">
        <v>2138</v>
      </c>
      <c r="C194" s="1852"/>
      <c r="D194" s="1852"/>
      <c r="E194" s="1852"/>
      <c r="F194" s="1844">
        <v>0.05</v>
      </c>
    </row>
    <row r="195" spans="1:6" ht="14.25" thickBot="1">
      <c r="A195" s="1838" t="s">
        <v>1411</v>
      </c>
      <c r="B195" s="1842" t="s">
        <v>2139</v>
      </c>
      <c r="C195" s="1852"/>
      <c r="D195" s="1852"/>
      <c r="E195" s="1852"/>
      <c r="F195" s="1844">
        <v>0.05</v>
      </c>
    </row>
    <row r="196" spans="1:6" ht="24.75" thickBot="1">
      <c r="A196" s="1838" t="s">
        <v>1411</v>
      </c>
      <c r="B196" s="1842" t="s">
        <v>2140</v>
      </c>
      <c r="C196" s="1852"/>
      <c r="D196" s="1852"/>
      <c r="E196" s="1852"/>
      <c r="F196" s="1844">
        <v>0.05</v>
      </c>
    </row>
    <row r="197" spans="1:6" ht="24.75" thickBot="1">
      <c r="A197" s="1838" t="s">
        <v>1411</v>
      </c>
      <c r="B197" s="1842" t="s">
        <v>2141</v>
      </c>
      <c r="C197" s="1852"/>
      <c r="D197" s="1852"/>
      <c r="E197" s="1852"/>
      <c r="F197" s="1844">
        <v>0.05</v>
      </c>
    </row>
    <row r="198" spans="1:6" ht="24.75" thickBot="1">
      <c r="A198" s="1838" t="s">
        <v>1411</v>
      </c>
      <c r="B198" s="1842" t="s">
        <v>2142</v>
      </c>
      <c r="C198" s="1852"/>
      <c r="D198" s="1852"/>
      <c r="E198" s="1852"/>
      <c r="F198" s="1844">
        <v>0.05</v>
      </c>
    </row>
    <row r="199" spans="1:6" ht="24.75" thickBot="1">
      <c r="A199" s="1838" t="s">
        <v>1411</v>
      </c>
      <c r="B199" s="1842" t="s">
        <v>2143</v>
      </c>
      <c r="C199" s="1852"/>
      <c r="D199" s="1852"/>
      <c r="E199" s="1852"/>
      <c r="F199" s="1844">
        <v>0.05</v>
      </c>
    </row>
    <row r="200" spans="1:6" ht="24.75" thickBot="1">
      <c r="A200" s="1838" t="s">
        <v>1411</v>
      </c>
      <c r="B200" s="1842" t="s">
        <v>2144</v>
      </c>
      <c r="C200" s="1852"/>
      <c r="D200" s="1852"/>
      <c r="E200" s="1852"/>
      <c r="F200" s="1844">
        <v>0.05</v>
      </c>
    </row>
    <row r="201" spans="1:6" ht="24.75" thickBot="1">
      <c r="A201" s="1838" t="s">
        <v>1411</v>
      </c>
      <c r="B201" s="1842" t="s">
        <v>2145</v>
      </c>
      <c r="C201" s="1852"/>
      <c r="D201" s="1852"/>
      <c r="E201" s="1852"/>
      <c r="F201" s="1844">
        <v>0.05</v>
      </c>
    </row>
    <row r="202" spans="1:6" ht="24.75" thickBot="1">
      <c r="A202" s="1838" t="s">
        <v>1411</v>
      </c>
      <c r="B202" s="1842" t="s">
        <v>2146</v>
      </c>
      <c r="C202" s="1852"/>
      <c r="D202" s="1852"/>
      <c r="E202" s="1852"/>
      <c r="F202" s="1844">
        <v>0.05</v>
      </c>
    </row>
    <row r="203" spans="1:6" ht="24.75" thickBot="1">
      <c r="A203" s="1838" t="s">
        <v>1411</v>
      </c>
      <c r="B203" s="1842" t="s">
        <v>2147</v>
      </c>
      <c r="C203" s="1852"/>
      <c r="D203" s="1852"/>
      <c r="E203" s="1852"/>
      <c r="F203" s="1844">
        <v>0.05</v>
      </c>
    </row>
    <row r="204" spans="1:6" ht="14.25" thickBot="1">
      <c r="A204" s="1838" t="s">
        <v>1411</v>
      </c>
      <c r="B204" s="1842" t="s">
        <v>2148</v>
      </c>
      <c r="C204" s="1852"/>
      <c r="D204" s="1852"/>
      <c r="E204" s="1852"/>
      <c r="F204" s="1844">
        <v>0.05</v>
      </c>
    </row>
    <row r="205" spans="1:6" ht="14.25" thickBot="1">
      <c r="A205" s="1846" t="s">
        <v>1411</v>
      </c>
      <c r="B205" s="1853" t="s">
        <v>2149</v>
      </c>
      <c r="C205" s="1849"/>
      <c r="D205" s="1849"/>
      <c r="E205" s="1849"/>
      <c r="F205" s="1854">
        <v>0.05</v>
      </c>
    </row>
    <row r="206" spans="1:6" ht="14.25" thickBot="1">
      <c r="A206" s="1838" t="s">
        <v>1413</v>
      </c>
      <c r="B206" s="1839" t="s">
        <v>2150</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2151</v>
      </c>
      <c r="C210" s="1843">
        <v>0.15</v>
      </c>
      <c r="D210" s="1843">
        <v>0.15</v>
      </c>
      <c r="E210" s="1843">
        <v>0.15</v>
      </c>
      <c r="F210" s="1844">
        <v>0.13800000000000001</v>
      </c>
    </row>
    <row r="211" spans="1:6" ht="14.25" thickBot="1">
      <c r="A211" s="1838" t="s">
        <v>1413</v>
      </c>
      <c r="B211" s="1842" t="s">
        <v>2152</v>
      </c>
      <c r="C211" s="1843">
        <v>0.13700000000000001</v>
      </c>
      <c r="D211" s="1843">
        <v>0.13500000000000001</v>
      </c>
      <c r="E211" s="1843">
        <v>0.13600000000000001</v>
      </c>
      <c r="F211" s="1844">
        <v>0.1</v>
      </c>
    </row>
    <row r="212" spans="1:6" ht="14.25" thickBot="1">
      <c r="A212" s="1838" t="s">
        <v>1413</v>
      </c>
      <c r="B212" s="1842" t="s">
        <v>2153</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2154</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2155</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2156</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2157</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2158</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2159</v>
      </c>
      <c r="C231" s="1843">
        <v>0.128</v>
      </c>
      <c r="D231" s="1843">
        <v>0.125</v>
      </c>
      <c r="E231" s="1843">
        <v>0.13200000000000001</v>
      </c>
      <c r="F231" s="1851"/>
    </row>
    <row r="232" spans="1:6" ht="14.25" thickBot="1">
      <c r="A232" s="1838" t="s">
        <v>1413</v>
      </c>
      <c r="B232" s="1842" t="s">
        <v>2160</v>
      </c>
      <c r="C232" s="1843">
        <v>0.14499999999999999</v>
      </c>
      <c r="D232" s="1843">
        <v>0.14399999999999999</v>
      </c>
      <c r="E232" s="1843">
        <v>0.14599999999999999</v>
      </c>
      <c r="F232" s="1844">
        <v>0.13800000000000001</v>
      </c>
    </row>
    <row r="233" spans="1:6" ht="14.25" thickBot="1">
      <c r="A233" s="1838" t="s">
        <v>1413</v>
      </c>
      <c r="B233" s="1842" t="s">
        <v>2161</v>
      </c>
      <c r="C233" s="1843">
        <v>0.14499999999999999</v>
      </c>
      <c r="D233" s="1843">
        <v>0.14299999999999999</v>
      </c>
      <c r="E233" s="1843">
        <v>0.14199999999999999</v>
      </c>
      <c r="F233" s="1851"/>
    </row>
    <row r="234" spans="1:6" ht="14.25" thickBot="1">
      <c r="A234" s="1838" t="s">
        <v>1413</v>
      </c>
      <c r="B234" s="1842" t="s">
        <v>2162</v>
      </c>
      <c r="C234" s="1843">
        <v>0.14000000000000001</v>
      </c>
      <c r="D234" s="1843">
        <v>0.14000000000000001</v>
      </c>
      <c r="E234" s="1843">
        <v>0.14399999999999999</v>
      </c>
      <c r="F234" s="1851"/>
    </row>
    <row r="235" spans="1:6" ht="14.25" thickBot="1">
      <c r="A235" s="1838" t="s">
        <v>1413</v>
      </c>
      <c r="B235" s="1842" t="s">
        <v>2163</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2164</v>
      </c>
      <c r="C237" s="1852"/>
      <c r="D237" s="1852"/>
      <c r="E237" s="1852"/>
      <c r="F237" s="1844">
        <v>0.05</v>
      </c>
    </row>
    <row r="238" spans="1:6" ht="24.75" thickBot="1">
      <c r="A238" s="1838" t="s">
        <v>1413</v>
      </c>
      <c r="B238" s="1842" t="s">
        <v>2165</v>
      </c>
      <c r="C238" s="1852"/>
      <c r="D238" s="1852"/>
      <c r="E238" s="1852"/>
      <c r="F238" s="1844">
        <v>0.05</v>
      </c>
    </row>
    <row r="239" spans="1:6" ht="24.75" thickBot="1">
      <c r="A239" s="1838" t="s">
        <v>1413</v>
      </c>
      <c r="B239" s="1842" t="s">
        <v>2166</v>
      </c>
      <c r="C239" s="1852"/>
      <c r="D239" s="1852"/>
      <c r="E239" s="1852"/>
      <c r="F239" s="1844">
        <v>0.05</v>
      </c>
    </row>
    <row r="240" spans="1:6" ht="24.75" thickBot="1">
      <c r="A240" s="1838" t="s">
        <v>1413</v>
      </c>
      <c r="B240" s="1842" t="s">
        <v>2167</v>
      </c>
      <c r="C240" s="1852"/>
      <c r="D240" s="1852"/>
      <c r="E240" s="1852"/>
      <c r="F240" s="1844">
        <v>0.05</v>
      </c>
    </row>
    <row r="241" spans="1:6" ht="24.75" thickBot="1">
      <c r="A241" s="1838" t="s">
        <v>1413</v>
      </c>
      <c r="B241" s="1842" t="s">
        <v>2168</v>
      </c>
      <c r="C241" s="1852"/>
      <c r="D241" s="1852"/>
      <c r="E241" s="1852"/>
      <c r="F241" s="1844">
        <v>0.05</v>
      </c>
    </row>
    <row r="242" spans="1:6" ht="24.75" thickBot="1">
      <c r="A242" s="1838" t="s">
        <v>1413</v>
      </c>
      <c r="B242" s="1842" t="s">
        <v>2169</v>
      </c>
      <c r="C242" s="1852"/>
      <c r="D242" s="1852"/>
      <c r="E242" s="1852"/>
      <c r="F242" s="1844">
        <v>0.05</v>
      </c>
    </row>
    <row r="243" spans="1:6" ht="24.75" thickBot="1">
      <c r="A243" s="1838" t="s">
        <v>1413</v>
      </c>
      <c r="B243" s="1842" t="s">
        <v>2170</v>
      </c>
      <c r="C243" s="1852"/>
      <c r="D243" s="1852"/>
      <c r="E243" s="1852"/>
      <c r="F243" s="1844">
        <v>0.05</v>
      </c>
    </row>
    <row r="244" spans="1:6" ht="24.75" thickBot="1">
      <c r="A244" s="1846" t="s">
        <v>1413</v>
      </c>
      <c r="B244" s="1853" t="s">
        <v>2171</v>
      </c>
      <c r="C244" s="1849"/>
      <c r="D244" s="1849"/>
      <c r="E244" s="1849"/>
      <c r="F244" s="1854">
        <v>0.05</v>
      </c>
    </row>
    <row r="245" spans="1:6" ht="14.25" thickBot="1">
      <c r="A245" s="1838" t="s">
        <v>1415</v>
      </c>
      <c r="B245" s="1839" t="s">
        <v>2172</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2173</v>
      </c>
      <c r="C247" s="1843">
        <v>0.15</v>
      </c>
      <c r="D247" s="1843">
        <v>0.15</v>
      </c>
      <c r="E247" s="1843">
        <v>0.15</v>
      </c>
      <c r="F247" s="1844">
        <v>0.15</v>
      </c>
    </row>
    <row r="248" spans="1:6" ht="14.25" thickBot="1">
      <c r="A248" s="1838" t="s">
        <v>1415</v>
      </c>
      <c r="B248" s="1842" t="s">
        <v>2174</v>
      </c>
      <c r="C248" s="1843">
        <v>0.15</v>
      </c>
      <c r="D248" s="1843">
        <v>0.15</v>
      </c>
      <c r="E248" s="1843">
        <v>0.15</v>
      </c>
      <c r="F248" s="1844">
        <v>0.14000000000000001</v>
      </c>
    </row>
    <row r="249" spans="1:6" ht="14.25" thickBot="1">
      <c r="A249" s="1838" t="s">
        <v>1415</v>
      </c>
      <c r="B249" s="1842" t="s">
        <v>2175</v>
      </c>
      <c r="C249" s="1843">
        <v>0.15</v>
      </c>
      <c r="D249" s="1843">
        <v>0.14899999999999999</v>
      </c>
      <c r="E249" s="1843">
        <v>0.15</v>
      </c>
      <c r="F249" s="1844">
        <v>0.1</v>
      </c>
    </row>
    <row r="250" spans="1:6" ht="14.25" thickBot="1">
      <c r="A250" s="1838" t="s">
        <v>1415</v>
      </c>
      <c r="B250" s="1842" t="s">
        <v>2176</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2177</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2178</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2179</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2180</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2181</v>
      </c>
      <c r="C273" s="1843">
        <v>0.14199999999999999</v>
      </c>
      <c r="D273" s="1843">
        <v>0.14299999999999999</v>
      </c>
      <c r="E273" s="1843">
        <v>0.15</v>
      </c>
      <c r="F273" s="1844">
        <v>0.1</v>
      </c>
    </row>
    <row r="274" spans="1:6" ht="14.25" thickBot="1">
      <c r="A274" s="1838" t="s">
        <v>1415</v>
      </c>
      <c r="B274" s="1842" t="s">
        <v>2182</v>
      </c>
      <c r="C274" s="1843">
        <v>0.14799999999999999</v>
      </c>
      <c r="D274" s="1843">
        <v>0.14799999999999999</v>
      </c>
      <c r="E274" s="1843">
        <v>0.15</v>
      </c>
      <c r="F274" s="1844">
        <v>6.7000000000000004E-2</v>
      </c>
    </row>
    <row r="275" spans="1:6" ht="14.25" thickBot="1">
      <c r="A275" s="1838" t="s">
        <v>1415</v>
      </c>
      <c r="B275" s="1842" t="s">
        <v>2183</v>
      </c>
      <c r="C275" s="1843">
        <v>0.15</v>
      </c>
      <c r="D275" s="1843">
        <v>0.15</v>
      </c>
      <c r="E275" s="1843">
        <v>0.15</v>
      </c>
      <c r="F275" s="1844">
        <v>0.15</v>
      </c>
    </row>
    <row r="276" spans="1:6" ht="14.25" thickBot="1">
      <c r="A276" s="1838" t="s">
        <v>1415</v>
      </c>
      <c r="B276" s="1842" t="s">
        <v>2184</v>
      </c>
      <c r="C276" s="1843">
        <v>0.14499999999999999</v>
      </c>
      <c r="D276" s="1843">
        <v>0.14299999999999999</v>
      </c>
      <c r="E276" s="1843">
        <v>0.15</v>
      </c>
      <c r="F276" s="1844">
        <v>5.8999999999999997E-2</v>
      </c>
    </row>
    <row r="277" spans="1:6" ht="14.25" thickBot="1">
      <c r="A277" s="1838" t="s">
        <v>1415</v>
      </c>
      <c r="B277" s="1842" t="s">
        <v>2185</v>
      </c>
      <c r="C277" s="1843">
        <v>0.15</v>
      </c>
      <c r="D277" s="1843">
        <v>0.15</v>
      </c>
      <c r="E277" s="1843">
        <v>0.15</v>
      </c>
      <c r="F277" s="1844">
        <v>0.121</v>
      </c>
    </row>
    <row r="278" spans="1:6" ht="14.25" thickBot="1">
      <c r="A278" s="1838" t="s">
        <v>1415</v>
      </c>
      <c r="B278" s="1842" t="s">
        <v>2186</v>
      </c>
      <c r="C278" s="1843">
        <v>0.15</v>
      </c>
      <c r="D278" s="1843">
        <v>0.15</v>
      </c>
      <c r="E278" s="1843">
        <v>0.15</v>
      </c>
      <c r="F278" s="1844">
        <v>0.13800000000000001</v>
      </c>
    </row>
    <row r="279" spans="1:6" ht="24.75" thickBot="1">
      <c r="A279" s="1838" t="s">
        <v>1415</v>
      </c>
      <c r="B279" s="1842" t="s">
        <v>2187</v>
      </c>
      <c r="C279" s="1852"/>
      <c r="D279" s="1852"/>
      <c r="E279" s="1852"/>
      <c r="F279" s="1844">
        <v>0.05</v>
      </c>
    </row>
    <row r="280" spans="1:6" ht="24.75" thickBot="1">
      <c r="A280" s="1838" t="s">
        <v>1415</v>
      </c>
      <c r="B280" s="1842" t="s">
        <v>2188</v>
      </c>
      <c r="C280" s="1852"/>
      <c r="D280" s="1852"/>
      <c r="E280" s="1852"/>
      <c r="F280" s="1844">
        <v>0.05</v>
      </c>
    </row>
    <row r="281" spans="1:6" ht="24.75" thickBot="1">
      <c r="A281" s="1838" t="s">
        <v>1415</v>
      </c>
      <c r="B281" s="1842" t="s">
        <v>2189</v>
      </c>
      <c r="C281" s="1852"/>
      <c r="D281" s="1852"/>
      <c r="E281" s="1852"/>
      <c r="F281" s="1844">
        <v>0.05</v>
      </c>
    </row>
    <row r="282" spans="1:6" ht="24.75" thickBot="1">
      <c r="A282" s="1838" t="s">
        <v>1415</v>
      </c>
      <c r="B282" s="1842" t="s">
        <v>2190</v>
      </c>
      <c r="C282" s="1852"/>
      <c r="D282" s="1852"/>
      <c r="E282" s="1852"/>
      <c r="F282" s="1844">
        <v>0.05</v>
      </c>
    </row>
    <row r="283" spans="1:6" ht="24.75" thickBot="1">
      <c r="A283" s="1838" t="s">
        <v>1415</v>
      </c>
      <c r="B283" s="1842" t="s">
        <v>2191</v>
      </c>
      <c r="C283" s="1852"/>
      <c r="D283" s="1852"/>
      <c r="E283" s="1852"/>
      <c r="F283" s="1844">
        <v>0.05</v>
      </c>
    </row>
    <row r="284" spans="1:6" ht="24.75" thickBot="1">
      <c r="A284" s="1838" t="s">
        <v>1415</v>
      </c>
      <c r="B284" s="1842" t="s">
        <v>2192</v>
      </c>
      <c r="C284" s="1852"/>
      <c r="D284" s="1852"/>
      <c r="E284" s="1852"/>
      <c r="F284" s="1844">
        <v>0.05</v>
      </c>
    </row>
    <row r="285" spans="1:6" ht="24.75" thickBot="1">
      <c r="A285" s="1838" t="s">
        <v>1415</v>
      </c>
      <c r="B285" s="1842" t="s">
        <v>2193</v>
      </c>
      <c r="C285" s="1852"/>
      <c r="D285" s="1852"/>
      <c r="E285" s="1852"/>
      <c r="F285" s="1844">
        <v>0.05</v>
      </c>
    </row>
    <row r="286" spans="1:6" ht="24.75" thickBot="1">
      <c r="A286" s="1838" t="s">
        <v>1415</v>
      </c>
      <c r="B286" s="1842" t="s">
        <v>2194</v>
      </c>
      <c r="C286" s="1852"/>
      <c r="D286" s="1852"/>
      <c r="E286" s="1852"/>
      <c r="F286" s="1844">
        <v>0.05</v>
      </c>
    </row>
    <row r="287" spans="1:6" ht="24.75" thickBot="1">
      <c r="A287" s="1838" t="s">
        <v>1415</v>
      </c>
      <c r="B287" s="1842" t="s">
        <v>2195</v>
      </c>
      <c r="C287" s="1852"/>
      <c r="D287" s="1852"/>
      <c r="E287" s="1852"/>
      <c r="F287" s="1844">
        <v>0.05</v>
      </c>
    </row>
    <row r="288" spans="1:6" ht="24.75" thickBot="1">
      <c r="A288" s="1838" t="s">
        <v>1415</v>
      </c>
      <c r="B288" s="1842" t="s">
        <v>2196</v>
      </c>
      <c r="C288" s="1852"/>
      <c r="D288" s="1852"/>
      <c r="E288" s="1852"/>
      <c r="F288" s="1844">
        <v>0.05</v>
      </c>
    </row>
    <row r="289" spans="1:6" ht="24.75" thickBot="1">
      <c r="A289" s="1846" t="s">
        <v>1415</v>
      </c>
      <c r="B289" s="1853" t="s">
        <v>2197</v>
      </c>
      <c r="C289" s="1849"/>
      <c r="D289" s="1849"/>
      <c r="E289" s="1849"/>
      <c r="F289" s="1854">
        <v>0.05</v>
      </c>
    </row>
    <row r="290" spans="1:6" ht="14.25" thickBot="1">
      <c r="A290" s="1838" t="s">
        <v>1419</v>
      </c>
      <c r="B290" s="1839" t="s">
        <v>2198</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2199</v>
      </c>
      <c r="C292" s="1843">
        <v>0.15</v>
      </c>
      <c r="D292" s="1843">
        <v>0.15</v>
      </c>
      <c r="E292" s="1843">
        <v>0.15</v>
      </c>
      <c r="F292" s="1844">
        <v>0.14699999999999999</v>
      </c>
    </row>
    <row r="293" spans="1:6" ht="14.25" thickBot="1">
      <c r="A293" s="1838" t="s">
        <v>1419</v>
      </c>
      <c r="B293" s="1842" t="s">
        <v>2200</v>
      </c>
      <c r="C293" s="1852"/>
      <c r="D293" s="1852"/>
      <c r="E293" s="1852"/>
      <c r="F293" s="1844">
        <v>0.1</v>
      </c>
    </row>
    <row r="294" spans="1:6" ht="14.25" thickBot="1">
      <c r="A294" s="1838" t="s">
        <v>1419</v>
      </c>
      <c r="B294" s="1842" t="s">
        <v>2201</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2202</v>
      </c>
      <c r="C296" s="1843">
        <v>0.15</v>
      </c>
      <c r="D296" s="1843">
        <v>0.15</v>
      </c>
      <c r="E296" s="1843">
        <v>0.15</v>
      </c>
      <c r="F296" s="1844">
        <v>0.15</v>
      </c>
    </row>
    <row r="297" spans="1:6" ht="14.25" thickBot="1">
      <c r="A297" s="1838" t="s">
        <v>1419</v>
      </c>
      <c r="B297" s="1842" t="s">
        <v>2203</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2204</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2205</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2206</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2207</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2208</v>
      </c>
      <c r="C310" s="1843">
        <v>0.15</v>
      </c>
      <c r="D310" s="1843">
        <v>0.15</v>
      </c>
      <c r="E310" s="1843">
        <v>0.15</v>
      </c>
      <c r="F310" s="1844">
        <v>0.13700000000000001</v>
      </c>
    </row>
    <row r="311" spans="1:6" ht="14.25" thickBot="1">
      <c r="A311" s="1838" t="s">
        <v>1419</v>
      </c>
      <c r="B311" s="1842" t="s">
        <v>2209</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2210</v>
      </c>
      <c r="C313" s="1843">
        <v>0.15</v>
      </c>
      <c r="D313" s="1843">
        <v>0.15</v>
      </c>
      <c r="E313" s="1843">
        <v>0.15</v>
      </c>
      <c r="F313" s="1844">
        <v>0.15</v>
      </c>
    </row>
    <row r="314" spans="1:6" ht="24.75" thickBot="1">
      <c r="A314" s="1838" t="s">
        <v>1419</v>
      </c>
      <c r="B314" s="1842" t="s">
        <v>2211</v>
      </c>
      <c r="C314" s="1852"/>
      <c r="D314" s="1852"/>
      <c r="E314" s="1852"/>
      <c r="F314" s="1844">
        <v>0.05</v>
      </c>
    </row>
    <row r="315" spans="1:6" ht="24.75" thickBot="1">
      <c r="A315" s="1838" t="s">
        <v>1419</v>
      </c>
      <c r="B315" s="1842" t="s">
        <v>2212</v>
      </c>
      <c r="C315" s="1852"/>
      <c r="D315" s="1852"/>
      <c r="E315" s="1852"/>
      <c r="F315" s="1844">
        <v>0.05</v>
      </c>
    </row>
    <row r="316" spans="1:6" ht="24.75" thickBot="1">
      <c r="A316" s="1846" t="s">
        <v>1419</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1107</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1176</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1196</v>
      </c>
      <c r="C328" s="1843">
        <v>0.15</v>
      </c>
      <c r="D328" s="1843">
        <v>0.15</v>
      </c>
      <c r="E328" s="1843">
        <v>0.15</v>
      </c>
      <c r="F328" s="1844">
        <v>0.14099999999999999</v>
      </c>
    </row>
    <row r="329" spans="1:6" ht="14.25" thickBot="1">
      <c r="A329" s="1838" t="s">
        <v>2214</v>
      </c>
      <c r="B329" s="1842" t="s">
        <v>1206</v>
      </c>
      <c r="C329" s="1843">
        <v>0.15</v>
      </c>
      <c r="D329" s="1843">
        <v>0.15</v>
      </c>
      <c r="E329" s="1843">
        <v>0.15</v>
      </c>
      <c r="F329" s="1844">
        <v>0.15</v>
      </c>
    </row>
    <row r="330" spans="1:6" ht="14.25" thickBot="1">
      <c r="A330" s="1838" t="s">
        <v>2214</v>
      </c>
      <c r="B330" s="1842" t="s">
        <v>1216</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1236</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1256</v>
      </c>
      <c r="C334" s="1843">
        <v>0.15</v>
      </c>
      <c r="D334" s="1843">
        <v>0.15</v>
      </c>
      <c r="E334" s="1843">
        <v>0.15</v>
      </c>
      <c r="F334" s="1844">
        <v>0.15</v>
      </c>
    </row>
    <row r="335" spans="1:6" ht="14.25" thickBot="1">
      <c r="A335" s="1838" t="s">
        <v>2214</v>
      </c>
      <c r="B335" s="1842" t="s">
        <v>1266</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1284</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1" t="s">
        <v>2573</v>
      </c>
      <c r="C1" s="3451"/>
      <c r="D1" s="3451"/>
      <c r="E1" s="3451"/>
      <c r="F1" s="3451"/>
      <c r="G1" s="3450" t="s">
        <v>2574</v>
      </c>
      <c r="H1" s="3450"/>
      <c r="I1" s="3450"/>
      <c r="J1" s="3450"/>
      <c r="K1" s="3450"/>
      <c r="L1" s="3450"/>
      <c r="N1" s="3450" t="s">
        <v>2575</v>
      </c>
      <c r="O1" s="3450"/>
      <c r="P1" s="3450"/>
      <c r="Q1" s="3450"/>
      <c r="R1" s="2616"/>
      <c r="S1" s="3450" t="s">
        <v>2576</v>
      </c>
      <c r="T1" s="3450"/>
      <c r="U1" s="3450"/>
      <c r="V1" s="3450"/>
      <c r="X1" s="3449" t="s">
        <v>2636</v>
      </c>
      <c r="Y1" s="3450"/>
      <c r="Z1" s="3450"/>
      <c r="AA1" s="3450"/>
      <c r="AB1" s="3450"/>
      <c r="AD1" s="3449" t="s">
        <v>2640</v>
      </c>
      <c r="AE1" s="3450"/>
      <c r="AF1" s="3450"/>
      <c r="AG1" s="3450"/>
      <c r="AH1" s="3450"/>
    </row>
    <row r="2" spans="1:34" s="2717" customFormat="1" ht="14.25" thickBot="1">
      <c r="B2" s="2725" t="s">
        <v>2577</v>
      </c>
      <c r="C2" s="2725" t="s">
        <v>2638</v>
      </c>
      <c r="D2" s="2718" t="s">
        <v>1644</v>
      </c>
      <c r="E2" s="2718" t="s">
        <v>1947</v>
      </c>
      <c r="F2" s="2725" t="s">
        <v>2639</v>
      </c>
      <c r="G2" s="2721"/>
      <c r="H2" s="2720"/>
      <c r="I2" s="2725" t="s">
        <v>2944</v>
      </c>
      <c r="J2" s="2718" t="s">
        <v>2946</v>
      </c>
      <c r="K2" s="2718" t="s">
        <v>2947</v>
      </c>
      <c r="L2" s="2725" t="s">
        <v>2948</v>
      </c>
      <c r="N2" s="2725" t="s">
        <v>2577</v>
      </c>
      <c r="O2" s="2718" t="s">
        <v>2945</v>
      </c>
      <c r="P2" s="2718" t="s">
        <v>1947</v>
      </c>
      <c r="Q2" s="2725" t="s">
        <v>2639</v>
      </c>
      <c r="R2" s="2719"/>
      <c r="S2" s="2725" t="s">
        <v>2577</v>
      </c>
      <c r="T2" s="2718" t="s">
        <v>2945</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80" customFormat="1" ht="14.25">
      <c r="A3" s="3092" t="s">
        <v>2957</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c r="A5" s="3062" t="s">
        <v>2986</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3">
        <v>1</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2958</v>
      </c>
      <c r="X5" s="3067">
        <f>ROUND(IF(项目基本情况!B8="出让",SUMPRODUCT(PRODUCT(1+N5:N$29)),SUMPRODUCT(PRODUCT(1+N5:N$28))),4)</f>
        <v>1.5516000000000001</v>
      </c>
      <c r="Y5" s="3067">
        <f>ROUND(IF(项目基本情况!B8="出让",SUMPRODUCT(PRODUCT(1+O5:O$29)),SUMPRODUCT(PRODUCT(1+O5:O$28))),4)</f>
        <v>1.3649</v>
      </c>
      <c r="Z5" s="3067">
        <f t="shared" ref="Z5" si="11">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 si="12">AE5</f>
        <v>1.35E-2</v>
      </c>
      <c r="AG5" s="3068">
        <f>ROUND(AVERAGE(K5:K$29)/100,4)</f>
        <v>2.0799999999999999E-2</v>
      </c>
      <c r="AH5" s="3068">
        <f>ROUND(AVERAGE(L5:L$29)/100,4)</f>
        <v>1.3299999999999999E-2</v>
      </c>
    </row>
    <row r="6" spans="1:34" s="2722" customFormat="1">
      <c r="A6" s="2617" t="s">
        <v>2982</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5" thickBot="1">
      <c r="A7" s="2617" t="s">
        <v>2981</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2978</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5" thickBot="1">
      <c r="A9" s="2617" t="s">
        <v>2977</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2974</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53">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5" customHeight="1">
      <c r="A11" s="2617" t="s">
        <v>2967</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53"/>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5" customHeight="1">
      <c r="A12" s="2617" t="s">
        <v>2968</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53"/>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2964</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59"/>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2955</v>
      </c>
      <c r="B14" s="3094">
        <v>439</v>
      </c>
      <c r="C14" s="3094">
        <v>327</v>
      </c>
      <c r="D14" s="3094">
        <f t="shared" si="87"/>
        <v>327</v>
      </c>
      <c r="E14" s="3094">
        <v>627</v>
      </c>
      <c r="F14" s="3095">
        <v>283</v>
      </c>
      <c r="G14" s="3458">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5" customHeight="1">
      <c r="A15" s="2617" t="s">
        <v>2959</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53"/>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5"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453"/>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459"/>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458">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53"/>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53"/>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5"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54"/>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5" thickBot="1">
      <c r="A22" s="2617" t="s">
        <v>967</v>
      </c>
      <c r="B22" s="2622">
        <v>333</v>
      </c>
      <c r="C22" s="2622">
        <v>277</v>
      </c>
      <c r="D22" s="2622">
        <f t="shared" si="109"/>
        <v>277</v>
      </c>
      <c r="E22" s="2622">
        <v>459</v>
      </c>
      <c r="F22" s="2623">
        <v>249</v>
      </c>
      <c r="G22" s="3452">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53"/>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53"/>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54"/>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5" thickBot="1">
      <c r="A26" s="2617" t="s">
        <v>963</v>
      </c>
      <c r="B26" s="2644">
        <v>318</v>
      </c>
      <c r="C26" s="2644">
        <v>268</v>
      </c>
      <c r="D26" s="2644">
        <f t="shared" si="109"/>
        <v>268</v>
      </c>
      <c r="E26" s="2644">
        <v>437</v>
      </c>
      <c r="F26" s="2645">
        <v>237</v>
      </c>
      <c r="G26" s="3452">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53"/>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5"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53"/>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5"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54"/>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7" t="s">
        <v>2580</v>
      </c>
      <c r="B30" s="2622">
        <v>299</v>
      </c>
      <c r="C30" s="2622">
        <v>252</v>
      </c>
      <c r="D30" s="2622">
        <f t="shared" si="109"/>
        <v>252</v>
      </c>
      <c r="E30" s="2622">
        <v>409</v>
      </c>
      <c r="F30" s="2623">
        <v>227</v>
      </c>
      <c r="G30" s="3455">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456"/>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456"/>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457"/>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5" thickBot="1">
      <c r="A34" s="2617" t="s">
        <v>2584</v>
      </c>
      <c r="B34" s="2660">
        <v>278</v>
      </c>
      <c r="C34" s="2660">
        <v>234</v>
      </c>
      <c r="D34" s="2660">
        <f t="shared" si="109"/>
        <v>234</v>
      </c>
      <c r="E34" s="2660">
        <v>379</v>
      </c>
      <c r="F34" s="2661">
        <v>220</v>
      </c>
      <c r="G34" s="3452">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453"/>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2586</v>
      </c>
      <c r="B36" s="2630">
        <f>B35/(1+N35)</f>
        <v>275.24529281292263</v>
      </c>
      <c r="C36" s="2630">
        <f>C35/(1+O35)</f>
        <v>231.74747938962707</v>
      </c>
      <c r="D36" s="2630">
        <f t="shared" si="109"/>
        <v>231.74747938962707</v>
      </c>
      <c r="E36" s="2630">
        <f t="shared" si="120"/>
        <v>375.35938184826603</v>
      </c>
      <c r="F36" s="2630">
        <f t="shared" si="120"/>
        <v>216.78033510692495</v>
      </c>
      <c r="G36" s="3453"/>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5" thickBot="1">
      <c r="A37" s="2617" t="s">
        <v>2587</v>
      </c>
      <c r="B37" s="2630">
        <f>B36/(1+N36)</f>
        <v>275.19025476197027</v>
      </c>
      <c r="C37" s="2662">
        <v>232</v>
      </c>
      <c r="D37" s="2662">
        <f t="shared" si="109"/>
        <v>232</v>
      </c>
      <c r="E37" s="2630">
        <f t="shared" si="120"/>
        <v>375.65990977608692</v>
      </c>
      <c r="F37" s="2630">
        <f t="shared" si="120"/>
        <v>214.12518283971252</v>
      </c>
      <c r="G37" s="3454"/>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5" thickBot="1">
      <c r="A38" s="2617" t="s">
        <v>2588</v>
      </c>
      <c r="B38" s="2622">
        <v>275</v>
      </c>
      <c r="C38" s="2622">
        <v>232</v>
      </c>
      <c r="D38" s="2622">
        <f t="shared" si="109"/>
        <v>232</v>
      </c>
      <c r="E38" s="2622">
        <v>376</v>
      </c>
      <c r="F38" s="2623">
        <v>213</v>
      </c>
      <c r="G38" s="3452">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53">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453">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5"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454">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5" thickBot="1">
      <c r="A42" s="2617" t="s">
        <v>2592</v>
      </c>
      <c r="B42" s="2622">
        <v>269</v>
      </c>
      <c r="C42" s="2622">
        <v>221</v>
      </c>
      <c r="D42" s="2622">
        <f t="shared" si="109"/>
        <v>221</v>
      </c>
      <c r="E42" s="2622">
        <v>373</v>
      </c>
      <c r="F42" s="2623">
        <v>196</v>
      </c>
      <c r="G42" s="3452">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53">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453">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5"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454">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5" thickBot="1">
      <c r="A46" s="2617" t="s">
        <v>2596</v>
      </c>
      <c r="B46" s="2622">
        <v>220</v>
      </c>
      <c r="C46" s="2622">
        <v>187</v>
      </c>
      <c r="D46" s="2622">
        <f t="shared" si="109"/>
        <v>187</v>
      </c>
      <c r="E46" s="2622">
        <v>301</v>
      </c>
      <c r="F46" s="2623">
        <v>168</v>
      </c>
      <c r="G46" s="3452">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53">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453">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454">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5" thickBot="1">
      <c r="A50" s="2617" t="s">
        <v>2600</v>
      </c>
      <c r="B50" s="2660">
        <v>214</v>
      </c>
      <c r="C50" s="2660">
        <v>188</v>
      </c>
      <c r="D50" s="2660">
        <f t="shared" si="109"/>
        <v>188</v>
      </c>
      <c r="E50" s="2660">
        <v>289</v>
      </c>
      <c r="F50" s="2661">
        <v>166</v>
      </c>
      <c r="G50" s="3452">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53">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453">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5"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454">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5" thickBot="1">
      <c r="A54" s="2617" t="s">
        <v>2604</v>
      </c>
      <c r="B54" s="2622">
        <v>188</v>
      </c>
      <c r="C54" s="2622">
        <v>165</v>
      </c>
      <c r="D54" s="2622">
        <f t="shared" si="109"/>
        <v>165</v>
      </c>
      <c r="E54" s="2622">
        <v>254</v>
      </c>
      <c r="F54" s="2623">
        <v>148</v>
      </c>
      <c r="G54" s="3452">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53">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453">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454">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5" thickBot="1">
      <c r="A58" s="2617" t="s">
        <v>2608</v>
      </c>
      <c r="B58" s="2644">
        <v>159</v>
      </c>
      <c r="C58" s="2644">
        <v>141</v>
      </c>
      <c r="D58" s="2644">
        <f t="shared" si="109"/>
        <v>141</v>
      </c>
      <c r="E58" s="2644">
        <v>195</v>
      </c>
      <c r="F58" s="2645">
        <v>122</v>
      </c>
      <c r="G58" s="3452">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53">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453">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454">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5" thickBot="1">
      <c r="A62" s="2617" t="s">
        <v>2612</v>
      </c>
      <c r="B62" s="2644">
        <v>138</v>
      </c>
      <c r="C62" s="2644">
        <v>131</v>
      </c>
      <c r="D62" s="2644">
        <f t="shared" si="109"/>
        <v>131</v>
      </c>
      <c r="E62" s="2644">
        <v>155</v>
      </c>
      <c r="F62" s="2645">
        <v>114</v>
      </c>
      <c r="G62" s="3452">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53">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453">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454">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5" thickBot="1">
      <c r="A66" s="2617" t="s">
        <v>2616</v>
      </c>
      <c r="B66" s="2660">
        <v>121</v>
      </c>
      <c r="C66" s="2660">
        <v>122</v>
      </c>
      <c r="D66" s="2660">
        <f t="shared" si="109"/>
        <v>122</v>
      </c>
      <c r="E66" s="2660">
        <v>124</v>
      </c>
      <c r="F66" s="2661">
        <v>107</v>
      </c>
      <c r="G66" s="3452">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53">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2618</v>
      </c>
      <c r="B68" s="2630">
        <f t="shared" si="143"/>
        <v>116.99099099099099</v>
      </c>
      <c r="C68" s="2630">
        <f t="shared" si="143"/>
        <v>118.84848484848486</v>
      </c>
      <c r="D68" s="2630">
        <f t="shared" si="109"/>
        <v>118.84848484848486</v>
      </c>
      <c r="E68" s="2630">
        <f t="shared" si="144"/>
        <v>117.60960960960961</v>
      </c>
      <c r="F68" s="2630">
        <f t="shared" si="144"/>
        <v>104</v>
      </c>
      <c r="G68" s="3453">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5"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454">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5" thickBot="1">
      <c r="A70" s="2617" t="s">
        <v>2620</v>
      </c>
      <c r="B70" s="2681">
        <v>111</v>
      </c>
      <c r="C70" s="2681">
        <v>114</v>
      </c>
      <c r="D70" s="2681">
        <f t="shared" si="109"/>
        <v>114</v>
      </c>
      <c r="E70" s="2681">
        <v>108</v>
      </c>
      <c r="F70" s="2682">
        <v>104</v>
      </c>
      <c r="G70" s="3452">
        <v>2003</v>
      </c>
      <c r="H70" s="2671">
        <v>4</v>
      </c>
      <c r="I70" s="2683"/>
      <c r="J70" s="2683"/>
      <c r="K70" s="2683"/>
      <c r="L70" s="2683"/>
      <c r="N70" s="2684"/>
      <c r="O70" s="2683"/>
      <c r="P70" s="2683"/>
      <c r="Q70" s="2683"/>
      <c r="S70" s="2684"/>
      <c r="T70" s="2683"/>
      <c r="U70" s="2683"/>
      <c r="V70" s="2683"/>
      <c r="X70" s="2675"/>
      <c r="Y70" s="2675"/>
      <c r="Z70" s="2675"/>
    </row>
    <row r="71" spans="1:26">
      <c r="A71" s="2617" t="s">
        <v>2621</v>
      </c>
      <c r="B71" s="2685">
        <f t="shared" ref="B71:C73" si="145">B72+(B$70-B$74)/4</f>
        <v>109.75</v>
      </c>
      <c r="C71" s="2685">
        <f t="shared" si="145"/>
        <v>112.25</v>
      </c>
      <c r="D71" s="2685">
        <f t="shared" si="109"/>
        <v>112.25</v>
      </c>
      <c r="E71" s="2685">
        <f t="shared" ref="E71:F73" si="146">E72+(E$70-E$74)/4</f>
        <v>107.25</v>
      </c>
      <c r="F71" s="2685">
        <f t="shared" si="146"/>
        <v>103.5</v>
      </c>
      <c r="G71" s="3453">
        <v>2003</v>
      </c>
      <c r="H71" s="2641">
        <v>3</v>
      </c>
      <c r="I71" s="2683"/>
      <c r="J71" s="2683"/>
      <c r="K71" s="2683"/>
      <c r="L71" s="2683"/>
      <c r="X71" s="2675"/>
      <c r="Y71" s="2675"/>
      <c r="Z71" s="2675"/>
    </row>
    <row r="72" spans="1:26">
      <c r="A72" s="2617" t="s">
        <v>2622</v>
      </c>
      <c r="B72" s="2685">
        <f t="shared" si="145"/>
        <v>108.5</v>
      </c>
      <c r="C72" s="2685">
        <f t="shared" si="145"/>
        <v>110.5</v>
      </c>
      <c r="D72" s="2685">
        <f t="shared" si="109"/>
        <v>110.5</v>
      </c>
      <c r="E72" s="2685">
        <f t="shared" si="146"/>
        <v>106.5</v>
      </c>
      <c r="F72" s="2685">
        <f t="shared" si="146"/>
        <v>103</v>
      </c>
      <c r="G72" s="3453">
        <v>2003</v>
      </c>
      <c r="H72" s="2621">
        <v>2</v>
      </c>
      <c r="I72" s="2683"/>
      <c r="J72" s="2683"/>
      <c r="K72" s="2683"/>
      <c r="L72" s="2683"/>
      <c r="X72" s="2675"/>
      <c r="Y72" s="2675"/>
      <c r="Z72" s="2675"/>
    </row>
    <row r="73" spans="1:26" ht="13.5" thickBot="1">
      <c r="A73" s="2617" t="s">
        <v>2623</v>
      </c>
      <c r="B73" s="2685">
        <f t="shared" si="145"/>
        <v>107.25</v>
      </c>
      <c r="C73" s="2685">
        <f t="shared" si="145"/>
        <v>108.75</v>
      </c>
      <c r="D73" s="2685">
        <f t="shared" si="109"/>
        <v>108.75</v>
      </c>
      <c r="E73" s="2685">
        <f t="shared" si="146"/>
        <v>105.75</v>
      </c>
      <c r="F73" s="2685">
        <f t="shared" si="146"/>
        <v>102.5</v>
      </c>
      <c r="G73" s="3454">
        <v>2003</v>
      </c>
      <c r="H73" s="2686">
        <v>1</v>
      </c>
      <c r="I73" s="2683"/>
      <c r="J73" s="2683"/>
      <c r="K73" s="2683"/>
      <c r="L73" s="2683"/>
      <c r="S73" s="2625"/>
      <c r="T73" s="2626"/>
      <c r="U73" s="2626"/>
      <c r="X73" s="2675"/>
      <c r="Y73" s="2675"/>
      <c r="Z73" s="2675"/>
    </row>
    <row r="74" spans="1:26" ht="13.5" thickBot="1">
      <c r="A74" s="2617" t="s">
        <v>2624</v>
      </c>
      <c r="B74" s="2687">
        <v>106</v>
      </c>
      <c r="C74" s="2687">
        <v>107</v>
      </c>
      <c r="D74" s="2687">
        <f t="shared" si="109"/>
        <v>107</v>
      </c>
      <c r="E74" s="2687">
        <v>105</v>
      </c>
      <c r="F74" s="2688">
        <v>102</v>
      </c>
      <c r="G74" s="3452">
        <v>2002</v>
      </c>
      <c r="H74" s="2636">
        <v>4</v>
      </c>
      <c r="I74" s="2683"/>
      <c r="J74" s="2683"/>
      <c r="K74" s="2683"/>
      <c r="L74" s="2683"/>
      <c r="N74" s="2684"/>
      <c r="O74" s="2683"/>
      <c r="P74" s="2683"/>
      <c r="Q74" s="2683"/>
      <c r="S74" s="2684"/>
      <c r="T74" s="2683"/>
      <c r="U74" s="2683"/>
      <c r="V74" s="2683"/>
      <c r="X74" s="2675"/>
      <c r="Y74" s="2675"/>
      <c r="Z74" s="2675"/>
    </row>
    <row r="75" spans="1:26">
      <c r="A75" s="2617" t="s">
        <v>2625</v>
      </c>
      <c r="B75" s="2685">
        <f t="shared" ref="B75:C77" si="147">B76+(B$74-B$78)/4</f>
        <v>105</v>
      </c>
      <c r="C75" s="2685">
        <f t="shared" si="147"/>
        <v>106</v>
      </c>
      <c r="D75" s="2685">
        <f t="shared" si="109"/>
        <v>106</v>
      </c>
      <c r="E75" s="2685">
        <f t="shared" ref="E75:F77" si="148">E76+(E$74-E$78)/4</f>
        <v>104.5</v>
      </c>
      <c r="F75" s="2685">
        <f t="shared" si="148"/>
        <v>101.5</v>
      </c>
      <c r="G75" s="3453">
        <v>2002</v>
      </c>
      <c r="H75" s="2641">
        <v>3</v>
      </c>
      <c r="I75" s="2683"/>
      <c r="J75" s="2683"/>
      <c r="K75" s="2683"/>
      <c r="L75" s="2683"/>
      <c r="X75" s="2675"/>
      <c r="Y75" s="2675"/>
      <c r="Z75" s="2675"/>
    </row>
    <row r="76" spans="1:26">
      <c r="A76" s="2617" t="s">
        <v>2626</v>
      </c>
      <c r="B76" s="2685">
        <f t="shared" si="147"/>
        <v>104</v>
      </c>
      <c r="C76" s="2685">
        <f t="shared" si="147"/>
        <v>105</v>
      </c>
      <c r="D76" s="2685">
        <f t="shared" si="109"/>
        <v>105</v>
      </c>
      <c r="E76" s="2685">
        <f t="shared" si="148"/>
        <v>104</v>
      </c>
      <c r="F76" s="2685">
        <f t="shared" si="148"/>
        <v>101</v>
      </c>
      <c r="G76" s="3453">
        <v>2002</v>
      </c>
      <c r="H76" s="2621">
        <v>2</v>
      </c>
      <c r="I76" s="2683"/>
      <c r="J76" s="2683"/>
      <c r="K76" s="2683"/>
      <c r="L76" s="2683"/>
      <c r="X76" s="2675"/>
      <c r="Y76" s="2675"/>
      <c r="Z76" s="2675"/>
    </row>
    <row r="77" spans="1:26" s="2652" customFormat="1" ht="13.5" thickBot="1">
      <c r="A77" s="2648" t="s">
        <v>2627</v>
      </c>
      <c r="B77" s="2689">
        <f t="shared" si="147"/>
        <v>103</v>
      </c>
      <c r="C77" s="2689">
        <f t="shared" si="147"/>
        <v>104</v>
      </c>
      <c r="D77" s="2689">
        <f t="shared" si="109"/>
        <v>104</v>
      </c>
      <c r="E77" s="2689">
        <f t="shared" si="148"/>
        <v>103.5</v>
      </c>
      <c r="F77" s="2689">
        <f t="shared" si="148"/>
        <v>100.5</v>
      </c>
      <c r="G77" s="3454">
        <v>2002</v>
      </c>
      <c r="H77" s="2690">
        <v>1</v>
      </c>
      <c r="I77" s="2691"/>
      <c r="J77" s="2691"/>
      <c r="K77" s="2691"/>
      <c r="L77" s="2691"/>
      <c r="N77" s="2692"/>
      <c r="S77" s="2692"/>
      <c r="X77" s="2693"/>
      <c r="Y77" s="2693"/>
      <c r="Z77" s="2693"/>
    </row>
    <row r="78" spans="1:26" ht="13.5"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2628</v>
      </c>
      <c r="G80" s="2699"/>
      <c r="N80" s="2699"/>
      <c r="S80" s="2699"/>
    </row>
    <row r="81" spans="1:22" s="2698" customFormat="1">
      <c r="A81" s="2698" t="s">
        <v>2629</v>
      </c>
      <c r="G81" s="2699"/>
      <c r="N81" s="2699"/>
      <c r="S81" s="2699"/>
    </row>
    <row r="82" spans="1:22" s="2698" customFormat="1">
      <c r="A82" s="2698" t="s">
        <v>2630</v>
      </c>
      <c r="G82" s="2699"/>
      <c r="I82" s="2700"/>
      <c r="J82" s="2700"/>
      <c r="K82" s="2700"/>
      <c r="L82" s="2700"/>
      <c r="N82" s="2701"/>
      <c r="O82" s="2700"/>
      <c r="P82" s="2700"/>
      <c r="Q82" s="2700"/>
      <c r="S82" s="2701"/>
      <c r="T82" s="2700"/>
      <c r="U82" s="2700"/>
      <c r="V82" s="2700"/>
    </row>
    <row r="83" spans="1:22" s="2698" customFormat="1">
      <c r="A83" s="2698" t="s">
        <v>2631</v>
      </c>
      <c r="G83" s="2699"/>
      <c r="N83" s="2699"/>
      <c r="S83" s="2699"/>
    </row>
    <row r="90" spans="1:22" ht="13.5" thickBot="1"/>
    <row r="91" spans="1:22">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5"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2937</v>
      </c>
      <c r="B1" s="3054"/>
      <c r="C1" s="3054"/>
      <c r="D1" s="3054"/>
      <c r="E1" s="3054"/>
      <c r="F1" s="3054"/>
    </row>
    <row r="2" spans="1:6" ht="14.25">
      <c r="A2" s="3055" t="s">
        <v>2932</v>
      </c>
      <c r="B2" s="3056" t="e">
        <f ca="1">SUMIF(B7:B14,"&lt;&gt;#ref!",B7:B14)</f>
        <v>#DIV/0!</v>
      </c>
      <c r="C2" s="3055" t="s">
        <v>2933</v>
      </c>
      <c r="D2" s="3054"/>
      <c r="E2" s="3054"/>
      <c r="F2" s="3054"/>
    </row>
    <row r="3" spans="1:6" ht="14.25">
      <c r="A3" s="3055" t="s">
        <v>2965</v>
      </c>
      <c r="B3" s="3056" t="e">
        <f ca="1">ROUND(B2*10000/E3,0)</f>
        <v>#DIV/0!</v>
      </c>
      <c r="C3" s="3055" t="s">
        <v>2076</v>
      </c>
      <c r="D3" s="3055" t="s">
        <v>2934</v>
      </c>
      <c r="E3" s="3056">
        <f ca="1">SUMIF(E7:E14,"&lt;&gt;#ref!",E7:E14)</f>
        <v>0</v>
      </c>
      <c r="F3" s="3054"/>
    </row>
    <row r="4" spans="1:6" ht="14.25">
      <c r="A4" s="3055" t="s">
        <v>2941</v>
      </c>
      <c r="B4" s="3056" t="e">
        <f ca="1">ROUND(B2*10000/E4,0)</f>
        <v>#DIV/0!</v>
      </c>
      <c r="C4" s="3055" t="s">
        <v>2076</v>
      </c>
      <c r="D4" s="3055" t="s">
        <v>2942</v>
      </c>
      <c r="E4" s="3056">
        <f ca="1">SUMIF(F7:F14,"&lt;&gt;#ref!",F7:F14)</f>
        <v>0</v>
      </c>
      <c r="F4" s="3054"/>
    </row>
    <row r="5" spans="1:6" ht="14.25">
      <c r="A5" s="3057"/>
      <c r="B5" s="1864"/>
      <c r="C5" s="1864"/>
      <c r="D5" s="1864"/>
      <c r="E5" s="1864"/>
      <c r="F5" s="3054"/>
    </row>
    <row r="6" spans="1:6" ht="28.5">
      <c r="A6" s="3058" t="s">
        <v>2938</v>
      </c>
      <c r="B6" s="3055" t="s">
        <v>2935</v>
      </c>
      <c r="C6" s="3056"/>
      <c r="D6" s="1864"/>
      <c r="E6" s="3055" t="s">
        <v>2936</v>
      </c>
      <c r="F6" s="3055" t="s">
        <v>2940</v>
      </c>
    </row>
    <row r="7" spans="1:6" ht="14.25">
      <c r="A7" s="260" t="s">
        <v>2939</v>
      </c>
      <c r="B7" s="3059" t="e">
        <f ca="1">SUMIF(INDIRECT("'"&amp;A7&amp;"'"&amp;"!A:A"),"总价",INDIRECT("'"&amp;A7&amp;"'"&amp;"!B:B"))</f>
        <v>#DIV/0!</v>
      </c>
      <c r="C7" s="3055" t="s">
        <v>2933</v>
      </c>
      <c r="D7" s="1864"/>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2933</v>
      </c>
      <c r="D8" s="1864"/>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2933</v>
      </c>
      <c r="D9" s="1864"/>
      <c r="E9" s="3060" t="e">
        <f t="shared" ca="1" si="1"/>
        <v>#REF!</v>
      </c>
      <c r="F9" s="3060" t="e">
        <f t="shared" ca="1" si="2"/>
        <v>#REF!</v>
      </c>
    </row>
    <row r="10" spans="1:6" ht="14.25">
      <c r="A10" s="260"/>
      <c r="B10" s="3059" t="e">
        <f t="shared" ca="1" si="0"/>
        <v>#REF!</v>
      </c>
      <c r="C10" s="3055" t="s">
        <v>2933</v>
      </c>
      <c r="D10" s="1864"/>
      <c r="E10" s="3060" t="e">
        <f t="shared" ca="1" si="1"/>
        <v>#REF!</v>
      </c>
      <c r="F10" s="3060" t="e">
        <f t="shared" ca="1" si="2"/>
        <v>#REF!</v>
      </c>
    </row>
    <row r="11" spans="1:6" ht="14.25">
      <c r="A11" s="260"/>
      <c r="B11" s="3059" t="e">
        <f t="shared" ca="1" si="0"/>
        <v>#REF!</v>
      </c>
      <c r="C11" s="3055" t="s">
        <v>2933</v>
      </c>
      <c r="D11" s="1864"/>
      <c r="E11" s="3060" t="e">
        <f t="shared" ca="1" si="1"/>
        <v>#REF!</v>
      </c>
      <c r="F11" s="3060" t="e">
        <f t="shared" ca="1" si="2"/>
        <v>#REF!</v>
      </c>
    </row>
    <row r="12" spans="1:6" ht="14.25">
      <c r="A12" s="260"/>
      <c r="B12" s="3059" t="e">
        <f t="shared" ca="1" si="0"/>
        <v>#REF!</v>
      </c>
      <c r="C12" s="3055" t="s">
        <v>2933</v>
      </c>
      <c r="D12" s="1864"/>
      <c r="E12" s="3060" t="e">
        <f t="shared" ca="1" si="1"/>
        <v>#REF!</v>
      </c>
      <c r="F12" s="3060" t="e">
        <f t="shared" ca="1" si="2"/>
        <v>#REF!</v>
      </c>
    </row>
    <row r="13" spans="1:6" ht="14.25">
      <c r="A13" s="260"/>
      <c r="B13" s="3059" t="e">
        <f t="shared" ca="1" si="0"/>
        <v>#REF!</v>
      </c>
      <c r="C13" s="3055" t="s">
        <v>2933</v>
      </c>
      <c r="D13" s="1864"/>
      <c r="E13" s="3060" t="e">
        <f t="shared" ca="1" si="1"/>
        <v>#REF!</v>
      </c>
      <c r="F13" s="3060" t="e">
        <f t="shared" ca="1" si="2"/>
        <v>#REF!</v>
      </c>
    </row>
    <row r="14" spans="1:6" ht="14.25">
      <c r="A14" s="3053"/>
      <c r="B14" s="3059" t="e">
        <f t="shared" ca="1" si="0"/>
        <v>#REF!</v>
      </c>
      <c r="C14" s="3055" t="s">
        <v>2933</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9" t="s">
        <v>2372</v>
      </c>
      <c r="F1" s="2350">
        <f ca="1">J54</f>
        <v>-2.5</v>
      </c>
      <c r="G1" s="774">
        <f>MATCH(C1,'数据-取费表'!A6:A16,0)+5</f>
        <v>7</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2456</v>
      </c>
      <c r="C7" s="53">
        <f ca="1">C8+C12+C14</f>
        <v>0</v>
      </c>
      <c r="D7" s="2458" t="s">
        <v>2459</v>
      </c>
      <c r="E7" s="2452"/>
      <c r="F7" s="2453"/>
      <c r="G7" s="1576"/>
      <c r="H7" s="781">
        <v>1</v>
      </c>
      <c r="I7" s="782" t="s">
        <v>2456</v>
      </c>
      <c r="J7" s="53">
        <f ca="1">J8+J12+J14</f>
        <v>0</v>
      </c>
      <c r="K7" s="2458" t="s">
        <v>2459</v>
      </c>
      <c r="L7" s="2452"/>
      <c r="M7" s="2453"/>
    </row>
    <row r="8" spans="1:25" ht="18" customHeight="1">
      <c r="A8" s="1813" t="s">
        <v>1824</v>
      </c>
      <c r="B8" s="3461" t="s">
        <v>2461</v>
      </c>
      <c r="C8" s="1808">
        <f ca="1">ROUND(F8*F10*F9*(1-F11)/10000,0)</f>
        <v>0</v>
      </c>
      <c r="D8" s="1805" t="s">
        <v>2532</v>
      </c>
      <c r="E8" s="61" t="s">
        <v>637</v>
      </c>
      <c r="F8" s="785">
        <f ca="1">INDIRECT("'数据-取费表'!u"&amp;$G$1)</f>
        <v>0</v>
      </c>
      <c r="G8" s="1576"/>
      <c r="H8" s="2466" t="s">
        <v>1824</v>
      </c>
      <c r="I8" s="3461" t="s">
        <v>2461</v>
      </c>
      <c r="J8" s="783">
        <f ca="1">ROUND(M8*M10*M9*(1-M11)/10000,0)</f>
        <v>0</v>
      </c>
      <c r="K8" s="341" t="s">
        <v>2532</v>
      </c>
      <c r="L8" s="784" t="s">
        <v>1738</v>
      </c>
      <c r="M8" s="785">
        <f ca="1">INDIRECT("'数据-取费表'!z"&amp;$G$1)</f>
        <v>0</v>
      </c>
    </row>
    <row r="9" spans="1:25" ht="18" customHeight="1">
      <c r="A9" s="2462"/>
      <c r="B9" s="3462"/>
      <c r="C9" s="1809"/>
      <c r="D9" s="1806"/>
      <c r="E9" s="61" t="s">
        <v>638</v>
      </c>
      <c r="F9" s="785">
        <f ca="1">IF(INDIRECT("'数据-取费表'!ah"&amp;$G$1)="",INDIRECT("'数据-取费表'!k"&amp;$G$1),INDIRECT("'数据-取费表'!ah"&amp;$G$1))</f>
        <v>0</v>
      </c>
      <c r="G9" s="1576"/>
      <c r="H9" s="2451"/>
      <c r="I9" s="3462"/>
      <c r="J9" s="788"/>
      <c r="K9" s="789"/>
      <c r="L9" s="784" t="s">
        <v>1739</v>
      </c>
      <c r="M9" s="785">
        <f ca="1">F9</f>
        <v>0</v>
      </c>
    </row>
    <row r="10" spans="1:25" ht="18" customHeight="1">
      <c r="A10" s="2455"/>
      <c r="B10" s="3463"/>
      <c r="C10" s="1809"/>
      <c r="D10" s="1806"/>
      <c r="E10" s="61" t="s">
        <v>639</v>
      </c>
      <c r="F10" s="785">
        <f ca="1">INDIRECT("'数据-取费表'!ai"&amp;$G$1)</f>
        <v>0</v>
      </c>
      <c r="G10" s="1576"/>
      <c r="H10" s="2451"/>
      <c r="I10" s="3463"/>
      <c r="J10" s="788"/>
      <c r="K10" s="789"/>
      <c r="L10" s="784" t="s">
        <v>1740</v>
      </c>
      <c r="M10" s="785">
        <f ca="1">INDIRECT("'数据-取费表'!ai"&amp;$G$1)</f>
        <v>0</v>
      </c>
    </row>
    <row r="11" spans="1:25" ht="18" customHeight="1">
      <c r="A11" s="786"/>
      <c r="B11" s="3464"/>
      <c r="C11" s="1809"/>
      <c r="D11" s="1806"/>
      <c r="E11" s="61" t="s">
        <v>640</v>
      </c>
      <c r="F11" s="794">
        <f ca="1">INDIRECT("'数据-取费表'!w"&amp;$G$1)</f>
        <v>0</v>
      </c>
      <c r="G11" s="1576"/>
      <c r="H11" s="2467"/>
      <c r="I11" s="3463"/>
      <c r="J11" s="788"/>
      <c r="K11" s="789"/>
      <c r="L11" s="795" t="s">
        <v>1741</v>
      </c>
      <c r="M11" s="796">
        <f ca="1">INDIRECT("'数据-取费表'!ab"&amp;$G$1)</f>
        <v>0</v>
      </c>
    </row>
    <row r="12" spans="1:25" ht="18" customHeight="1">
      <c r="A12" s="1813" t="s">
        <v>1825</v>
      </c>
      <c r="B12" s="2456" t="s">
        <v>2457</v>
      </c>
      <c r="C12" s="799">
        <f ca="1">ROUND(IF(F12="押一",C8/12*F13,IF(F12="押二",C8/12*2*F13,IF(F12="押三",C8/12*3*F13,C13*F13))),0)</f>
        <v>0</v>
      </c>
      <c r="D12" s="2463" t="s">
        <v>2962</v>
      </c>
      <c r="E12" s="2460" t="s">
        <v>2462</v>
      </c>
      <c r="F12" s="2583"/>
      <c r="G12" s="1576"/>
      <c r="H12" s="2523" t="s">
        <v>1825</v>
      </c>
      <c r="I12" s="2528" t="s">
        <v>2457</v>
      </c>
      <c r="J12" s="783">
        <f ca="1">ROUND(IF(M12="押一",J8/12*M13,IF(M12="押二",J8/12*2*M13,IF(M12="押三",J8/12*3*M13,J13*M13))),0)</f>
        <v>0</v>
      </c>
      <c r="K12" s="2463" t="s">
        <v>2962</v>
      </c>
      <c r="L12" s="2460" t="s">
        <v>2462</v>
      </c>
      <c r="M12" s="2583"/>
    </row>
    <row r="13" spans="1:25" ht="18" customHeight="1">
      <c r="A13" s="790"/>
      <c r="B13" s="2457" t="s">
        <v>2571</v>
      </c>
      <c r="C13" s="2461"/>
      <c r="D13" s="789"/>
      <c r="E13" s="2460" t="s">
        <v>2454</v>
      </c>
      <c r="F13" s="796">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2">
        <f ca="1">ROUND(C31*F15,0)</f>
        <v>0</v>
      </c>
      <c r="D15" s="1817" t="s">
        <v>642</v>
      </c>
      <c r="E15" s="795" t="s">
        <v>643</v>
      </c>
      <c r="F15" s="800">
        <f ca="1">INDIRECT("'数据-取费表'!y"&amp;$G$1)</f>
        <v>0</v>
      </c>
      <c r="G15" s="1576"/>
      <c r="H15" s="1812" t="s">
        <v>1826</v>
      </c>
      <c r="I15" s="1810" t="s">
        <v>644</v>
      </c>
      <c r="J15" s="1802">
        <f ca="1">ROUND(J16*J17,0)</f>
        <v>0</v>
      </c>
      <c r="K15" s="1804" t="s">
        <v>642</v>
      </c>
      <c r="L15" s="801"/>
      <c r="M15" s="802"/>
    </row>
    <row r="16" spans="1:25" ht="18" customHeight="1">
      <c r="A16" s="803" t="s">
        <v>1875</v>
      </c>
      <c r="B16" s="784" t="s">
        <v>645</v>
      </c>
      <c r="C16" s="804">
        <f ca="1">INDIRECT("'数据-取费表'!m"&amp;$G$1)+INDIRECT("'数据-取费表'!t"&amp;$G$1)</f>
        <v>0</v>
      </c>
      <c r="D16" s="1962" t="s">
        <v>646</v>
      </c>
      <c r="E16" s="1963"/>
      <c r="F16" s="805"/>
      <c r="G16" s="1576"/>
      <c r="H16" s="803" t="s">
        <v>2067</v>
      </c>
      <c r="I16" s="2214" t="s">
        <v>2822</v>
      </c>
      <c r="J16" s="53">
        <f ca="1">C31</f>
        <v>0</v>
      </c>
      <c r="K16" s="26"/>
      <c r="L16" s="801"/>
      <c r="M16" s="802"/>
    </row>
    <row r="17" spans="1:25" s="2047" customFormat="1" ht="18" customHeight="1">
      <c r="A17" s="803" t="s">
        <v>1849</v>
      </c>
      <c r="B17" s="784" t="s">
        <v>647</v>
      </c>
      <c r="C17" s="53">
        <f ca="1">ROUND(C16*F17,0)</f>
        <v>0</v>
      </c>
      <c r="D17" s="806" t="s">
        <v>648</v>
      </c>
      <c r="E17" s="806" t="s">
        <v>649</v>
      </c>
      <c r="F17" s="807">
        <f>'数据-取费表'!B33</f>
        <v>0.05</v>
      </c>
      <c r="G17" s="1577"/>
      <c r="H17" s="803" t="s">
        <v>2068</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6"/>
      <c r="H18" s="797" t="s">
        <v>1827</v>
      </c>
      <c r="I18" s="798" t="s">
        <v>651</v>
      </c>
      <c r="J18" s="799">
        <f ca="1">ROUND(J19+J24+J25+J26,0)</f>
        <v>0</v>
      </c>
      <c r="K18" s="26" t="s">
        <v>652</v>
      </c>
      <c r="L18" s="1965"/>
      <c r="M18" s="56"/>
    </row>
    <row r="19" spans="1:25" s="2047" customFormat="1" ht="18" customHeight="1">
      <c r="A19" s="803" t="s">
        <v>1851</v>
      </c>
      <c r="B19" s="784" t="s">
        <v>653</v>
      </c>
      <c r="C19" s="53">
        <f ca="1">ROUND(F19*(INDIRECT("'数据-取费表'!k"&amp;$G$1)+INDIRECT("'数据-取费表'!S"&amp;$G$1))/10000,0)</f>
        <v>0</v>
      </c>
      <c r="D19" s="784" t="s">
        <v>654</v>
      </c>
      <c r="E19" s="784" t="s">
        <v>655</v>
      </c>
      <c r="F19" s="56">
        <f>'数据-取费表'!B35</f>
        <v>200</v>
      </c>
      <c r="G19" s="1577"/>
      <c r="H19" s="803" t="s">
        <v>2067</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1852</v>
      </c>
      <c r="B20" s="784" t="s">
        <v>659</v>
      </c>
      <c r="C20" s="53">
        <f ca="1">ROUND(C16*F20,0)</f>
        <v>0</v>
      </c>
      <c r="D20" s="784" t="s">
        <v>648</v>
      </c>
      <c r="E20" s="784" t="s">
        <v>649</v>
      </c>
      <c r="F20" s="809">
        <f>'数据-取费表'!B36</f>
        <v>1.4999999999999999E-2</v>
      </c>
      <c r="G20" s="1577"/>
      <c r="H20" s="803" t="s">
        <v>1831</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1876</v>
      </c>
      <c r="B21" s="784" t="s">
        <v>662</v>
      </c>
      <c r="C21" s="53">
        <f ca="1">SUM(C16:C20)</f>
        <v>0</v>
      </c>
      <c r="D21" s="261" t="s">
        <v>663</v>
      </c>
      <c r="E21" s="1965"/>
      <c r="F21" s="56"/>
      <c r="G21" s="1576"/>
      <c r="H21" s="1813"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1877</v>
      </c>
      <c r="B22" s="784" t="s">
        <v>666</v>
      </c>
      <c r="C22" s="53">
        <f ca="1">ROUND(C21*F22,0)</f>
        <v>0</v>
      </c>
      <c r="D22" s="812" t="s">
        <v>667</v>
      </c>
      <c r="E22" s="784" t="s">
        <v>649</v>
      </c>
      <c r="F22" s="809">
        <f>'数据-取费表'!B37</f>
        <v>0.02</v>
      </c>
      <c r="G22" s="1577"/>
      <c r="H22" s="1815" t="s">
        <v>1850</v>
      </c>
      <c r="I22" s="1805" t="s">
        <v>668</v>
      </c>
      <c r="J22" s="54">
        <f ca="1">ROUND(M22*M23/10000,0)</f>
        <v>0</v>
      </c>
      <c r="K22" s="814" t="s">
        <v>669</v>
      </c>
      <c r="L22" s="784" t="s">
        <v>670</v>
      </c>
      <c r="M22" s="640">
        <f>'数据-取费表'!B52</f>
        <v>9</v>
      </c>
      <c r="N22" s="2046"/>
      <c r="O22" s="2046"/>
      <c r="P22" s="2046"/>
      <c r="Q22" s="2046"/>
      <c r="R22" s="2046"/>
      <c r="S22" s="2046"/>
      <c r="T22" s="2046"/>
      <c r="U22" s="2046"/>
      <c r="V22" s="2046"/>
      <c r="W22" s="2046"/>
      <c r="X22" s="2046"/>
      <c r="Y22" s="2046"/>
    </row>
    <row r="23" spans="1:25" s="2047" customFormat="1" ht="18" customHeight="1">
      <c r="A23" s="803" t="s">
        <v>1878</v>
      </c>
      <c r="B23" s="784" t="s">
        <v>671</v>
      </c>
      <c r="C23" s="53" t="s">
        <v>1</v>
      </c>
      <c r="D23" s="812" t="s">
        <v>672</v>
      </c>
      <c r="E23" s="784" t="s">
        <v>673</v>
      </c>
      <c r="F23" s="809">
        <f>'数据-取费表'!B38</f>
        <v>2.5000000000000001E-2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5"/>
      <c r="F24" s="56"/>
      <c r="G24" s="1576"/>
      <c r="H24" s="1814" t="s">
        <v>2068</v>
      </c>
      <c r="I24" s="784" t="s">
        <v>676</v>
      </c>
      <c r="J24" s="53">
        <f ca="1">ROUND(J16*M24,0)</f>
        <v>0</v>
      </c>
      <c r="K24" s="1960" t="s">
        <v>677</v>
      </c>
      <c r="L24" s="784" t="s">
        <v>649</v>
      </c>
      <c r="M24" s="817">
        <f ca="1">INDIRECT("'数据-取费表'!Ak"&amp;$G$1)</f>
        <v>0</v>
      </c>
    </row>
    <row r="25" spans="1:25" s="2047" customFormat="1" ht="18" customHeight="1">
      <c r="A25" s="803" t="s">
        <v>1875</v>
      </c>
      <c r="B25" s="784" t="s">
        <v>2435</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2.5</v>
      </c>
      <c r="G25" s="1577"/>
      <c r="H25" s="803" t="s">
        <v>1878</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1849</v>
      </c>
      <c r="B26" s="784" t="s">
        <v>681</v>
      </c>
      <c r="C26" s="53">
        <f ca="1">ROUND(IF('数据-取费表'!B22&lt;=1,F23*F26*F25/2,F23*(POWER((1+F26),F25/2)-1)),4)</f>
        <v>1.5E-3</v>
      </c>
      <c r="D26" s="2533" t="str">
        <f>IF(F25&lt;=1,"销售费用×利率×(建设周期÷2)","销售费用×((1+利率)^(建设周期÷2)-1)")</f>
        <v>销售费用×((1+利率)^(建设周期÷2)-1)</v>
      </c>
      <c r="E26" s="784" t="s">
        <v>682</v>
      </c>
      <c r="F26" s="819">
        <f ca="1">'数据-取费表'!B40</f>
        <v>4.7500000000000001E-2</v>
      </c>
      <c r="G26" s="1577"/>
      <c r="H26" s="803" t="s">
        <v>1879</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1881</v>
      </c>
      <c r="B27" s="784" t="s">
        <v>684</v>
      </c>
      <c r="C27" s="53"/>
      <c r="D27" s="261" t="s">
        <v>685</v>
      </c>
      <c r="E27" s="1965"/>
      <c r="F27" s="56"/>
      <c r="G27" s="1576"/>
      <c r="H27" s="797" t="s">
        <v>1828</v>
      </c>
      <c r="I27" s="2960" t="s">
        <v>2819</v>
      </c>
      <c r="J27" s="799">
        <f ca="1">J7-J18</f>
        <v>0</v>
      </c>
      <c r="K27" s="1962" t="s">
        <v>700</v>
      </c>
      <c r="L27" s="1964"/>
      <c r="M27" s="820"/>
    </row>
    <row r="28" spans="1:25" ht="18" customHeight="1">
      <c r="A28" s="803" t="s">
        <v>1875</v>
      </c>
      <c r="B28" s="784" t="s">
        <v>2436</v>
      </c>
      <c r="C28" s="53">
        <f ca="1">ROUND((C21+C22)*F28,0)</f>
        <v>0</v>
      </c>
      <c r="D28" s="812" t="s">
        <v>701</v>
      </c>
      <c r="E28" s="795" t="s">
        <v>702</v>
      </c>
      <c r="F28" s="794">
        <f ca="1">INDIRECT("'数据-取费表'!q"&amp;$G$1)</f>
        <v>0</v>
      </c>
      <c r="G28" s="1576"/>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1882</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3" t="s">
        <v>1872</v>
      </c>
      <c r="I31" s="2961" t="s">
        <v>2821</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1876</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1875</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5"/>
      <c r="H35" s="2060"/>
      <c r="I35" s="2060"/>
      <c r="J35" s="2060"/>
      <c r="K35" s="2061"/>
      <c r="L35" s="2060"/>
      <c r="M35" s="2060"/>
    </row>
    <row r="36" spans="1:18" ht="18" customHeight="1">
      <c r="A36" s="813" t="s">
        <v>1880</v>
      </c>
      <c r="B36" s="341" t="s">
        <v>668</v>
      </c>
      <c r="C36" s="54">
        <f ca="1">ROUND(F36*F37/10000,1)</f>
        <v>0</v>
      </c>
      <c r="D36" s="814" t="s">
        <v>669</v>
      </c>
      <c r="E36" s="784" t="s">
        <v>670</v>
      </c>
      <c r="F36" s="640">
        <f>'数据-取费表'!B52</f>
        <v>9</v>
      </c>
      <c r="G36" s="2045"/>
      <c r="H36" s="2048"/>
      <c r="I36" s="3460"/>
      <c r="J36" s="2062"/>
      <c r="K36" s="2063"/>
      <c r="L36" s="2062"/>
      <c r="M36" s="2062"/>
    </row>
    <row r="37" spans="1:18" ht="18" customHeight="1">
      <c r="A37" s="815"/>
      <c r="B37" s="793"/>
      <c r="C37" s="69"/>
      <c r="D37" s="816"/>
      <c r="E37" s="784" t="s">
        <v>674</v>
      </c>
      <c r="F37" s="785">
        <f ca="1">INDIRECT("'数据-取费表'!r"&amp;$G$1)</f>
        <v>0</v>
      </c>
      <c r="G37" s="2045"/>
      <c r="H37" s="2048"/>
      <c r="I37" s="3460"/>
      <c r="J37" s="2060"/>
      <c r="K37" s="2061"/>
      <c r="L37" s="2060"/>
      <c r="M37" s="2060"/>
    </row>
    <row r="38" spans="1:18" ht="18" customHeight="1">
      <c r="A38" s="803" t="s">
        <v>1877</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1878</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1876</v>
      </c>
      <c r="B42" s="835" t="s">
        <v>693</v>
      </c>
      <c r="C42" s="829">
        <f ca="1">C7-C32</f>
        <v>0</v>
      </c>
      <c r="D42" s="1962" t="s">
        <v>694</v>
      </c>
      <c r="E42" s="1964"/>
      <c r="F42" s="820"/>
      <c r="G42" s="2045"/>
      <c r="H42" s="2045"/>
      <c r="I42" s="2045"/>
      <c r="J42" s="2045"/>
      <c r="K42" s="2066"/>
      <c r="L42" s="2045"/>
      <c r="M42" s="2045"/>
    </row>
    <row r="43" spans="1:18" ht="18" customHeight="1">
      <c r="A43" s="803" t="s">
        <v>1877</v>
      </c>
      <c r="B43" s="835" t="s">
        <v>711</v>
      </c>
      <c r="C43" s="836">
        <f ca="1">ROUND(C15*F43,0)</f>
        <v>0</v>
      </c>
      <c r="D43" s="1351" t="s">
        <v>712</v>
      </c>
      <c r="E43" s="3071" t="s">
        <v>2950</v>
      </c>
      <c r="F43" s="3072">
        <f ca="1">INDIRECT("'数据-取费表'!j"&amp;$G$1)</f>
        <v>0</v>
      </c>
      <c r="G43" s="2045"/>
      <c r="H43" s="2045"/>
      <c r="I43" s="2045"/>
      <c r="J43" s="2045"/>
      <c r="K43" s="2066"/>
      <c r="L43" s="2045"/>
      <c r="M43" s="2045"/>
    </row>
    <row r="44" spans="1:18" ht="18" customHeight="1">
      <c r="A44" s="803" t="s">
        <v>1878</v>
      </c>
      <c r="B44" s="835" t="s">
        <v>713</v>
      </c>
      <c r="C44" s="1352">
        <f ca="1">C42-C43</f>
        <v>0</v>
      </c>
      <c r="D44" s="463" t="s">
        <v>714</v>
      </c>
      <c r="E44" s="464"/>
      <c r="F44" s="465"/>
      <c r="G44" s="2045"/>
      <c r="H44" s="2045"/>
      <c r="I44" s="2045"/>
      <c r="J44" s="2045"/>
      <c r="K44" s="2066"/>
      <c r="L44" s="2045"/>
      <c r="M44" s="2045"/>
    </row>
    <row r="45" spans="1:18" ht="18" customHeight="1">
      <c r="A45" s="803" t="s">
        <v>1879</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73" t="s">
        <v>2953</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5" t="str">
        <f ca="1">IF(M48="住宅",0,IF(L49&gt;J52,L61,J61))</f>
        <v>0</v>
      </c>
      <c r="O47" s="2356" t="s">
        <v>2408</v>
      </c>
      <c r="P47" s="1576"/>
      <c r="Q47" s="1587"/>
      <c r="R47" s="1576"/>
    </row>
    <row r="48" spans="1:18" s="2042" customFormat="1" ht="18" customHeight="1" thickBot="1">
      <c r="A48" s="2067"/>
      <c r="C48" s="2070"/>
      <c r="D48" s="2071"/>
      <c r="E48" s="2071"/>
      <c r="F48" s="2072"/>
      <c r="G48" s="2073"/>
      <c r="I48" s="3096" t="s">
        <v>2342</v>
      </c>
      <c r="J48" s="2343"/>
      <c r="K48" s="3102" t="s">
        <v>2347</v>
      </c>
      <c r="L48" s="3106">
        <f ca="1">INDIRECT("'数据-取费表'!d"&amp;$G$1)</f>
        <v>0</v>
      </c>
      <c r="M48" s="3070"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5" t="s">
        <v>2343</v>
      </c>
      <c r="J49" s="2344"/>
      <c r="K49" s="3103"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5" t="s">
        <v>2344</v>
      </c>
      <c r="J50" s="2345"/>
      <c r="K50" s="3104"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5" t="s">
        <v>2345</v>
      </c>
      <c r="J51" s="3100">
        <f>SUMPRODUCT((I64:I66=J48)*(J63:L63=J49)*(J64:L66))</f>
        <v>0</v>
      </c>
      <c r="K51" s="3104" t="s">
        <v>2351</v>
      </c>
      <c r="L51" s="2346"/>
      <c r="O51" s="2363" t="s">
        <v>2381</v>
      </c>
      <c r="P51" s="2361" t="s">
        <v>2405</v>
      </c>
      <c r="Q51" s="2362">
        <f ca="1">C31</f>
        <v>0</v>
      </c>
      <c r="R51" s="2361" t="s">
        <v>2378</v>
      </c>
    </row>
    <row r="52" spans="1:18" s="2042" customFormat="1" ht="18" customHeight="1" thickBot="1">
      <c r="A52" s="2079"/>
      <c r="F52" s="2068"/>
      <c r="I52" s="3097" t="s">
        <v>2346</v>
      </c>
      <c r="J52" s="3101">
        <f>IF(J50="",J51,J50+J51-YEAR('数据-取费表'!B3))</f>
        <v>0</v>
      </c>
      <c r="K52" s="3075" t="s">
        <v>2352</v>
      </c>
      <c r="L52" s="3107">
        <f ca="1">ROUND(-PV(INDIRECT("'数据-取费表'!h"&amp;$G$1),L49,(C40-C14*J36),0),0)</f>
        <v>0</v>
      </c>
      <c r="O52" s="2363" t="s">
        <v>2382</v>
      </c>
      <c r="P52" s="2361" t="s">
        <v>2383</v>
      </c>
      <c r="Q52" s="2364" t="e">
        <f ca="1">J59</f>
        <v>#VALUE!</v>
      </c>
      <c r="R52" s="2365"/>
    </row>
    <row r="53" spans="1:18" s="2042" customFormat="1" ht="18" customHeight="1" thickBot="1">
      <c r="A53" s="2079"/>
      <c r="F53" s="2068"/>
      <c r="I53" s="3098" t="s">
        <v>2419</v>
      </c>
      <c r="J53" s="2347"/>
      <c r="K53" s="3098" t="s">
        <v>2418</v>
      </c>
      <c r="L53" s="2347"/>
      <c r="O53" s="2363" t="s">
        <v>2384</v>
      </c>
      <c r="P53" s="2361" t="s">
        <v>2385</v>
      </c>
      <c r="Q53" s="2364">
        <f>J53</f>
        <v>0</v>
      </c>
      <c r="R53" s="2365"/>
    </row>
    <row r="54" spans="1:18" s="2042" customFormat="1" ht="29.25" thickBot="1">
      <c r="A54" s="2079"/>
      <c r="I54" s="3099" t="s">
        <v>2966</v>
      </c>
      <c r="J54" s="3178">
        <f ca="1">IF(M48="住宅",MAX(J52,L49-'数据-取费表'!B20),MIN(J52,L49-'数据-取费表'!B20))</f>
        <v>-2.5</v>
      </c>
      <c r="K54" s="3465"/>
      <c r="L54" s="3466"/>
      <c r="O54" s="2363" t="s">
        <v>2386</v>
      </c>
      <c r="P54" s="2361" t="s">
        <v>2387</v>
      </c>
      <c r="Q54" s="2362">
        <f ca="1">J54</f>
        <v>-2.5</v>
      </c>
      <c r="R54" s="2361" t="s">
        <v>2388</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2389</v>
      </c>
      <c r="P55" s="2361" t="s">
        <v>2406</v>
      </c>
      <c r="Q55" s="2362">
        <f ca="1">Q49+Q50</f>
        <v>0</v>
      </c>
      <c r="R55" s="2365" t="s">
        <v>2390</v>
      </c>
    </row>
    <row r="56" spans="1:18" s="2042" customFormat="1" ht="16.5" thickBot="1">
      <c r="A56" s="2079"/>
      <c r="B56" s="2080"/>
      <c r="C56" s="2080"/>
      <c r="I56" s="3110" t="s">
        <v>2353</v>
      </c>
      <c r="J56" s="3050" t="e">
        <f ca="1">ROUND(IF(J48="钢混",J58/J51,1-(1-2%)*(J51-J58)/J51),3)</f>
        <v>#VALUE!</v>
      </c>
      <c r="K56" s="3111" t="s">
        <v>2354</v>
      </c>
      <c r="L56" s="2348"/>
      <c r="O56" s="2366" t="s">
        <v>2409</v>
      </c>
      <c r="P56" s="1576"/>
      <c r="Q56" s="1587"/>
      <c r="R56" s="1576"/>
    </row>
    <row r="57" spans="1:18" s="2042" customFormat="1" ht="43.5" thickBot="1">
      <c r="A57" s="2079"/>
      <c r="B57" s="2080"/>
      <c r="C57" s="2080"/>
      <c r="I57" s="3112" t="s">
        <v>2355</v>
      </c>
      <c r="J57" s="3122" t="s">
        <v>1678</v>
      </c>
      <c r="K57" s="3075" t="s">
        <v>2360</v>
      </c>
      <c r="L57" s="1891">
        <f ca="1">IF(L49&lt;J52,"——",L49-J52)</f>
        <v>0</v>
      </c>
      <c r="O57" s="2357" t="s">
        <v>2373</v>
      </c>
      <c r="P57" s="2358" t="s">
        <v>2374</v>
      </c>
      <c r="Q57" s="2359" t="s">
        <v>2375</v>
      </c>
      <c r="R57" s="2358" t="s">
        <v>2376</v>
      </c>
    </row>
    <row r="58" spans="1:18" s="2042" customFormat="1" ht="29.25" thickBot="1">
      <c r="A58" s="2079"/>
      <c r="B58" s="2080"/>
      <c r="C58" s="2080"/>
      <c r="I58" s="3113" t="s">
        <v>2356</v>
      </c>
      <c r="J58" s="3114" t="str">
        <f ca="1">IF(OR(M48="住宅",J52&lt;L49,J57="是"),"——",J52-L49)</f>
        <v>——</v>
      </c>
      <c r="K58" s="3075"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3" t="s">
        <v>2357</v>
      </c>
      <c r="J59" s="3051" t="e">
        <f ca="1">IF(J56&lt;0.4,0.4,J56)</f>
        <v>#VALUE!</v>
      </c>
      <c r="K59" s="3075"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3" t="s">
        <v>2358</v>
      </c>
      <c r="J60" s="3114" t="str">
        <f ca="1">IF(OR(M48="住宅",J52&lt;L49,J57="是"),"——",ROUND(C30*J59,0))</f>
        <v>——</v>
      </c>
      <c r="K60" s="3075"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5" t="s">
        <v>2359</v>
      </c>
      <c r="J61" s="3116" t="str">
        <f ca="1">IF(OR(M48="住宅",J52&lt;L49,J57="是"),"0",ROUND(J60/(1+J53)^J54,0))</f>
        <v>0</v>
      </c>
      <c r="K61" s="3117" t="s">
        <v>2364</v>
      </c>
      <c r="L61" s="3116"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8" t="s">
        <v>2365</v>
      </c>
      <c r="J63" s="3119" t="s">
        <v>2366</v>
      </c>
      <c r="K63" s="3119" t="s">
        <v>2367</v>
      </c>
      <c r="L63" s="3119" t="s">
        <v>2348</v>
      </c>
      <c r="M63" s="3120" t="s">
        <v>2931</v>
      </c>
      <c r="O63" s="2363" t="s">
        <v>2386</v>
      </c>
      <c r="P63" s="2361" t="s">
        <v>2394</v>
      </c>
      <c r="Q63" s="2362">
        <f ca="1">L60</f>
        <v>0</v>
      </c>
      <c r="R63" s="2365" t="s">
        <v>2395</v>
      </c>
    </row>
    <row r="64" spans="1:18" s="2042" customFormat="1" ht="15.75" thickBot="1">
      <c r="A64" s="2079"/>
      <c r="B64" s="2080"/>
      <c r="C64" s="2080"/>
      <c r="I64" s="3118" t="s">
        <v>2368</v>
      </c>
      <c r="J64" s="3119">
        <v>70</v>
      </c>
      <c r="K64" s="3119">
        <v>50</v>
      </c>
      <c r="L64" s="3119">
        <v>80</v>
      </c>
      <c r="M64" s="3121">
        <v>0.02</v>
      </c>
      <c r="O64" s="2360" t="s">
        <v>2389</v>
      </c>
      <c r="P64" s="2361" t="s">
        <v>2406</v>
      </c>
      <c r="Q64" s="2362" t="e">
        <f ca="1">Q58+Q59</f>
        <v>#DIV/0!</v>
      </c>
      <c r="R64" s="2365" t="s">
        <v>2390</v>
      </c>
    </row>
    <row r="65" spans="1:18" s="2042" customFormat="1" ht="16.5" thickBot="1">
      <c r="A65" s="2079"/>
      <c r="B65" s="2080"/>
      <c r="C65" s="2080"/>
      <c r="I65" s="3118" t="s">
        <v>2369</v>
      </c>
      <c r="J65" s="3119">
        <v>50</v>
      </c>
      <c r="K65" s="3119">
        <v>35</v>
      </c>
      <c r="L65" s="3119">
        <v>60</v>
      </c>
      <c r="M65" s="846">
        <v>0</v>
      </c>
      <c r="O65" s="2366" t="s">
        <v>2413</v>
      </c>
      <c r="P65" s="1576"/>
      <c r="Q65" s="1587"/>
      <c r="R65" s="1576"/>
    </row>
    <row r="66" spans="1:18" s="2042" customFormat="1" ht="15.75" thickBot="1">
      <c r="A66" s="2079"/>
      <c r="B66" s="2080"/>
      <c r="C66" s="2080"/>
      <c r="I66" s="3118" t="s">
        <v>2370</v>
      </c>
      <c r="J66" s="3119">
        <v>40</v>
      </c>
      <c r="K66" s="3119">
        <v>30</v>
      </c>
      <c r="L66" s="3119">
        <v>50</v>
      </c>
      <c r="M66" s="3121">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受贵公司委托，我公司对山东省青岛市胶州市出让国有建设用地使用权抵押价格进行了预评估。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111957.3平方米。</v>
      </c>
    </row>
    <row r="7" spans="1:4" ht="56.25">
      <c r="A7" s="1778" t="s">
        <v>2744</v>
      </c>
    </row>
    <row r="8" spans="1:4" ht="18.75">
      <c r="A8" s="1777" t="s">
        <v>1906</v>
      </c>
    </row>
    <row r="9" spans="1:4" ht="75">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2020年5月21日（评估专业人员勘察现场之日）</v>
      </c>
    </row>
    <row r="12" spans="1:4" ht="18.75">
      <c r="A12" s="1780" t="s">
        <v>2023</v>
      </c>
    </row>
    <row r="13" spans="1:4" ht="18.75">
      <c r="A13" s="1774" t="s">
        <v>2930</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根据《国有土地使用证》[]，估价对象（分摊）出让国有建设用地使用权面积为53313平方米。根据《建设工程规划许可证》[]、《出让合同》[]，估价对象规划建筑面积为111957.3平方米。</v>
      </c>
    </row>
    <row r="21" spans="1:1" ht="18.75">
      <c r="A21" s="1774" t="s">
        <v>2072</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75">
      <c r="A25" s="1774" t="str">
        <f>定义!C53</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85" zoomScaleNormal="85" workbookViewId="0">
      <selection activeCell="J19" sqref="J19"/>
    </sheetView>
  </sheetViews>
  <sheetFormatPr defaultRowHeight="13.5"/>
  <cols>
    <col min="1" max="1" width="9" customWidth="1"/>
    <col min="13" max="13" width="27.75" customWidth="1"/>
  </cols>
  <sheetData>
    <row r="1" spans="1:14">
      <c r="A1" s="3186" t="s">
        <v>3017</v>
      </c>
      <c r="B1" s="3186" t="s">
        <v>3018</v>
      </c>
      <c r="C1" s="3186" t="s">
        <v>3019</v>
      </c>
      <c r="D1" s="3186" t="s">
        <v>3020</v>
      </c>
      <c r="E1" s="3186" t="s">
        <v>3021</v>
      </c>
      <c r="F1" s="3186" t="s">
        <v>2030</v>
      </c>
      <c r="G1" s="3186" t="s">
        <v>3022</v>
      </c>
      <c r="H1" s="3186" t="s">
        <v>3023</v>
      </c>
      <c r="I1" s="3186" t="s">
        <v>3024</v>
      </c>
      <c r="J1" s="3186" t="s">
        <v>3025</v>
      </c>
      <c r="K1" s="3186" t="s">
        <v>3026</v>
      </c>
      <c r="L1" s="3186" t="s">
        <v>3027</v>
      </c>
      <c r="M1" s="3186" t="s">
        <v>3028</v>
      </c>
      <c r="N1" s="3186" t="s">
        <v>3029</v>
      </c>
    </row>
    <row r="2" spans="1:14">
      <c r="A2" s="3186" t="s">
        <v>3030</v>
      </c>
      <c r="B2" s="3186" t="s">
        <v>3031</v>
      </c>
      <c r="C2" s="3186" t="s">
        <v>3032</v>
      </c>
      <c r="D2" s="3186">
        <v>52383</v>
      </c>
      <c r="E2" s="3186">
        <v>209532</v>
      </c>
      <c r="F2" s="3186" t="s">
        <v>3033</v>
      </c>
      <c r="G2" s="3186" t="s">
        <v>3034</v>
      </c>
      <c r="H2" s="3186" t="s">
        <v>3035</v>
      </c>
      <c r="I2" s="3186">
        <v>3939.19</v>
      </c>
      <c r="J2" s="3186">
        <v>4148.72</v>
      </c>
      <c r="K2" s="3186">
        <v>198</v>
      </c>
      <c r="L2" s="3186">
        <v>5.32</v>
      </c>
      <c r="M2" s="3186" t="s">
        <v>3036</v>
      </c>
      <c r="N2" s="3186" t="s">
        <v>3037</v>
      </c>
    </row>
    <row r="3" spans="1:14" s="3188" customFormat="1">
      <c r="A3" s="3198" t="s">
        <v>3206</v>
      </c>
      <c r="B3" s="3187" t="s">
        <v>3031</v>
      </c>
      <c r="C3" s="3187" t="s">
        <v>3032</v>
      </c>
      <c r="D3" s="3187">
        <v>60951</v>
      </c>
      <c r="E3" s="3187">
        <v>243804</v>
      </c>
      <c r="F3" s="3187" t="s">
        <v>3038</v>
      </c>
      <c r="G3" s="3187" t="s">
        <v>3034</v>
      </c>
      <c r="H3" s="3187" t="s">
        <v>3039</v>
      </c>
      <c r="I3" s="3187">
        <v>30621.77</v>
      </c>
      <c r="J3" s="3187">
        <v>30621.77</v>
      </c>
      <c r="K3" s="3187">
        <v>1256</v>
      </c>
      <c r="L3" s="3187">
        <v>0</v>
      </c>
      <c r="M3" s="3187" t="s">
        <v>3040</v>
      </c>
      <c r="N3" s="3187" t="s">
        <v>3037</v>
      </c>
    </row>
    <row r="4" spans="1:14" s="3188" customFormat="1">
      <c r="A4" s="3198" t="s">
        <v>3207</v>
      </c>
      <c r="B4" s="3187" t="s">
        <v>3031</v>
      </c>
      <c r="C4" s="3187" t="s">
        <v>3032</v>
      </c>
      <c r="D4" s="3187">
        <v>11625</v>
      </c>
      <c r="E4" s="3187">
        <v>46500</v>
      </c>
      <c r="F4" s="3187" t="s">
        <v>3033</v>
      </c>
      <c r="G4" s="3187" t="s">
        <v>3034</v>
      </c>
      <c r="H4" s="3187" t="s">
        <v>3042</v>
      </c>
      <c r="I4" s="3187">
        <v>5775.3</v>
      </c>
      <c r="J4" s="3187">
        <v>5775.3</v>
      </c>
      <c r="K4" s="3187">
        <v>1242</v>
      </c>
      <c r="L4" s="3187">
        <v>0</v>
      </c>
      <c r="M4" s="3187" t="s">
        <v>3043</v>
      </c>
      <c r="N4" s="3187" t="s">
        <v>3044</v>
      </c>
    </row>
    <row r="5" spans="1:14">
      <c r="A5" s="3186" t="s">
        <v>3045</v>
      </c>
      <c r="B5" s="3186" t="s">
        <v>3031</v>
      </c>
      <c r="C5" s="3186" t="s">
        <v>3032</v>
      </c>
      <c r="D5" s="3186">
        <v>191861</v>
      </c>
      <c r="E5" s="3186">
        <v>306977</v>
      </c>
      <c r="F5" s="3186" t="s">
        <v>3046</v>
      </c>
      <c r="G5" s="3186" t="s">
        <v>3034</v>
      </c>
      <c r="H5" s="3186" t="s">
        <v>3042</v>
      </c>
      <c r="I5" s="3186">
        <v>40306.080000000002</v>
      </c>
      <c r="J5" s="3186">
        <v>40306.080000000002</v>
      </c>
      <c r="K5" s="3186">
        <v>1313</v>
      </c>
      <c r="L5" s="3186">
        <v>0</v>
      </c>
      <c r="M5" s="3186" t="s">
        <v>3047</v>
      </c>
      <c r="N5" s="3186" t="s">
        <v>3044</v>
      </c>
    </row>
    <row r="6" spans="1:14">
      <c r="A6" s="3186" t="s">
        <v>3041</v>
      </c>
      <c r="B6" s="3186" t="s">
        <v>3031</v>
      </c>
      <c r="C6" s="3186" t="s">
        <v>3032</v>
      </c>
      <c r="D6" s="3186">
        <v>6297</v>
      </c>
      <c r="E6" s="3186">
        <v>22039</v>
      </c>
      <c r="F6" s="3186" t="s">
        <v>3048</v>
      </c>
      <c r="G6" s="3186" t="s">
        <v>3034</v>
      </c>
      <c r="H6" s="3186" t="s">
        <v>3042</v>
      </c>
      <c r="I6" s="3186">
        <v>2882.69</v>
      </c>
      <c r="J6" s="3186">
        <v>2882.69</v>
      </c>
      <c r="K6" s="3186">
        <v>1308</v>
      </c>
      <c r="L6" s="3186">
        <v>0</v>
      </c>
      <c r="M6" s="3186" t="s">
        <v>3043</v>
      </c>
      <c r="N6" s="3186" t="s">
        <v>3044</v>
      </c>
    </row>
    <row r="7" spans="1:14">
      <c r="A7" s="3186" t="s">
        <v>3041</v>
      </c>
      <c r="B7" s="3186" t="s">
        <v>3031</v>
      </c>
      <c r="C7" s="3186" t="s">
        <v>3032</v>
      </c>
      <c r="D7" s="3186">
        <v>6184</v>
      </c>
      <c r="E7" s="3186">
        <v>24736</v>
      </c>
      <c r="F7" s="3186" t="s">
        <v>3033</v>
      </c>
      <c r="G7" s="3186" t="s">
        <v>3034</v>
      </c>
      <c r="H7" s="3186" t="s">
        <v>3042</v>
      </c>
      <c r="I7" s="3186">
        <v>3072.21</v>
      </c>
      <c r="J7" s="3186">
        <v>3072.21</v>
      </c>
      <c r="K7" s="3186">
        <v>1242</v>
      </c>
      <c r="L7" s="3186">
        <v>0</v>
      </c>
      <c r="M7" s="3186" t="s">
        <v>3043</v>
      </c>
      <c r="N7" s="3186" t="s">
        <v>3044</v>
      </c>
    </row>
    <row r="8" spans="1:14">
      <c r="A8" s="3186" t="s">
        <v>3049</v>
      </c>
      <c r="B8" s="3186" t="s">
        <v>3031</v>
      </c>
      <c r="C8" s="3186" t="s">
        <v>3032</v>
      </c>
      <c r="D8" s="3186">
        <v>11641</v>
      </c>
      <c r="E8" s="3186">
        <v>17461</v>
      </c>
      <c r="F8" s="3186" t="s">
        <v>3050</v>
      </c>
      <c r="G8" s="3186" t="s">
        <v>3034</v>
      </c>
      <c r="H8" s="3186" t="s">
        <v>3051</v>
      </c>
      <c r="I8" s="3186">
        <v>5168.46</v>
      </c>
      <c r="J8" s="3186">
        <v>5168.46</v>
      </c>
      <c r="K8" s="3186">
        <v>2960</v>
      </c>
      <c r="L8" s="3186">
        <v>0</v>
      </c>
      <c r="M8" s="3186" t="s">
        <v>3052</v>
      </c>
      <c r="N8" s="3186" t="s">
        <v>3053</v>
      </c>
    </row>
    <row r="9" spans="1:14">
      <c r="A9" s="3186" t="s">
        <v>3054</v>
      </c>
      <c r="B9" s="3186" t="s">
        <v>3031</v>
      </c>
      <c r="C9" s="3186" t="s">
        <v>3032</v>
      </c>
      <c r="D9" s="3186">
        <v>26712</v>
      </c>
      <c r="E9" s="3186">
        <v>26712</v>
      </c>
      <c r="F9" s="3186" t="s">
        <v>3055</v>
      </c>
      <c r="G9" s="3186" t="s">
        <v>3034</v>
      </c>
      <c r="H9" s="3186" t="s">
        <v>3056</v>
      </c>
      <c r="I9" s="3186">
        <v>1602.72</v>
      </c>
      <c r="J9" s="3186">
        <v>1602.72</v>
      </c>
      <c r="K9" s="3186">
        <v>600</v>
      </c>
      <c r="L9" s="3186">
        <v>0</v>
      </c>
      <c r="M9" s="3186" t="s">
        <v>3057</v>
      </c>
      <c r="N9" s="3186" t="s">
        <v>3037</v>
      </c>
    </row>
    <row r="10" spans="1:14">
      <c r="A10" s="3186" t="s">
        <v>3058</v>
      </c>
      <c r="B10" s="3186" t="s">
        <v>3031</v>
      </c>
      <c r="C10" s="3186" t="s">
        <v>3032</v>
      </c>
      <c r="D10" s="3186">
        <v>10361</v>
      </c>
      <c r="E10" s="3186">
        <v>20722</v>
      </c>
      <c r="F10" s="3186" t="s">
        <v>3059</v>
      </c>
      <c r="G10" s="3186" t="s">
        <v>3034</v>
      </c>
      <c r="H10" s="3186" t="s">
        <v>3056</v>
      </c>
      <c r="I10" s="3186">
        <v>2766.38</v>
      </c>
      <c r="J10" s="3186">
        <v>2766.38</v>
      </c>
      <c r="K10" s="3186">
        <v>1335</v>
      </c>
      <c r="L10" s="3186">
        <v>0</v>
      </c>
      <c r="M10" s="3186" t="s">
        <v>3060</v>
      </c>
      <c r="N10" s="3186" t="s">
        <v>3037</v>
      </c>
    </row>
    <row r="11" spans="1:14">
      <c r="A11" s="3186" t="s">
        <v>3061</v>
      </c>
      <c r="B11" s="3186" t="s">
        <v>3031</v>
      </c>
      <c r="C11" s="3186" t="s">
        <v>3032</v>
      </c>
      <c r="D11" s="3186">
        <v>2404</v>
      </c>
      <c r="E11" s="3186">
        <v>2884.8</v>
      </c>
      <c r="F11" s="3186" t="s">
        <v>3062</v>
      </c>
      <c r="G11" s="3186" t="s">
        <v>3034</v>
      </c>
      <c r="H11" s="3186" t="s">
        <v>3056</v>
      </c>
      <c r="I11" s="3186">
        <v>432.6</v>
      </c>
      <c r="J11" s="3186">
        <v>432.6</v>
      </c>
      <c r="K11" s="3186">
        <v>1499.57</v>
      </c>
      <c r="L11" s="3186">
        <v>0</v>
      </c>
      <c r="M11" s="3186" t="s">
        <v>3063</v>
      </c>
      <c r="N11" s="3186" t="s">
        <v>3037</v>
      </c>
    </row>
    <row r="12" spans="1:14">
      <c r="A12" s="3186" t="s">
        <v>3064</v>
      </c>
      <c r="B12" s="3186" t="s">
        <v>3031</v>
      </c>
      <c r="C12" s="3186" t="s">
        <v>3032</v>
      </c>
      <c r="D12" s="3186">
        <v>16729</v>
      </c>
      <c r="E12" s="3186">
        <v>30112</v>
      </c>
      <c r="F12" s="3186" t="s">
        <v>3065</v>
      </c>
      <c r="G12" s="3186" t="s">
        <v>3034</v>
      </c>
      <c r="H12" s="3186" t="s">
        <v>3066</v>
      </c>
      <c r="I12" s="3186">
        <v>1833.81</v>
      </c>
      <c r="J12" s="3186">
        <v>1833.81</v>
      </c>
      <c r="K12" s="3186">
        <v>609</v>
      </c>
      <c r="L12" s="3186">
        <v>0</v>
      </c>
      <c r="M12" s="3186" t="s">
        <v>3067</v>
      </c>
      <c r="N12" s="3186" t="s">
        <v>3037</v>
      </c>
    </row>
    <row r="13" spans="1:14">
      <c r="A13" s="3186" t="s">
        <v>3068</v>
      </c>
      <c r="B13" s="3186" t="s">
        <v>3031</v>
      </c>
      <c r="C13" s="3186" t="s">
        <v>3032</v>
      </c>
      <c r="D13" s="3186">
        <v>25994</v>
      </c>
      <c r="E13" s="3186">
        <v>46789</v>
      </c>
      <c r="F13" s="3186" t="s">
        <v>3065</v>
      </c>
      <c r="G13" s="3186" t="s">
        <v>3034</v>
      </c>
      <c r="H13" s="3186" t="s">
        <v>3066</v>
      </c>
      <c r="I13" s="3186">
        <v>2849.44</v>
      </c>
      <c r="J13" s="3186">
        <v>2849.44</v>
      </c>
      <c r="K13" s="3186">
        <v>609</v>
      </c>
      <c r="L13" s="3186">
        <v>0</v>
      </c>
      <c r="M13" s="3186" t="s">
        <v>3067</v>
      </c>
      <c r="N13" s="3186" t="s">
        <v>3044</v>
      </c>
    </row>
    <row r="14" spans="1:14">
      <c r="A14" s="3186" t="s">
        <v>3069</v>
      </c>
      <c r="B14" s="3186" t="s">
        <v>3031</v>
      </c>
      <c r="C14" s="3186" t="s">
        <v>3032</v>
      </c>
      <c r="D14" s="3186">
        <v>8056</v>
      </c>
      <c r="E14" s="3186">
        <v>20140</v>
      </c>
      <c r="F14" s="3186" t="s">
        <v>3070</v>
      </c>
      <c r="G14" s="3186" t="s">
        <v>3034</v>
      </c>
      <c r="H14" s="3186" t="s">
        <v>3071</v>
      </c>
      <c r="I14" s="3186">
        <v>3021</v>
      </c>
      <c r="J14" s="3186">
        <v>3021</v>
      </c>
      <c r="K14" s="3186">
        <v>1500</v>
      </c>
      <c r="L14" s="3186">
        <v>0</v>
      </c>
      <c r="M14" s="3186" t="s">
        <v>3072</v>
      </c>
      <c r="N14" s="3186" t="s">
        <v>3037</v>
      </c>
    </row>
    <row r="15" spans="1:14">
      <c r="A15" s="3186" t="s">
        <v>3073</v>
      </c>
      <c r="B15" s="3186" t="s">
        <v>3031</v>
      </c>
      <c r="C15" s="3186" t="s">
        <v>3032</v>
      </c>
      <c r="D15" s="3186">
        <v>34930</v>
      </c>
      <c r="E15" s="3186">
        <v>69860</v>
      </c>
      <c r="F15" s="3186" t="s">
        <v>3074</v>
      </c>
      <c r="G15" s="3186" t="s">
        <v>3034</v>
      </c>
      <c r="H15" s="3186" t="s">
        <v>3071</v>
      </c>
      <c r="I15" s="3186">
        <v>9277.4</v>
      </c>
      <c r="J15" s="3186">
        <v>9277.4</v>
      </c>
      <c r="K15" s="3186">
        <v>1328</v>
      </c>
      <c r="L15" s="3186">
        <v>0</v>
      </c>
      <c r="M15" s="3186" t="s">
        <v>3063</v>
      </c>
      <c r="N15" s="3186" t="s">
        <v>3037</v>
      </c>
    </row>
    <row r="16" spans="1:14">
      <c r="A16" s="3186" t="s">
        <v>3075</v>
      </c>
      <c r="B16" s="3186" t="s">
        <v>3031</v>
      </c>
      <c r="C16" s="3186" t="s">
        <v>3032</v>
      </c>
      <c r="D16" s="3186">
        <v>15273</v>
      </c>
      <c r="E16" s="3186">
        <v>53455</v>
      </c>
      <c r="F16" s="3186" t="s">
        <v>3048</v>
      </c>
      <c r="G16" s="3186" t="s">
        <v>3034</v>
      </c>
      <c r="H16" s="3186" t="s">
        <v>3071</v>
      </c>
      <c r="I16" s="3186">
        <v>5981.6</v>
      </c>
      <c r="J16" s="3186">
        <v>5981.6</v>
      </c>
      <c r="K16" s="3186">
        <v>1119</v>
      </c>
      <c r="L16" s="3186">
        <v>0</v>
      </c>
      <c r="M16" s="3186" t="s">
        <v>3076</v>
      </c>
      <c r="N16" s="3186" t="s">
        <v>3044</v>
      </c>
    </row>
    <row r="17" spans="1:14">
      <c r="A17" s="3186" t="s">
        <v>3077</v>
      </c>
      <c r="B17" s="3186" t="s">
        <v>3031</v>
      </c>
      <c r="C17" s="3186" t="s">
        <v>3032</v>
      </c>
      <c r="D17" s="3186">
        <v>1723</v>
      </c>
      <c r="E17" s="3186">
        <v>861</v>
      </c>
      <c r="F17" s="3186" t="s">
        <v>3078</v>
      </c>
      <c r="G17" s="3186" t="s">
        <v>3034</v>
      </c>
      <c r="H17" s="3186" t="s">
        <v>3071</v>
      </c>
      <c r="I17" s="3186">
        <v>377.12</v>
      </c>
      <c r="J17" s="3186">
        <v>377.12</v>
      </c>
      <c r="K17" s="3186">
        <v>4380.0200000000004</v>
      </c>
      <c r="L17" s="3186">
        <v>0</v>
      </c>
      <c r="M17" s="3186" t="s">
        <v>3079</v>
      </c>
      <c r="N17" s="3186" t="s">
        <v>3053</v>
      </c>
    </row>
    <row r="18" spans="1:14">
      <c r="A18" s="3186" t="s">
        <v>3080</v>
      </c>
      <c r="B18" s="3186" t="s">
        <v>3031</v>
      </c>
      <c r="C18" s="3186" t="s">
        <v>3032</v>
      </c>
      <c r="D18" s="3186">
        <v>14781</v>
      </c>
      <c r="E18" s="3186">
        <v>20693</v>
      </c>
      <c r="F18" s="3186" t="s">
        <v>3081</v>
      </c>
      <c r="G18" s="3186" t="s">
        <v>3034</v>
      </c>
      <c r="H18" s="3186" t="s">
        <v>3071</v>
      </c>
      <c r="I18" s="3186">
        <v>4345.5200000000004</v>
      </c>
      <c r="J18" s="3186">
        <v>4345.5200000000004</v>
      </c>
      <c r="K18" s="3186">
        <v>2100</v>
      </c>
      <c r="L18" s="3186">
        <v>0</v>
      </c>
      <c r="M18" s="3186" t="s">
        <v>3082</v>
      </c>
      <c r="N18" s="3186" t="s">
        <v>3037</v>
      </c>
    </row>
    <row r="19" spans="1:14">
      <c r="A19" s="3186" t="s">
        <v>3083</v>
      </c>
      <c r="B19" s="3186" t="s">
        <v>3031</v>
      </c>
      <c r="C19" s="3186" t="s">
        <v>3032</v>
      </c>
      <c r="D19" s="3186">
        <v>33773</v>
      </c>
      <c r="E19" s="3186">
        <v>135092</v>
      </c>
      <c r="F19" s="3186" t="s">
        <v>3084</v>
      </c>
      <c r="G19" s="3186" t="s">
        <v>3034</v>
      </c>
      <c r="H19" s="3186" t="s">
        <v>3085</v>
      </c>
      <c r="I19" s="3186">
        <v>16981.060000000001</v>
      </c>
      <c r="J19" s="3186">
        <v>16981.060000000001</v>
      </c>
      <c r="K19" s="3186">
        <v>1257</v>
      </c>
      <c r="L19" s="3186">
        <v>0</v>
      </c>
      <c r="M19" s="3186" t="s">
        <v>3086</v>
      </c>
      <c r="N19" s="3186" t="s">
        <v>3037</v>
      </c>
    </row>
    <row r="20" spans="1:14">
      <c r="A20" s="3186" t="s">
        <v>3087</v>
      </c>
      <c r="B20" s="3186" t="s">
        <v>3031</v>
      </c>
      <c r="C20" s="3186" t="s">
        <v>3032</v>
      </c>
      <c r="D20" s="3186">
        <v>6662</v>
      </c>
      <c r="E20" s="3186">
        <v>2664.8</v>
      </c>
      <c r="F20" s="3186" t="s">
        <v>3088</v>
      </c>
      <c r="G20" s="3186" t="s">
        <v>3034</v>
      </c>
      <c r="H20" s="3186" t="s">
        <v>3085</v>
      </c>
      <c r="I20" s="3186">
        <v>1648.48</v>
      </c>
      <c r="J20" s="3186">
        <v>1648.48</v>
      </c>
      <c r="K20" s="3186">
        <v>6186.13</v>
      </c>
      <c r="L20" s="3186">
        <v>0</v>
      </c>
      <c r="M20" s="3186" t="s">
        <v>3086</v>
      </c>
      <c r="N20" s="3186" t="s">
        <v>3037</v>
      </c>
    </row>
    <row r="21" spans="1:14">
      <c r="A21" s="3186" t="s">
        <v>3089</v>
      </c>
      <c r="B21" s="3186" t="s">
        <v>3031</v>
      </c>
      <c r="C21" s="3186" t="s">
        <v>3032</v>
      </c>
      <c r="D21" s="3186">
        <v>65172</v>
      </c>
      <c r="E21" s="3186">
        <v>260688</v>
      </c>
      <c r="F21" s="3186" t="s">
        <v>3084</v>
      </c>
      <c r="G21" s="3186" t="s">
        <v>3034</v>
      </c>
      <c r="H21" s="3186" t="s">
        <v>3085</v>
      </c>
      <c r="I21" s="3186">
        <v>32768.480000000003</v>
      </c>
      <c r="J21" s="3186">
        <v>32768.480000000003</v>
      </c>
      <c r="K21" s="3186">
        <v>1257</v>
      </c>
      <c r="L21" s="3186">
        <v>0</v>
      </c>
      <c r="M21" s="3186" t="s">
        <v>3086</v>
      </c>
      <c r="N21" s="3186" t="s">
        <v>3037</v>
      </c>
    </row>
    <row r="22" spans="1:14">
      <c r="A22" s="3186" t="s">
        <v>3090</v>
      </c>
      <c r="B22" s="3186" t="s">
        <v>3031</v>
      </c>
      <c r="C22" s="3186" t="s">
        <v>3032</v>
      </c>
      <c r="D22" s="3186">
        <v>74616</v>
      </c>
      <c r="E22" s="3186">
        <v>111924</v>
      </c>
      <c r="F22" s="3186" t="s">
        <v>3050</v>
      </c>
      <c r="G22" s="3186" t="s">
        <v>3034</v>
      </c>
      <c r="H22" s="3186" t="s">
        <v>3085</v>
      </c>
      <c r="I22" s="3186">
        <v>30991.75</v>
      </c>
      <c r="J22" s="3186">
        <v>30991.75</v>
      </c>
      <c r="K22" s="3186">
        <v>2769</v>
      </c>
      <c r="L22" s="3186">
        <v>0</v>
      </c>
      <c r="M22" s="3186" t="s">
        <v>3091</v>
      </c>
      <c r="N22" s="3186" t="s">
        <v>3037</v>
      </c>
    </row>
    <row r="23" spans="1:14" s="3190" customFormat="1">
      <c r="A23" s="3189" t="s">
        <v>3092</v>
      </c>
      <c r="B23" s="3189" t="s">
        <v>3031</v>
      </c>
      <c r="C23" s="3189" t="s">
        <v>3032</v>
      </c>
      <c r="D23" s="3189">
        <v>31375</v>
      </c>
      <c r="E23" s="3189">
        <v>109812.5</v>
      </c>
      <c r="F23" s="3189" t="s">
        <v>3048</v>
      </c>
      <c r="G23" s="3189" t="s">
        <v>3034</v>
      </c>
      <c r="H23" s="3189" t="s">
        <v>3093</v>
      </c>
      <c r="I23" s="3189">
        <v>15351.71</v>
      </c>
      <c r="J23" s="3189">
        <v>15351.71</v>
      </c>
      <c r="K23" s="3189">
        <v>1397.99</v>
      </c>
      <c r="L23" s="3189">
        <v>0</v>
      </c>
      <c r="M23" s="3189" t="s">
        <v>3094</v>
      </c>
      <c r="N23" s="3189" t="s">
        <v>3044</v>
      </c>
    </row>
    <row r="24" spans="1:14">
      <c r="A24" s="3186" t="s">
        <v>3095</v>
      </c>
      <c r="B24" s="3186" t="s">
        <v>3031</v>
      </c>
      <c r="C24" s="3186" t="s">
        <v>3032</v>
      </c>
      <c r="D24" s="3186">
        <v>59802</v>
      </c>
      <c r="E24" s="3186">
        <v>71762.399999999994</v>
      </c>
      <c r="F24" s="3186" t="s">
        <v>3062</v>
      </c>
      <c r="G24" s="3186" t="s">
        <v>3034</v>
      </c>
      <c r="H24" s="3186" t="s">
        <v>3096</v>
      </c>
      <c r="I24" s="3186">
        <v>10046.68</v>
      </c>
      <c r="J24" s="3186">
        <v>10046.68</v>
      </c>
      <c r="K24" s="3186">
        <v>1399.99</v>
      </c>
      <c r="L24" s="3186">
        <v>0</v>
      </c>
      <c r="M24" s="3186" t="s">
        <v>3063</v>
      </c>
      <c r="N24" s="3186" t="s">
        <v>3044</v>
      </c>
    </row>
    <row r="25" spans="1:14">
      <c r="A25" s="3186" t="s">
        <v>3097</v>
      </c>
      <c r="B25" s="3186" t="s">
        <v>3031</v>
      </c>
      <c r="C25" s="3186" t="s">
        <v>3032</v>
      </c>
      <c r="D25" s="3186">
        <v>1658</v>
      </c>
      <c r="E25" s="3186">
        <v>663.2</v>
      </c>
      <c r="F25" s="3186" t="s">
        <v>3088</v>
      </c>
      <c r="G25" s="3186" t="s">
        <v>3034</v>
      </c>
      <c r="H25" s="3186" t="s">
        <v>3096</v>
      </c>
      <c r="I25" s="3186">
        <v>308.62</v>
      </c>
      <c r="J25" s="3186">
        <v>308.62</v>
      </c>
      <c r="K25" s="3186">
        <v>4653.6400000000003</v>
      </c>
      <c r="L25" s="3186">
        <v>0</v>
      </c>
      <c r="M25" s="3186" t="s">
        <v>3098</v>
      </c>
      <c r="N25" s="3186" t="s">
        <v>3044</v>
      </c>
    </row>
    <row r="26" spans="1:14">
      <c r="A26" s="3186" t="s">
        <v>3099</v>
      </c>
      <c r="B26" s="3186" t="s">
        <v>3031</v>
      </c>
      <c r="C26" s="3186" t="s">
        <v>3032</v>
      </c>
      <c r="D26" s="3186">
        <v>47252</v>
      </c>
      <c r="E26" s="3186">
        <v>108679.6</v>
      </c>
      <c r="F26" s="3186" t="s">
        <v>3100</v>
      </c>
      <c r="G26" s="3186" t="s">
        <v>3034</v>
      </c>
      <c r="H26" s="3186" t="s">
        <v>3101</v>
      </c>
      <c r="I26" s="3186">
        <v>25898.2</v>
      </c>
      <c r="J26" s="3186">
        <v>25898.2</v>
      </c>
      <c r="K26" s="3186">
        <v>2382.98</v>
      </c>
      <c r="L26" s="3186">
        <v>0</v>
      </c>
      <c r="M26" s="3186" t="s">
        <v>3102</v>
      </c>
      <c r="N26" s="3186" t="s">
        <v>3053</v>
      </c>
    </row>
    <row r="27" spans="1:14">
      <c r="A27" s="3186" t="s">
        <v>3103</v>
      </c>
      <c r="B27" s="3186" t="s">
        <v>3031</v>
      </c>
      <c r="C27" s="3186" t="s">
        <v>3032</v>
      </c>
      <c r="D27" s="3186">
        <v>42870</v>
      </c>
      <c r="E27" s="3186">
        <v>68592</v>
      </c>
      <c r="F27" s="3186" t="s">
        <v>3046</v>
      </c>
      <c r="G27" s="3186" t="s">
        <v>3034</v>
      </c>
      <c r="H27" s="3186" t="s">
        <v>3101</v>
      </c>
      <c r="I27" s="3186">
        <v>20303.22</v>
      </c>
      <c r="J27" s="3186">
        <v>20303.22</v>
      </c>
      <c r="K27" s="3186">
        <v>2960</v>
      </c>
      <c r="L27" s="3186">
        <v>0</v>
      </c>
      <c r="M27" s="3186" t="s">
        <v>3102</v>
      </c>
      <c r="N27" s="3186" t="s">
        <v>3053</v>
      </c>
    </row>
    <row r="28" spans="1:14">
      <c r="A28" s="3186" t="s">
        <v>3104</v>
      </c>
      <c r="B28" s="3186" t="s">
        <v>3031</v>
      </c>
      <c r="C28" s="3186" t="s">
        <v>3032</v>
      </c>
      <c r="D28" s="3186">
        <v>46593</v>
      </c>
      <c r="E28" s="3186">
        <v>83867.399999999994</v>
      </c>
      <c r="F28" s="3186" t="s">
        <v>3105</v>
      </c>
      <c r="G28" s="3186" t="s">
        <v>3034</v>
      </c>
      <c r="H28" s="3186" t="s">
        <v>3106</v>
      </c>
      <c r="I28" s="3186">
        <v>17125.63</v>
      </c>
      <c r="J28" s="3186">
        <v>20899.650000000001</v>
      </c>
      <c r="K28" s="3186">
        <v>2491.98</v>
      </c>
      <c r="L28" s="3186">
        <v>22.04</v>
      </c>
      <c r="M28" s="3186" t="s">
        <v>3107</v>
      </c>
      <c r="N28" s="3186" t="s">
        <v>3037</v>
      </c>
    </row>
    <row r="29" spans="1:14">
      <c r="A29" s="3186" t="s">
        <v>3108</v>
      </c>
      <c r="B29" s="3186" t="s">
        <v>3031</v>
      </c>
      <c r="C29" s="3186" t="s">
        <v>3032</v>
      </c>
      <c r="D29" s="3186">
        <v>62808</v>
      </c>
      <c r="E29" s="3186">
        <v>125616</v>
      </c>
      <c r="F29" s="3186" t="s">
        <v>3109</v>
      </c>
      <c r="G29" s="3186" t="s">
        <v>3034</v>
      </c>
      <c r="H29" s="3186" t="s">
        <v>3106</v>
      </c>
      <c r="I29" s="3186">
        <v>24030.34</v>
      </c>
      <c r="J29" s="3186">
        <v>24030.34</v>
      </c>
      <c r="K29" s="3186">
        <v>1913</v>
      </c>
      <c r="L29" s="3186">
        <v>0</v>
      </c>
      <c r="M29" s="3186" t="s">
        <v>3107</v>
      </c>
      <c r="N29" s="3186" t="s">
        <v>3037</v>
      </c>
    </row>
    <row r="30" spans="1:14" s="3188" customFormat="1">
      <c r="A30" s="3198" t="s">
        <v>3208</v>
      </c>
      <c r="B30" s="3187" t="s">
        <v>3031</v>
      </c>
      <c r="C30" s="3187" t="s">
        <v>3032</v>
      </c>
      <c r="D30" s="3187">
        <v>5602</v>
      </c>
      <c r="E30" s="3187">
        <v>19607</v>
      </c>
      <c r="F30" s="3187" t="s">
        <v>3110</v>
      </c>
      <c r="G30" s="3187" t="s">
        <v>3034</v>
      </c>
      <c r="H30" s="3187" t="s">
        <v>3111</v>
      </c>
      <c r="I30" s="3187">
        <v>2554.7800000000002</v>
      </c>
      <c r="J30" s="3187">
        <v>2554.7800000000002</v>
      </c>
      <c r="K30" s="3187">
        <v>1303</v>
      </c>
      <c r="L30" s="3187">
        <v>0</v>
      </c>
      <c r="M30" s="3187" t="s">
        <v>3112</v>
      </c>
      <c r="N30" s="3187" t="s">
        <v>3053</v>
      </c>
    </row>
    <row r="31" spans="1:14">
      <c r="A31" s="3186" t="s">
        <v>3113</v>
      </c>
      <c r="B31" s="3186" t="s">
        <v>3031</v>
      </c>
      <c r="C31" s="3186" t="s">
        <v>3032</v>
      </c>
      <c r="D31" s="3186">
        <v>51138</v>
      </c>
      <c r="E31" s="3186">
        <v>92048.4</v>
      </c>
      <c r="F31" s="3186" t="s">
        <v>3105</v>
      </c>
      <c r="G31" s="3186" t="s">
        <v>3034</v>
      </c>
      <c r="H31" s="3186" t="s">
        <v>3114</v>
      </c>
      <c r="I31" s="3186">
        <v>16264.95</v>
      </c>
      <c r="J31" s="3186">
        <v>16264.95</v>
      </c>
      <c r="K31" s="3186">
        <v>1767</v>
      </c>
      <c r="L31" s="3186">
        <v>0</v>
      </c>
      <c r="M31" s="3186" t="s">
        <v>3115</v>
      </c>
      <c r="N31" s="3186" t="s">
        <v>3044</v>
      </c>
    </row>
    <row r="32" spans="1:14">
      <c r="A32" s="3186" t="s">
        <v>3116</v>
      </c>
      <c r="B32" s="3186" t="s">
        <v>3031</v>
      </c>
      <c r="C32" s="3186" t="s">
        <v>3032</v>
      </c>
      <c r="D32" s="3186">
        <v>54661</v>
      </c>
      <c r="E32" s="3186">
        <v>98389.8</v>
      </c>
      <c r="F32" s="3186" t="s">
        <v>3105</v>
      </c>
      <c r="G32" s="3186" t="s">
        <v>3034</v>
      </c>
      <c r="H32" s="3186" t="s">
        <v>3114</v>
      </c>
      <c r="I32" s="3186">
        <v>17385.34</v>
      </c>
      <c r="J32" s="3186">
        <v>17385.34</v>
      </c>
      <c r="K32" s="3186">
        <v>1766.99</v>
      </c>
      <c r="L32" s="3186">
        <v>0</v>
      </c>
      <c r="M32" s="3186" t="s">
        <v>3115</v>
      </c>
      <c r="N32" s="3186" t="s">
        <v>3044</v>
      </c>
    </row>
    <row r="33" spans="1:14">
      <c r="A33" s="3186" t="s">
        <v>3117</v>
      </c>
      <c r="B33" s="3186" t="s">
        <v>3031</v>
      </c>
      <c r="C33" s="3186" t="s">
        <v>3032</v>
      </c>
      <c r="D33" s="3186">
        <v>46294</v>
      </c>
      <c r="E33" s="3186">
        <v>185176</v>
      </c>
      <c r="F33" s="3186" t="s">
        <v>3084</v>
      </c>
      <c r="G33" s="3186" t="s">
        <v>3034</v>
      </c>
      <c r="H33" s="3186" t="s">
        <v>3114</v>
      </c>
      <c r="I33" s="3186">
        <v>21110.06</v>
      </c>
      <c r="J33" s="3186">
        <v>21110.06</v>
      </c>
      <c r="K33" s="3186">
        <v>1140</v>
      </c>
      <c r="L33" s="3186">
        <v>0</v>
      </c>
      <c r="M33" s="3186" t="s">
        <v>3115</v>
      </c>
      <c r="N33" s="3186" t="s">
        <v>3037</v>
      </c>
    </row>
    <row r="34" spans="1:14">
      <c r="A34" s="3186" t="s">
        <v>3118</v>
      </c>
      <c r="B34" s="3186" t="s">
        <v>3031</v>
      </c>
      <c r="C34" s="3186" t="s">
        <v>3032</v>
      </c>
      <c r="D34" s="3186">
        <v>54644</v>
      </c>
      <c r="E34" s="3186">
        <v>98359.2</v>
      </c>
      <c r="F34" s="3186" t="s">
        <v>3105</v>
      </c>
      <c r="G34" s="3186" t="s">
        <v>3034</v>
      </c>
      <c r="H34" s="3186" t="s">
        <v>3114</v>
      </c>
      <c r="I34" s="3186">
        <v>17380.060000000001</v>
      </c>
      <c r="J34" s="3186">
        <v>17380.060000000001</v>
      </c>
      <c r="K34" s="3186">
        <v>1767</v>
      </c>
      <c r="L34" s="3186">
        <v>0</v>
      </c>
      <c r="M34" s="3186" t="s">
        <v>3115</v>
      </c>
      <c r="N34" s="3186" t="s">
        <v>3044</v>
      </c>
    </row>
    <row r="35" spans="1:14">
      <c r="A35" s="3186" t="s">
        <v>3119</v>
      </c>
      <c r="B35" s="3186" t="s">
        <v>3031</v>
      </c>
      <c r="C35" s="3186" t="s">
        <v>3032</v>
      </c>
      <c r="D35" s="3186">
        <v>50088</v>
      </c>
      <c r="E35" s="3186">
        <v>90158.399999999994</v>
      </c>
      <c r="F35" s="3186" t="s">
        <v>3105</v>
      </c>
      <c r="G35" s="3186" t="s">
        <v>3034</v>
      </c>
      <c r="H35" s="3186" t="s">
        <v>3114</v>
      </c>
      <c r="I35" s="3186">
        <v>15930.98</v>
      </c>
      <c r="J35" s="3186">
        <v>15930.98</v>
      </c>
      <c r="K35" s="3186">
        <v>1767</v>
      </c>
      <c r="L35" s="3186">
        <v>0</v>
      </c>
      <c r="M35" s="3186" t="s">
        <v>3115</v>
      </c>
      <c r="N35" s="3186" t="s">
        <v>3053</v>
      </c>
    </row>
    <row r="36" spans="1:14">
      <c r="A36" s="3186" t="s">
        <v>3120</v>
      </c>
      <c r="B36" s="3186" t="s">
        <v>3031</v>
      </c>
      <c r="C36" s="3186" t="s">
        <v>3032</v>
      </c>
      <c r="D36" s="3186">
        <v>40657</v>
      </c>
      <c r="E36" s="3186">
        <v>73182.600000000006</v>
      </c>
      <c r="F36" s="3186" t="s">
        <v>3105</v>
      </c>
      <c r="G36" s="3186" t="s">
        <v>3034</v>
      </c>
      <c r="H36" s="3186" t="s">
        <v>3114</v>
      </c>
      <c r="I36" s="3186">
        <v>12931.37</v>
      </c>
      <c r="J36" s="3186">
        <v>12931.37</v>
      </c>
      <c r="K36" s="3186">
        <v>1767</v>
      </c>
      <c r="L36" s="3186">
        <v>0</v>
      </c>
      <c r="M36" s="3186" t="s">
        <v>3115</v>
      </c>
      <c r="N36" s="3186" t="s">
        <v>3044</v>
      </c>
    </row>
    <row r="37" spans="1:14">
      <c r="A37" s="3186" t="s">
        <v>3121</v>
      </c>
      <c r="B37" s="3186" t="s">
        <v>3031</v>
      </c>
      <c r="C37" s="3186" t="s">
        <v>3032</v>
      </c>
      <c r="D37" s="3186">
        <v>30461</v>
      </c>
      <c r="E37" s="3186">
        <v>60922</v>
      </c>
      <c r="F37" s="3186" t="s">
        <v>3059</v>
      </c>
      <c r="G37" s="3186" t="s">
        <v>3034</v>
      </c>
      <c r="H37" s="3186" t="s">
        <v>3122</v>
      </c>
      <c r="I37" s="3186">
        <v>1882.49</v>
      </c>
      <c r="J37" s="3186">
        <v>1882.49</v>
      </c>
      <c r="K37" s="3186">
        <v>309</v>
      </c>
      <c r="L37" s="3186">
        <v>0</v>
      </c>
      <c r="M37" s="3186" t="s">
        <v>3112</v>
      </c>
      <c r="N37" s="3186" t="s">
        <v>3044</v>
      </c>
    </row>
    <row r="38" spans="1:14">
      <c r="A38" s="3186" t="s">
        <v>3123</v>
      </c>
      <c r="B38" s="3186" t="s">
        <v>3031</v>
      </c>
      <c r="C38" s="3186" t="s">
        <v>3032</v>
      </c>
      <c r="D38" s="3186">
        <v>10000</v>
      </c>
      <c r="E38" s="3186">
        <v>12000</v>
      </c>
      <c r="F38" s="3186" t="s">
        <v>3062</v>
      </c>
      <c r="G38" s="3186" t="s">
        <v>3034</v>
      </c>
      <c r="H38" s="3186" t="s">
        <v>3124</v>
      </c>
      <c r="I38" s="3186">
        <v>1746</v>
      </c>
      <c r="J38" s="3186">
        <v>1746</v>
      </c>
      <c r="K38" s="3186">
        <v>1455</v>
      </c>
      <c r="L38" s="3186">
        <v>0</v>
      </c>
      <c r="M38" s="3186" t="s">
        <v>3125</v>
      </c>
      <c r="N38" s="3186" t="s">
        <v>3053</v>
      </c>
    </row>
    <row r="39" spans="1:14">
      <c r="A39" s="3186" t="s">
        <v>3126</v>
      </c>
      <c r="B39" s="3186" t="s">
        <v>3031</v>
      </c>
      <c r="C39" s="3186" t="s">
        <v>3032</v>
      </c>
      <c r="D39" s="3186">
        <v>16594</v>
      </c>
      <c r="E39" s="3186">
        <v>46463.199999999997</v>
      </c>
      <c r="F39" s="3186" t="s">
        <v>3127</v>
      </c>
      <c r="G39" s="3186" t="s">
        <v>3034</v>
      </c>
      <c r="H39" s="3186" t="s">
        <v>3128</v>
      </c>
      <c r="I39" s="3186" t="s">
        <v>2815</v>
      </c>
      <c r="J39" s="3186">
        <v>2927.17</v>
      </c>
      <c r="K39" s="3186">
        <v>630</v>
      </c>
      <c r="L39" s="3186" t="s">
        <v>2815</v>
      </c>
      <c r="M39" s="3186" t="s">
        <v>3129</v>
      </c>
      <c r="N39" s="3186" t="s">
        <v>3044</v>
      </c>
    </row>
    <row r="40" spans="1:14">
      <c r="A40" s="3186" t="s">
        <v>3130</v>
      </c>
      <c r="B40" s="3186" t="s">
        <v>3031</v>
      </c>
      <c r="C40" s="3186" t="s">
        <v>3032</v>
      </c>
      <c r="D40" s="3186">
        <v>16594</v>
      </c>
      <c r="E40" s="3186">
        <v>46463.199999999997</v>
      </c>
      <c r="F40" s="3186" t="s">
        <v>3127</v>
      </c>
      <c r="G40" s="3186" t="s">
        <v>3034</v>
      </c>
      <c r="H40" s="3186" t="s">
        <v>3131</v>
      </c>
      <c r="I40" s="3186">
        <v>2927.17</v>
      </c>
      <c r="J40" s="3186">
        <v>2927.17</v>
      </c>
      <c r="K40" s="3186">
        <v>630</v>
      </c>
      <c r="L40" s="3186">
        <v>0</v>
      </c>
      <c r="M40" s="3186" t="s">
        <v>3129</v>
      </c>
      <c r="N40" s="3186" t="s">
        <v>3037</v>
      </c>
    </row>
    <row r="41" spans="1:14">
      <c r="A41" s="3186" t="s">
        <v>3132</v>
      </c>
      <c r="B41" s="3186" t="s">
        <v>3031</v>
      </c>
      <c r="C41" s="3186" t="s">
        <v>3032</v>
      </c>
      <c r="D41" s="3186">
        <v>13322</v>
      </c>
      <c r="E41" s="3186">
        <v>13988.1</v>
      </c>
      <c r="F41" s="3186" t="s">
        <v>3133</v>
      </c>
      <c r="G41" s="3186" t="s">
        <v>3034</v>
      </c>
      <c r="H41" s="3186" t="s">
        <v>3134</v>
      </c>
      <c r="I41" s="3186" t="s">
        <v>2815</v>
      </c>
      <c r="J41" s="3186">
        <v>2635.34</v>
      </c>
      <c r="K41" s="3186">
        <v>1883.99</v>
      </c>
      <c r="L41" s="3186" t="s">
        <v>2815</v>
      </c>
      <c r="M41" s="3186" t="s">
        <v>3135</v>
      </c>
      <c r="N41" s="3186" t="s">
        <v>3037</v>
      </c>
    </row>
    <row r="42" spans="1:14">
      <c r="A42" s="3186" t="s">
        <v>3136</v>
      </c>
      <c r="B42" s="3186" t="s">
        <v>3031</v>
      </c>
      <c r="C42" s="3186" t="s">
        <v>3032</v>
      </c>
      <c r="D42" s="3186">
        <v>10155</v>
      </c>
      <c r="E42" s="3186">
        <v>30465</v>
      </c>
      <c r="F42" s="3186" t="s">
        <v>3137</v>
      </c>
      <c r="G42" s="3186" t="s">
        <v>3138</v>
      </c>
      <c r="H42" s="3186" t="s">
        <v>3139</v>
      </c>
      <c r="I42" s="3186">
        <v>3817.26</v>
      </c>
      <c r="J42" s="3186">
        <v>3817.26</v>
      </c>
      <c r="K42" s="3186">
        <v>1253</v>
      </c>
      <c r="L42" s="3186">
        <v>0</v>
      </c>
      <c r="M42" s="3186" t="s">
        <v>3140</v>
      </c>
      <c r="N42" s="3186" t="s">
        <v>3053</v>
      </c>
    </row>
    <row r="43" spans="1:14">
      <c r="A43" s="3186" t="s">
        <v>3141</v>
      </c>
      <c r="B43" s="3186" t="s">
        <v>3031</v>
      </c>
      <c r="C43" s="3186" t="s">
        <v>3032</v>
      </c>
      <c r="D43" s="3186">
        <v>46667</v>
      </c>
      <c r="E43" s="3186">
        <v>140001</v>
      </c>
      <c r="F43" s="3186" t="s">
        <v>3137</v>
      </c>
      <c r="G43" s="3186" t="s">
        <v>3034</v>
      </c>
      <c r="H43" s="3186" t="s">
        <v>3142</v>
      </c>
      <c r="I43" s="3186" t="s">
        <v>2815</v>
      </c>
      <c r="J43" s="3186">
        <v>6776.05</v>
      </c>
      <c r="K43" s="3186">
        <v>484</v>
      </c>
      <c r="L43" s="3186" t="s">
        <v>2815</v>
      </c>
      <c r="M43" s="3186" t="s">
        <v>3143</v>
      </c>
      <c r="N43" s="3186" t="s">
        <v>3053</v>
      </c>
    </row>
    <row r="44" spans="1:14">
      <c r="A44" s="3186" t="s">
        <v>3144</v>
      </c>
      <c r="B44" s="3186" t="s">
        <v>3031</v>
      </c>
      <c r="C44" s="3186" t="s">
        <v>3032</v>
      </c>
      <c r="D44" s="3186">
        <v>10379</v>
      </c>
      <c r="E44" s="3186">
        <v>25947.5</v>
      </c>
      <c r="F44" s="3186" t="s">
        <v>3145</v>
      </c>
      <c r="G44" s="3186" t="s">
        <v>3034</v>
      </c>
      <c r="H44" s="3186" t="s">
        <v>3146</v>
      </c>
      <c r="I44" s="3186" t="s">
        <v>2815</v>
      </c>
      <c r="J44" s="3186">
        <v>3552.13</v>
      </c>
      <c r="K44" s="3186">
        <v>1368.97</v>
      </c>
      <c r="L44" s="3186" t="s">
        <v>2815</v>
      </c>
      <c r="M44" s="3186" t="s">
        <v>3140</v>
      </c>
      <c r="N44" s="3186" t="s">
        <v>3053</v>
      </c>
    </row>
    <row r="45" spans="1:14">
      <c r="A45" s="3186" t="s">
        <v>3147</v>
      </c>
      <c r="B45" s="3186" t="s">
        <v>3031</v>
      </c>
      <c r="C45" s="3186" t="s">
        <v>3032</v>
      </c>
      <c r="D45" s="3186">
        <v>8871</v>
      </c>
      <c r="E45" s="3186">
        <v>17742</v>
      </c>
      <c r="F45" s="3186" t="s">
        <v>3148</v>
      </c>
      <c r="G45" s="3186" t="s">
        <v>3034</v>
      </c>
      <c r="H45" s="3186" t="s">
        <v>3149</v>
      </c>
      <c r="I45" s="3186" t="s">
        <v>2815</v>
      </c>
      <c r="J45" s="3186">
        <v>599.66999999999996</v>
      </c>
      <c r="K45" s="3186">
        <v>338</v>
      </c>
      <c r="L45" s="3186" t="s">
        <v>2815</v>
      </c>
      <c r="M45" s="3186" t="s">
        <v>3150</v>
      </c>
      <c r="N45" s="3186" t="s">
        <v>3151</v>
      </c>
    </row>
    <row r="46" spans="1:14">
      <c r="A46" s="3186" t="s">
        <v>3152</v>
      </c>
      <c r="B46" s="3186" t="s">
        <v>3031</v>
      </c>
      <c r="C46" s="3186" t="s">
        <v>3032</v>
      </c>
      <c r="D46" s="3186">
        <v>6889</v>
      </c>
      <c r="E46" s="3186">
        <v>24111.5</v>
      </c>
      <c r="F46" s="3186" t="s">
        <v>3153</v>
      </c>
      <c r="G46" s="3186" t="s">
        <v>3034</v>
      </c>
      <c r="H46" s="3186" t="s">
        <v>3149</v>
      </c>
      <c r="I46" s="3186" t="s">
        <v>2815</v>
      </c>
      <c r="J46" s="3186">
        <v>631.71</v>
      </c>
      <c r="K46" s="3186">
        <v>262</v>
      </c>
      <c r="L46" s="3186" t="s">
        <v>2815</v>
      </c>
      <c r="M46" s="3186" t="s">
        <v>3154</v>
      </c>
      <c r="N46" s="3186" t="s">
        <v>3053</v>
      </c>
    </row>
    <row r="47" spans="1:14">
      <c r="A47" s="3186" t="s">
        <v>3155</v>
      </c>
      <c r="B47" s="3186" t="s">
        <v>3031</v>
      </c>
      <c r="C47" s="3186" t="s">
        <v>3032</v>
      </c>
      <c r="D47" s="3186">
        <v>5378</v>
      </c>
      <c r="E47" s="3186">
        <v>21512</v>
      </c>
      <c r="F47" s="3186" t="s">
        <v>3156</v>
      </c>
      <c r="G47" s="3186" t="s">
        <v>3034</v>
      </c>
      <c r="H47" s="3186" t="s">
        <v>3157</v>
      </c>
      <c r="I47" s="3186" t="s">
        <v>2815</v>
      </c>
      <c r="J47" s="3186">
        <v>817.46</v>
      </c>
      <c r="K47" s="3186">
        <v>380</v>
      </c>
      <c r="L47" s="3186" t="s">
        <v>2815</v>
      </c>
      <c r="M47" s="3186" t="s">
        <v>3158</v>
      </c>
      <c r="N47" s="3186" t="s">
        <v>3053</v>
      </c>
    </row>
    <row r="48" spans="1:14">
      <c r="A48" s="3186" t="s">
        <v>3159</v>
      </c>
      <c r="B48" s="3186" t="s">
        <v>3031</v>
      </c>
      <c r="C48" s="3186" t="s">
        <v>3032</v>
      </c>
      <c r="D48" s="3186">
        <v>7921</v>
      </c>
      <c r="E48" s="3186">
        <v>6336.8</v>
      </c>
      <c r="F48" s="3186" t="s">
        <v>3160</v>
      </c>
      <c r="G48" s="3186" t="s">
        <v>3034</v>
      </c>
      <c r="H48" s="3186" t="s">
        <v>3157</v>
      </c>
      <c r="I48" s="3186" t="s">
        <v>2815</v>
      </c>
      <c r="J48" s="3186">
        <v>470.12</v>
      </c>
      <c r="K48" s="3186">
        <v>741.89</v>
      </c>
      <c r="L48" s="3186" t="s">
        <v>2815</v>
      </c>
      <c r="M48" s="3186" t="s">
        <v>3036</v>
      </c>
      <c r="N48" s="3186" t="s">
        <v>3044</v>
      </c>
    </row>
    <row r="49" spans="1:14">
      <c r="A49" s="3186" t="s">
        <v>3161</v>
      </c>
      <c r="B49" s="3186" t="s">
        <v>3031</v>
      </c>
      <c r="C49" s="3186" t="s">
        <v>3032</v>
      </c>
      <c r="D49" s="3186">
        <v>2875</v>
      </c>
      <c r="E49" s="3186">
        <v>1150</v>
      </c>
      <c r="F49" s="3186" t="s">
        <v>3088</v>
      </c>
      <c r="G49" s="3186" t="s">
        <v>3034</v>
      </c>
      <c r="H49" s="3186" t="s">
        <v>3162</v>
      </c>
      <c r="I49" s="3186" t="s">
        <v>2815</v>
      </c>
      <c r="J49" s="3186">
        <v>184.4</v>
      </c>
      <c r="K49" s="3186">
        <v>1603.56</v>
      </c>
      <c r="L49" s="3186" t="s">
        <v>2815</v>
      </c>
      <c r="M49" s="3186" t="s">
        <v>3163</v>
      </c>
      <c r="N49" s="3186" t="s">
        <v>3037</v>
      </c>
    </row>
    <row r="50" spans="1:14">
      <c r="A50" s="3186" t="s">
        <v>3164</v>
      </c>
      <c r="B50" s="3186" t="s">
        <v>3031</v>
      </c>
      <c r="C50" s="3186" t="s">
        <v>3032</v>
      </c>
      <c r="D50" s="3186">
        <v>29745</v>
      </c>
      <c r="E50" s="3186">
        <v>23796</v>
      </c>
      <c r="F50" s="3186" t="s">
        <v>3165</v>
      </c>
      <c r="G50" s="3186" t="s">
        <v>3034</v>
      </c>
      <c r="H50" s="3186" t="s">
        <v>3162</v>
      </c>
      <c r="I50" s="3186" t="s">
        <v>2815</v>
      </c>
      <c r="J50" s="3186">
        <v>2914.88</v>
      </c>
      <c r="K50" s="3186">
        <v>1224.95</v>
      </c>
      <c r="L50" s="3186" t="s">
        <v>2815</v>
      </c>
      <c r="M50" s="3186" t="s">
        <v>3166</v>
      </c>
      <c r="N50" s="3186" t="s">
        <v>3037</v>
      </c>
    </row>
    <row r="51" spans="1:14">
      <c r="A51" s="3186" t="s">
        <v>3164</v>
      </c>
      <c r="B51" s="3186" t="s">
        <v>3031</v>
      </c>
      <c r="C51" s="3186" t="s">
        <v>3032</v>
      </c>
      <c r="D51" s="3186">
        <v>16087</v>
      </c>
      <c r="E51" s="3186">
        <v>12869.6</v>
      </c>
      <c r="F51" s="3186" t="s">
        <v>3165</v>
      </c>
      <c r="G51" s="3186" t="s">
        <v>3034</v>
      </c>
      <c r="H51" s="3186" t="s">
        <v>3162</v>
      </c>
      <c r="I51" s="3186" t="s">
        <v>2815</v>
      </c>
      <c r="J51" s="3186">
        <v>1576.45</v>
      </c>
      <c r="K51" s="3186">
        <v>1224.94</v>
      </c>
      <c r="L51" s="3186" t="s">
        <v>2815</v>
      </c>
      <c r="M51" s="3186" t="s">
        <v>3166</v>
      </c>
      <c r="N51" s="3186" t="s">
        <v>3037</v>
      </c>
    </row>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0" sqref="I30"/>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1725</v>
      </c>
      <c r="B1" s="738"/>
      <c r="C1" s="773" t="s">
        <v>2998</v>
      </c>
      <c r="D1" s="3074" t="s">
        <v>3001</v>
      </c>
      <c r="E1" s="2349" t="s">
        <v>2372</v>
      </c>
      <c r="F1" s="2350">
        <f ca="1">J53</f>
        <v>27.13</v>
      </c>
      <c r="G1" s="774">
        <f>MATCH(C1,'数据-取费表'!A6:A16,0)+5</f>
        <v>6</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f ca="1">C40+J29+L46</f>
        <v>-9517</v>
      </c>
      <c r="C2" s="2040"/>
      <c r="D2" s="2038"/>
      <c r="E2" s="2039"/>
      <c r="F2" s="2039"/>
      <c r="G2" s="1574"/>
      <c r="H2" s="2040"/>
      <c r="I2" s="2040"/>
      <c r="J2" s="2040"/>
      <c r="K2" s="2041"/>
      <c r="L2" s="2040"/>
      <c r="M2" s="2040"/>
    </row>
    <row r="3" spans="1:33" ht="18" customHeight="1" thickBot="1">
      <c r="A3" s="833" t="s">
        <v>1727</v>
      </c>
      <c r="B3" s="834">
        <f ca="1">IF(ISERROR(B2*10000/F43),0,ROUND(B2*10000/F43,0))</f>
        <v>-850</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f ca="1">C6+C10+C12</f>
        <v>0</v>
      </c>
      <c r="D5" s="2458" t="s">
        <v>2459</v>
      </c>
      <c r="E5" s="2452"/>
      <c r="F5" s="2453"/>
      <c r="G5" s="1576"/>
      <c r="H5" s="781">
        <v>1</v>
      </c>
      <c r="I5" s="782" t="s">
        <v>2456</v>
      </c>
      <c r="J5" s="55">
        <f ca="1">J6+J10+J12</f>
        <v>0</v>
      </c>
      <c r="K5" s="2458" t="s">
        <v>2459</v>
      </c>
      <c r="L5" s="2452"/>
      <c r="M5" s="2453"/>
    </row>
    <row r="6" spans="1:33" ht="18" customHeight="1">
      <c r="A6" s="1813" t="s">
        <v>1824</v>
      </c>
      <c r="B6" s="3461" t="s">
        <v>2461</v>
      </c>
      <c r="C6" s="783">
        <f ca="1">ROUND(F6*F8*F7*(1-F9)/10000,0)</f>
        <v>0</v>
      </c>
      <c r="D6" s="2459" t="s">
        <v>2460</v>
      </c>
      <c r="E6" s="784" t="s">
        <v>1738</v>
      </c>
      <c r="F6" s="785">
        <f ca="1">INDIRECT("'数据-取费表'!u"&amp;$G$1)</f>
        <v>0</v>
      </c>
      <c r="G6" s="1576"/>
      <c r="H6" s="2466" t="s">
        <v>2466</v>
      </c>
      <c r="I6" s="3461" t="s">
        <v>2461</v>
      </c>
      <c r="J6" s="783">
        <f ca="1">ROUND(M6*M8*M7*(1-M9)/10000,0)</f>
        <v>0</v>
      </c>
      <c r="K6" s="341" t="s">
        <v>1737</v>
      </c>
      <c r="L6" s="784" t="s">
        <v>1738</v>
      </c>
      <c r="M6" s="785">
        <f ca="1">INDIRECT("'数据-取费表'!z"&amp;$G$1)</f>
        <v>0</v>
      </c>
    </row>
    <row r="7" spans="1:33" ht="18" customHeight="1">
      <c r="A7" s="2462"/>
      <c r="B7" s="3462"/>
      <c r="C7" s="788"/>
      <c r="D7" s="789"/>
      <c r="E7" s="784" t="s">
        <v>1739</v>
      </c>
      <c r="F7" s="785">
        <f ca="1">IF(INDIRECT("'数据-取费表'!ah"&amp;$G$1)="",INDIRECT("'数据-取费表'!k"&amp;$G$1),INDIRECT("'数据-取费表'!ah"&amp;$G$1))</f>
        <v>111957.3</v>
      </c>
      <c r="G7" s="1576"/>
      <c r="H7" s="2451"/>
      <c r="I7" s="3462"/>
      <c r="J7" s="788"/>
      <c r="K7" s="789"/>
      <c r="L7" s="784" t="s">
        <v>1739</v>
      </c>
      <c r="M7" s="785">
        <f ca="1">F7</f>
        <v>111957.3</v>
      </c>
    </row>
    <row r="8" spans="1:33" ht="18" customHeight="1">
      <c r="A8" s="2455"/>
      <c r="B8" s="3463"/>
      <c r="C8" s="788"/>
      <c r="D8" s="789"/>
      <c r="E8" s="784" t="s">
        <v>1740</v>
      </c>
      <c r="F8" s="785">
        <f ca="1">INDIRECT("'数据-取费表'!ai"&amp;$G$1)</f>
        <v>365</v>
      </c>
      <c r="G8" s="1576"/>
      <c r="H8" s="2451"/>
      <c r="I8" s="3463"/>
      <c r="J8" s="788"/>
      <c r="K8" s="789"/>
      <c r="L8" s="784" t="s">
        <v>1740</v>
      </c>
      <c r="M8" s="785">
        <f ca="1">INDIRECT("'数据-取费表'!ai"&amp;$G$1)</f>
        <v>365</v>
      </c>
    </row>
    <row r="9" spans="1:33" ht="18" customHeight="1">
      <c r="A9" s="786"/>
      <c r="B9" s="3464"/>
      <c r="C9" s="788"/>
      <c r="D9" s="789"/>
      <c r="E9" s="784" t="s">
        <v>1741</v>
      </c>
      <c r="F9" s="794">
        <f ca="1">INDIRECT("'数据-取费表'!w"&amp;$G$1)</f>
        <v>0</v>
      </c>
      <c r="G9" s="1576"/>
      <c r="H9" s="2467"/>
      <c r="I9" s="3463"/>
      <c r="J9" s="788"/>
      <c r="K9" s="789"/>
      <c r="L9" s="795" t="s">
        <v>1741</v>
      </c>
      <c r="M9" s="796">
        <f ca="1">INDIRECT("'数据-取费表'!ab"&amp;$G$1)</f>
        <v>0</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2467</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2">
        <f ca="1">ROUND(C29*F13,0)</f>
        <v>0</v>
      </c>
      <c r="D13" s="1817" t="s">
        <v>2295</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4" t="s">
        <v>645</v>
      </c>
      <c r="C14" s="804">
        <f ca="1">INDIRECT("'数据-取费表'!m"&amp;$G$1)+INDIRECT("'数据-取费表'!t"&amp;$G$1)</f>
        <v>29109</v>
      </c>
      <c r="D14" s="1962" t="s">
        <v>1745</v>
      </c>
      <c r="E14" s="1963"/>
      <c r="F14" s="805"/>
      <c r="G14" s="1576"/>
      <c r="H14" s="1632" t="s">
        <v>1830</v>
      </c>
      <c r="I14" s="2214" t="s">
        <v>2823</v>
      </c>
      <c r="J14" s="53">
        <f ca="1">C29</f>
        <v>44758</v>
      </c>
      <c r="K14" s="26"/>
      <c r="L14" s="801"/>
      <c r="M14" s="802"/>
    </row>
    <row r="15" spans="1:33" s="2047" customFormat="1" ht="18" customHeight="1" thickBot="1">
      <c r="A15" s="1631" t="s">
        <v>1885</v>
      </c>
      <c r="B15" s="784" t="s">
        <v>647</v>
      </c>
      <c r="C15" s="53">
        <f ca="1">ROUND(C14*F15,0)</f>
        <v>1455</v>
      </c>
      <c r="D15" s="806" t="s">
        <v>1746</v>
      </c>
      <c r="E15" s="806" t="s">
        <v>1747</v>
      </c>
      <c r="F15" s="807">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f ca="1">ROUND(INDIRECT("'数据-取费表'!m"&amp;$G$1)*F16,0)</f>
        <v>0</v>
      </c>
      <c r="D16" s="784" t="s">
        <v>1746</v>
      </c>
      <c r="E16" s="784" t="s">
        <v>1747</v>
      </c>
      <c r="F16" s="809">
        <f ca="1">IF(INDIRECT("'数据-取费表'!c"&amp;$G$1)="住宅",'数据-取费表'!B34,0)</f>
        <v>0</v>
      </c>
      <c r="G16" s="1576"/>
      <c r="H16" s="1812" t="s">
        <v>1748</v>
      </c>
      <c r="I16" s="1810" t="s">
        <v>1749</v>
      </c>
      <c r="J16" s="792">
        <f ca="1">ROUND(J17+J22+J23+J24,0)</f>
        <v>4479</v>
      </c>
      <c r="K16" s="1804" t="s">
        <v>1750</v>
      </c>
      <c r="L16" s="2448"/>
      <c r="M16" s="2453"/>
    </row>
    <row r="17" spans="1:33" s="2047" customFormat="1" ht="18" customHeight="1">
      <c r="A17" s="1631" t="s">
        <v>1887</v>
      </c>
      <c r="B17" s="784" t="s">
        <v>653</v>
      </c>
      <c r="C17" s="53">
        <f ca="1">ROUND(F17*(F43+INDIRECT("'数据-取费表'!S"&amp;$G$1))/10000,0)</f>
        <v>2239</v>
      </c>
      <c r="D17" s="784" t="s">
        <v>1751</v>
      </c>
      <c r="E17" s="784" t="s">
        <v>1752</v>
      </c>
      <c r="F17" s="56">
        <f>'数据-取费表'!B35</f>
        <v>200</v>
      </c>
      <c r="G17" s="1577"/>
      <c r="H17" s="1632" t="s">
        <v>1830</v>
      </c>
      <c r="I17" s="784" t="s">
        <v>656</v>
      </c>
      <c r="J17" s="53">
        <f ca="1">ROUND(IF(项目基本情况!B11="自然人",J6*M17/(1+'数据-取费表'!C42),J18+J19+J20),0)</f>
        <v>3808</v>
      </c>
      <c r="K17" s="2447" t="s">
        <v>1753</v>
      </c>
      <c r="L17" s="2446" t="s">
        <v>1754</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f ca="1">ROUND(C14*F18,0)</f>
        <v>437</v>
      </c>
      <c r="D18" s="784" t="s">
        <v>1746</v>
      </c>
      <c r="E18" s="784" t="s">
        <v>1747</v>
      </c>
      <c r="F18" s="809">
        <f>'数据-取费表'!B36</f>
        <v>1.4999999999999999E-2</v>
      </c>
      <c r="G18" s="1577"/>
      <c r="H18" s="1631" t="s">
        <v>1884</v>
      </c>
      <c r="I18" s="784" t="s">
        <v>1755</v>
      </c>
      <c r="J18" s="53">
        <f ca="1">ROUND(J6*M18/(1+'数据-取费表'!C42),1)</f>
        <v>0</v>
      </c>
      <c r="K18" s="2446" t="s">
        <v>1756</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f ca="1">SUM(C14:C18)</f>
        <v>33240</v>
      </c>
      <c r="D19" s="261" t="s">
        <v>1757</v>
      </c>
      <c r="E19" s="1965"/>
      <c r="F19" s="56"/>
      <c r="G19" s="1576"/>
      <c r="H19" s="1631" t="s">
        <v>1885</v>
      </c>
      <c r="I19" s="784" t="s">
        <v>1758</v>
      </c>
      <c r="J19" s="53">
        <f ca="1">IF(K19="按租金收入计税",ROUND(J6*M19/(1+'数据-取费表'!C42),1),ROUND(C29*F33*0.7,1))</f>
        <v>3759.7</v>
      </c>
      <c r="K19" s="811" t="s">
        <v>665</v>
      </c>
      <c r="L19" s="784" t="s">
        <v>1747</v>
      </c>
      <c r="M19" s="809">
        <f>IF(K19="按租金收入计税",'数据-取费表'!B51,'数据-取费表'!B50)</f>
        <v>1.2E-2</v>
      </c>
    </row>
    <row r="20" spans="1:33" s="2047" customFormat="1" ht="18" customHeight="1">
      <c r="A20" s="1632" t="s">
        <v>1889</v>
      </c>
      <c r="B20" s="784" t="s">
        <v>666</v>
      </c>
      <c r="C20" s="53">
        <f ca="1">ROUND(C19*F20,0)</f>
        <v>665</v>
      </c>
      <c r="D20" s="812" t="s">
        <v>1759</v>
      </c>
      <c r="E20" s="784" t="s">
        <v>1747</v>
      </c>
      <c r="F20" s="809">
        <f>'数据-取费表'!B37</f>
        <v>0.02</v>
      </c>
      <c r="G20" s="1577"/>
      <c r="H20" s="1634" t="s">
        <v>1880</v>
      </c>
      <c r="I20" s="341" t="s">
        <v>1760</v>
      </c>
      <c r="J20" s="54">
        <f ca="1">ROUND(M20*M21/10000,0)</f>
        <v>48</v>
      </c>
      <c r="K20" s="814" t="s">
        <v>1761</v>
      </c>
      <c r="L20" s="784" t="s">
        <v>1762</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1763</v>
      </c>
      <c r="C21" s="53" t="s">
        <v>1764</v>
      </c>
      <c r="D21" s="812" t="s">
        <v>2296</v>
      </c>
      <c r="E21" s="784" t="s">
        <v>1765</v>
      </c>
      <c r="F21" s="809">
        <f>'数据-取费表'!B38</f>
        <v>2.5000000000000001E-2</v>
      </c>
      <c r="G21" s="1577"/>
      <c r="H21" s="2468"/>
      <c r="I21" s="793"/>
      <c r="J21" s="69"/>
      <c r="K21" s="816"/>
      <c r="L21" s="784" t="s">
        <v>1766</v>
      </c>
      <c r="M21" s="785">
        <f ca="1">INDIRECT("'数据-取费表'!r"&amp;$G$1)</f>
        <v>53313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1767</v>
      </c>
      <c r="C22" s="53"/>
      <c r="D22" s="2534" t="str">
        <f>IF(F23&lt;=1,"单利计息。","复利计息。")&amp;"建造成本、管理费用、销售费用产生的利息。"</f>
        <v>复利计息。建造成本、管理费用、销售费用产生的利息。</v>
      </c>
      <c r="E22" s="1965"/>
      <c r="F22" s="56"/>
      <c r="G22" s="1576"/>
      <c r="H22" s="1632" t="s">
        <v>1889</v>
      </c>
      <c r="I22" s="784" t="s">
        <v>1768</v>
      </c>
      <c r="J22" s="53">
        <f ca="1">ROUND(J14*M22,0)</f>
        <v>671</v>
      </c>
      <c r="K22" s="2446" t="s">
        <v>1769</v>
      </c>
      <c r="L22" s="784" t="s">
        <v>1747</v>
      </c>
      <c r="M22" s="817">
        <f ca="1">INDIRECT("'数据-取费表'!Ak"&amp;$G$1)</f>
        <v>1.4999999999999999E-2</v>
      </c>
    </row>
    <row r="23" spans="1:33" s="2047" customFormat="1" ht="18" customHeight="1">
      <c r="A23" s="1631" t="s">
        <v>1831</v>
      </c>
      <c r="B23" s="784" t="s">
        <v>2533</v>
      </c>
      <c r="C23" s="53">
        <f ca="1">ROUND(IF('数据-取费表'!B22&lt;=1,(C19+C20)*F24*F23/2,(C19+C20)*(POWER((1+F24),F23/2)-1)),0)</f>
        <v>2025</v>
      </c>
      <c r="D23" s="2533" t="str">
        <f>IF(F23&lt;=1,"(建造成本+管理费用)×利率×(建设周期÷2)","(建造成本+管理费用)×((1+利率)^(建设周期÷2)-1)")</f>
        <v>(建造成本+管理费用)×((1+利率)^(建设周期÷2)-1)</v>
      </c>
      <c r="E23" s="784" t="s">
        <v>1770</v>
      </c>
      <c r="F23" s="640">
        <f>'数据-取费表'!B20</f>
        <v>2.5</v>
      </c>
      <c r="G23" s="1577"/>
      <c r="H23" s="1632" t="s">
        <v>1890</v>
      </c>
      <c r="I23" s="784" t="s">
        <v>679</v>
      </c>
      <c r="J23" s="53">
        <f ca="1">ROUND(J13*M23,0)</f>
        <v>0</v>
      </c>
      <c r="K23" s="2446" t="s">
        <v>1771</v>
      </c>
      <c r="L23" s="784" t="s">
        <v>1747</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1772</v>
      </c>
      <c r="C24" s="53">
        <f ca="1">ROUND(IF('数据-取费表'!B22&lt;=1,F21*F24*F23/2,F21*(POWER((1+F24),F23/2)-1)),4)</f>
        <v>1.5E-3</v>
      </c>
      <c r="D24" s="2533" t="str">
        <f>IF(F23&lt;=1,"销售费用×利率×(建设周期÷2)","销售费用×((1+利率)^(建设周期÷2)-1)")</f>
        <v>销售费用×((1+利率)^(建设周期÷2)-1)</v>
      </c>
      <c r="E24" s="784" t="s">
        <v>1773</v>
      </c>
      <c r="F24" s="819">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1775</v>
      </c>
      <c r="E25" s="1965"/>
      <c r="F25" s="56"/>
      <c r="G25" s="1576"/>
      <c r="H25" s="1812" t="s">
        <v>1776</v>
      </c>
      <c r="I25" s="2959" t="s">
        <v>2819</v>
      </c>
      <c r="J25" s="792">
        <f ca="1">J5-J16</f>
        <v>-4479</v>
      </c>
      <c r="K25" s="2510" t="s">
        <v>1777</v>
      </c>
      <c r="L25" s="2511"/>
      <c r="M25" s="2512"/>
    </row>
    <row r="26" spans="1:33" ht="18" customHeight="1">
      <c r="A26" s="1631" t="s">
        <v>1831</v>
      </c>
      <c r="B26" s="784" t="s">
        <v>2436</v>
      </c>
      <c r="C26" s="53">
        <f ca="1">ROUND((C19+C20)*F26,0)</f>
        <v>5086</v>
      </c>
      <c r="D26" s="812" t="s">
        <v>1778</v>
      </c>
      <c r="E26" s="795" t="s">
        <v>1779</v>
      </c>
      <c r="F26" s="794">
        <f ca="1">INDIRECT("'数据-取费表'!q"&amp;$G$1)</f>
        <v>0.15</v>
      </c>
      <c r="G26" s="1576"/>
      <c r="H26" s="2464" t="s">
        <v>1780</v>
      </c>
      <c r="I26" s="2215" t="s">
        <v>2824</v>
      </c>
      <c r="J26" s="783">
        <f ca="1">IF(J5&lt;&gt;0,ROUND(J25*(1-((1+M28)/(1+M26))^M27)/(M26-M28),0),0)</f>
        <v>0</v>
      </c>
      <c r="K26" s="814" t="s">
        <v>1781</v>
      </c>
      <c r="L26" s="784" t="s">
        <v>2417</v>
      </c>
      <c r="M26" s="794">
        <f ca="1">INDIRECT("'数据-取费表'!I"&amp;$G$1)</f>
        <v>0.06</v>
      </c>
    </row>
    <row r="27" spans="1:33" ht="18" customHeight="1">
      <c r="A27" s="1631" t="s">
        <v>1832</v>
      </c>
      <c r="B27" s="784" t="s">
        <v>686</v>
      </c>
      <c r="C27" s="53">
        <f ca="1">ROUND(F21*F26,4)</f>
        <v>3.8E-3</v>
      </c>
      <c r="D27" s="812" t="s">
        <v>1782</v>
      </c>
      <c r="E27" s="806"/>
      <c r="F27" s="807"/>
      <c r="G27" s="1576"/>
      <c r="H27" s="2465"/>
      <c r="I27" s="787"/>
      <c r="J27" s="788"/>
      <c r="K27" s="821" t="s">
        <v>1783</v>
      </c>
      <c r="L27" s="784" t="s">
        <v>1784</v>
      </c>
      <c r="M27" s="822">
        <f ca="1">INDIRECT("'数据-取费表'!ag"&amp;$G$1)</f>
        <v>0</v>
      </c>
    </row>
    <row r="28" spans="1:33" s="2047" customFormat="1" ht="18" customHeight="1">
      <c r="A28" s="1633" t="s">
        <v>1841</v>
      </c>
      <c r="B28" s="784" t="s">
        <v>687</v>
      </c>
      <c r="C28" s="53">
        <f>ROUND(F28/(1+'数据-取费表'!C42),4)</f>
        <v>5.33E-2</v>
      </c>
      <c r="D28" s="812" t="s">
        <v>2297</v>
      </c>
      <c r="E28" s="784" t="s">
        <v>1785</v>
      </c>
      <c r="F28" s="809">
        <f>'数据-取费表'!B41</f>
        <v>5.6000000000000001E-2</v>
      </c>
      <c r="G28" s="1577"/>
      <c r="H28" s="1812"/>
      <c r="I28" s="791"/>
      <c r="J28" s="792"/>
      <c r="K28" s="816"/>
      <c r="L28" s="784" t="s">
        <v>1786</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f ca="1">ROUND((C19+C20+C23+C26)/(1-F21-C24-C27-C28),0)</f>
        <v>44758</v>
      </c>
      <c r="D29" s="2507"/>
      <c r="E29" s="2508"/>
      <c r="F29" s="2509"/>
      <c r="G29" s="1577"/>
      <c r="H29" s="823" t="s">
        <v>1787</v>
      </c>
      <c r="I29" s="824" t="s">
        <v>1788</v>
      </c>
      <c r="J29" s="825">
        <f ca="1">ROUND(J26/(1+F40)^F41,0)</f>
        <v>0</v>
      </c>
      <c r="K29" s="826" t="s">
        <v>1789</v>
      </c>
      <c r="L29" s="827"/>
      <c r="M29" s="828">
        <f ca="1">INDIRECT("'数据-取费表'!k"&amp;$G$1)</f>
        <v>111957.3</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f ca="1">ROUND(C31+C36+C37+C38,0)</f>
        <v>719</v>
      </c>
      <c r="D30" s="1804" t="s">
        <v>1791</v>
      </c>
      <c r="E30" s="2448"/>
      <c r="F30" s="2453"/>
      <c r="G30" s="2045"/>
      <c r="H30" s="2048"/>
      <c r="I30" s="2049"/>
      <c r="J30" s="2050"/>
      <c r="K30" s="2051"/>
      <c r="L30" s="2052"/>
      <c r="M30" s="2053"/>
    </row>
    <row r="31" spans="1:33" ht="18" customHeight="1">
      <c r="A31" s="1632" t="s">
        <v>1830</v>
      </c>
      <c r="B31" s="784" t="s">
        <v>656</v>
      </c>
      <c r="C31" s="53">
        <f ca="1">ROUND(IF(项目基本情况!B11="自然人",C6*F31/(1+'数据-取费表'!C42),C32+C33+C34),1)</f>
        <v>48</v>
      </c>
      <c r="D31" s="1962" t="s">
        <v>1792</v>
      </c>
      <c r="E31" s="1960"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f ca="1">ROUND(C6*F32/(1+'数据-取费表'!C42),1)</f>
        <v>0</v>
      </c>
      <c r="D32" s="1960"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f ca="1">IF(D33="按租金收入计税",ROUND(C6*F33/(1+'数据-取费表'!C42),1),IF(D33="按房产原值计税",ROUND(C29*F33*0.7,1),INDIRECT("'数据-取费表'!Aj"&amp;$G$1)))</f>
        <v>0</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f ca="1">ROUND(F34*F35/10000,1)</f>
        <v>48</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f ca="1">INDIRECT("'数据-取费表'!r"&amp;$G$1)</f>
        <v>53313</v>
      </c>
      <c r="G35" s="2045"/>
      <c r="H35" s="2048"/>
      <c r="I35" s="837" t="s">
        <v>1814</v>
      </c>
      <c r="J35" s="838">
        <f ca="1">ROUND(C13*J36,0)</f>
        <v>0</v>
      </c>
      <c r="K35" s="2061"/>
      <c r="L35" s="2060"/>
      <c r="M35" s="2060"/>
    </row>
    <row r="36" spans="1:18" ht="18" customHeight="1">
      <c r="A36" s="1632" t="s">
        <v>1889</v>
      </c>
      <c r="B36" s="784" t="s">
        <v>1802</v>
      </c>
      <c r="C36" s="53">
        <f ca="1">ROUND(C29*F36,1)</f>
        <v>671.4</v>
      </c>
      <c r="D36" s="1960" t="s">
        <v>1803</v>
      </c>
      <c r="E36" s="784" t="s">
        <v>1796</v>
      </c>
      <c r="F36" s="817">
        <f ca="1">INDIRECT("'数据-取费表'!Ak"&amp;$G$1)</f>
        <v>1.4999999999999999E-2</v>
      </c>
      <c r="G36" s="2045"/>
      <c r="H36" s="2060"/>
      <c r="I36" s="839" t="s">
        <v>1815</v>
      </c>
      <c r="J36" s="840">
        <f ca="1">INDIRECT("'数据-取费表'!j"&amp;$G$1)</f>
        <v>8.5000000000000006E-2</v>
      </c>
      <c r="K36" s="2065"/>
      <c r="L36" s="2060"/>
      <c r="M36" s="2060"/>
    </row>
    <row r="37" spans="1:18" ht="18" customHeight="1">
      <c r="A37" s="1632" t="s">
        <v>1890</v>
      </c>
      <c r="B37" s="784" t="s">
        <v>679</v>
      </c>
      <c r="C37" s="53">
        <f ca="1">ROUND(C13*F37,1)</f>
        <v>0</v>
      </c>
      <c r="D37" s="1960" t="s">
        <v>1804</v>
      </c>
      <c r="E37" s="784" t="s">
        <v>1796</v>
      </c>
      <c r="F37" s="818">
        <f ca="1">INDIRECT("'数据-取费表'!Al"&amp;$G$1)</f>
        <v>1.5E-3</v>
      </c>
      <c r="G37" s="2045"/>
      <c r="H37" s="2060"/>
      <c r="I37" s="841" t="s">
        <v>1816</v>
      </c>
      <c r="J37" s="842"/>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3" t="s">
        <v>1817</v>
      </c>
      <c r="J38" s="844"/>
      <c r="K38" s="2066"/>
      <c r="L38" s="2060"/>
      <c r="M38" s="2060"/>
    </row>
    <row r="39" spans="1:18" ht="24.6" customHeight="1" thickTop="1">
      <c r="A39" s="1812" t="s">
        <v>1894</v>
      </c>
      <c r="B39" s="2959" t="s">
        <v>2819</v>
      </c>
      <c r="C39" s="792">
        <f ca="1">C5-C30</f>
        <v>-719</v>
      </c>
      <c r="D39" s="2510" t="s">
        <v>1806</v>
      </c>
      <c r="E39" s="2511"/>
      <c r="F39" s="2512"/>
      <c r="G39" s="2045"/>
      <c r="H39" s="2060"/>
      <c r="I39" s="837" t="s">
        <v>1818</v>
      </c>
      <c r="J39" s="845">
        <f ca="1">ROUND(J35/C39,3)</f>
        <v>0</v>
      </c>
      <c r="K39" s="2066"/>
      <c r="L39" s="2060"/>
      <c r="M39" s="2060"/>
    </row>
    <row r="40" spans="1:18" ht="18" customHeight="1">
      <c r="A40" s="781" t="s">
        <v>1895</v>
      </c>
      <c r="B40" s="2215" t="s">
        <v>2299</v>
      </c>
      <c r="C40" s="783">
        <f ca="1">ROUND(C39*(1-((1+F42)/(1+F40))^F41)/(F40-F42),0)</f>
        <v>-9517</v>
      </c>
      <c r="D40" s="814" t="s">
        <v>1807</v>
      </c>
      <c r="E40" s="784" t="s">
        <v>2417</v>
      </c>
      <c r="F40" s="794">
        <f ca="1">INDIRECT("'数据-取费表'!I"&amp;$G$1)</f>
        <v>0.06</v>
      </c>
      <c r="G40" s="2045"/>
      <c r="H40" s="2045"/>
      <c r="I40" s="837" t="s">
        <v>1819</v>
      </c>
      <c r="J40" s="845">
        <f ca="1">1-J39</f>
        <v>1</v>
      </c>
      <c r="K40" s="2066"/>
      <c r="L40" s="2045"/>
      <c r="M40" s="2045"/>
    </row>
    <row r="41" spans="1:18" ht="18" customHeight="1">
      <c r="A41" s="786"/>
      <c r="B41" s="787"/>
      <c r="C41" s="788"/>
      <c r="D41" s="821" t="s">
        <v>1808</v>
      </c>
      <c r="E41" s="784" t="s">
        <v>2952</v>
      </c>
      <c r="F41" s="822">
        <f ca="1">IF(INDIRECT("'数据-取费表'!af"&amp;$G$1)=0,INDIRECT("'数据-取费表'!ae"&amp;$G$1),INDIRECT("'数据-取费表'!af"&amp;$G$1))</f>
        <v>27.13</v>
      </c>
      <c r="G41" s="2045"/>
      <c r="H41" s="1971"/>
      <c r="I41" s="843" t="s">
        <v>1820</v>
      </c>
      <c r="J41" s="846"/>
      <c r="K41" s="2065"/>
      <c r="L41" s="1971"/>
      <c r="M41" s="1971"/>
    </row>
    <row r="42" spans="1:18" ht="18" customHeight="1">
      <c r="A42" s="790"/>
      <c r="B42" s="791"/>
      <c r="C42" s="792"/>
      <c r="D42" s="816"/>
      <c r="E42" s="784" t="s">
        <v>1809</v>
      </c>
      <c r="F42" s="794">
        <f ca="1">INDIRECT("'数据-取费表'!v"&amp;$G$1)</f>
        <v>0</v>
      </c>
      <c r="G42" s="2045"/>
      <c r="H42" s="1971"/>
      <c r="I42" s="847" t="s">
        <v>1821</v>
      </c>
      <c r="J42" s="845">
        <f ca="1">ROUND(C13/C40,3)</f>
        <v>0</v>
      </c>
      <c r="K42" s="2065"/>
      <c r="L42" s="1971"/>
      <c r="M42" s="1971"/>
    </row>
    <row r="43" spans="1:18" ht="18" customHeight="1" thickBot="1">
      <c r="A43" s="823" t="s">
        <v>1787</v>
      </c>
      <c r="B43" s="824" t="s">
        <v>1810</v>
      </c>
      <c r="C43" s="825">
        <f ca="1">ROUND(C40*10000/F43,0)</f>
        <v>-850</v>
      </c>
      <c r="D43" s="826" t="s">
        <v>1811</v>
      </c>
      <c r="E43" s="827" t="s">
        <v>1812</v>
      </c>
      <c r="F43" s="828">
        <f ca="1">INDIRECT("'数据-取费表'!k"&amp;$G$1)</f>
        <v>111957.3</v>
      </c>
      <c r="G43" s="2045"/>
      <c r="H43" s="1971"/>
      <c r="I43" s="847" t="s">
        <v>1822</v>
      </c>
      <c r="J43" s="848">
        <f ca="1">1-J42</f>
        <v>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f ca="1">C67-C40</f>
        <v>0</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f ca="1">C48+C52+C54</f>
        <v>0</v>
      </c>
      <c r="D47" s="2068"/>
      <c r="E47" s="2068"/>
      <c r="F47" s="2068"/>
      <c r="I47" s="3096" t="s">
        <v>2342</v>
      </c>
      <c r="J47" s="2343" t="s">
        <v>3003</v>
      </c>
      <c r="K47" s="3102" t="s">
        <v>2347</v>
      </c>
      <c r="L47" s="3106">
        <f ca="1">INDIRECT("'数据-取费表'!d"&amp;$G$1)</f>
        <v>40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5" t="s">
        <v>2343</v>
      </c>
      <c r="J48" s="2344" t="s">
        <v>2348</v>
      </c>
      <c r="K48" s="3103" t="s">
        <v>2349</v>
      </c>
      <c r="L48" s="1891">
        <f ca="1">INDIRECT("'数据-取费表'!f"&amp;$G$1)</f>
        <v>29.63</v>
      </c>
      <c r="O48" s="2360" t="s">
        <v>2377</v>
      </c>
      <c r="P48" s="2361" t="s">
        <v>2403</v>
      </c>
      <c r="Q48" s="2362">
        <f ca="1">C40+J29</f>
        <v>-9517</v>
      </c>
      <c r="R48" s="2361" t="s">
        <v>2378</v>
      </c>
    </row>
    <row r="49" spans="1:18" s="2042" customFormat="1" ht="18" customHeight="1" thickBot="1">
      <c r="A49" s="786"/>
      <c r="B49" s="787"/>
      <c r="C49" s="788"/>
      <c r="D49" s="789"/>
      <c r="E49" s="784" t="s">
        <v>1739</v>
      </c>
      <c r="F49" s="785">
        <f ca="1">F7</f>
        <v>111957.3</v>
      </c>
      <c r="G49" s="2073"/>
      <c r="H49" s="2076"/>
      <c r="I49" s="3075" t="s">
        <v>2344</v>
      </c>
      <c r="J49" s="2345"/>
      <c r="K49" s="3104" t="s">
        <v>2350</v>
      </c>
      <c r="L49" s="2346"/>
      <c r="O49" s="2360" t="s">
        <v>2379</v>
      </c>
      <c r="P49" s="2361" t="s">
        <v>2404</v>
      </c>
      <c r="Q49" s="2362">
        <f ca="1">J60</f>
        <v>22648</v>
      </c>
      <c r="R49" s="2361" t="s">
        <v>2380</v>
      </c>
    </row>
    <row r="50" spans="1:18" s="2042" customFormat="1" ht="18" customHeight="1" thickBot="1">
      <c r="A50" s="786"/>
      <c r="B50" s="787"/>
      <c r="C50" s="788"/>
      <c r="D50" s="789"/>
      <c r="E50" s="784" t="s">
        <v>1740</v>
      </c>
      <c r="F50" s="785">
        <f ca="1">F8</f>
        <v>365</v>
      </c>
      <c r="G50" s="2078"/>
      <c r="H50" s="2076"/>
      <c r="I50" s="3075" t="s">
        <v>2345</v>
      </c>
      <c r="J50" s="3100">
        <f>SUMPRODUCT((I63:I65=J47)*(J62:L62=J48)*(J63:L65))</f>
        <v>60</v>
      </c>
      <c r="K50" s="3104" t="s">
        <v>2351</v>
      </c>
      <c r="L50" s="2346"/>
      <c r="O50" s="2363" t="s">
        <v>2381</v>
      </c>
      <c r="P50" s="2361" t="s">
        <v>2405</v>
      </c>
      <c r="Q50" s="2362">
        <f ca="1">C29</f>
        <v>44758</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f ca="1">ROUND(-PV(INDIRECT("'数据-取费表'!h"&amp;$G$1),L48,(C39-C13*J36),0),0)</f>
        <v>-10397</v>
      </c>
      <c r="O51" s="2363" t="s">
        <v>2382</v>
      </c>
      <c r="P51" s="2361" t="s">
        <v>2383</v>
      </c>
      <c r="Q51" s="2364">
        <f ca="1">J58</f>
        <v>0.50600000000000001</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f ca="1">IF(M47="住宅",IF(D1="——",MAX(J51,L48),MAX(J51,L48-'数据-取费表'!B20)),IF(D1="——",MIN(J51,L48),MIN(J51,L48-'数据-取费表'!B20)))</f>
        <v>27.13</v>
      </c>
      <c r="K53" s="3467" t="s">
        <v>2954</v>
      </c>
      <c r="L53" s="3468"/>
      <c r="O53" s="2363" t="s">
        <v>2386</v>
      </c>
      <c r="P53" s="2361" t="s">
        <v>2387</v>
      </c>
      <c r="Q53" s="2362">
        <f ca="1">J53</f>
        <v>27.13</v>
      </c>
      <c r="R53" s="2361" t="s">
        <v>2388</v>
      </c>
    </row>
    <row r="54" spans="1:18" s="2042" customFormat="1" ht="18" customHeight="1" thickBot="1">
      <c r="A54" s="2499" t="s">
        <v>2465</v>
      </c>
      <c r="B54" s="2500" t="s">
        <v>2458</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13131</v>
      </c>
      <c r="R54" s="2365" t="s">
        <v>2390</v>
      </c>
    </row>
    <row r="55" spans="1:18" s="2042" customFormat="1" ht="18" customHeight="1" thickTop="1" thickBot="1">
      <c r="A55" s="797">
        <v>2</v>
      </c>
      <c r="B55" s="798" t="s">
        <v>644</v>
      </c>
      <c r="C55" s="799">
        <f ca="1">C13</f>
        <v>0</v>
      </c>
      <c r="D55" s="795"/>
      <c r="E55" s="795"/>
      <c r="F55" s="800"/>
      <c r="I55" s="3110" t="s">
        <v>2353</v>
      </c>
      <c r="J55" s="3050">
        <f ca="1">ROUND(IF(J47="钢混",J57/J50,1-(1-2%)*(J50-J57)/J50),3)</f>
        <v>0.50600000000000001</v>
      </c>
      <c r="K55" s="3111" t="s">
        <v>2354</v>
      </c>
      <c r="L55" s="2348"/>
      <c r="O55" s="2366" t="s">
        <v>2409</v>
      </c>
      <c r="P55" s="1576"/>
      <c r="Q55" s="1587"/>
      <c r="R55" s="1576"/>
    </row>
    <row r="56" spans="1:18" s="2042" customFormat="1" ht="42.75" customHeight="1" thickBot="1">
      <c r="A56" s="1633"/>
      <c r="B56" s="2214" t="s">
        <v>2300</v>
      </c>
      <c r="C56" s="53">
        <f ca="1">C29</f>
        <v>44758</v>
      </c>
      <c r="D56" s="2601"/>
      <c r="E56" s="784"/>
      <c r="F56" s="809"/>
      <c r="I56" s="3112" t="s">
        <v>2355</v>
      </c>
      <c r="J56" s="3122"/>
      <c r="K56" s="3075" t="s">
        <v>2360</v>
      </c>
      <c r="L56" s="1891" t="str">
        <f ca="1">IF(L48&lt;J51,"——",L48-J51)</f>
        <v>——</v>
      </c>
      <c r="O56" s="2357" t="s">
        <v>2373</v>
      </c>
      <c r="P56" s="2358" t="s">
        <v>2374</v>
      </c>
      <c r="Q56" s="2359" t="s">
        <v>2375</v>
      </c>
      <c r="R56" s="2358" t="s">
        <v>2376</v>
      </c>
    </row>
    <row r="57" spans="1:18" s="2042" customFormat="1" ht="28.5" customHeight="1" thickBot="1">
      <c r="A57" s="797" t="s">
        <v>1748</v>
      </c>
      <c r="B57" s="798" t="s">
        <v>651</v>
      </c>
      <c r="C57" s="799">
        <f ca="1">ROUND(C58+C63+C64+C65,0)</f>
        <v>719</v>
      </c>
      <c r="D57" s="26" t="s">
        <v>1750</v>
      </c>
      <c r="E57" s="2602"/>
      <c r="F57" s="56"/>
      <c r="I57" s="3113" t="s">
        <v>2356</v>
      </c>
      <c r="J57" s="3114">
        <f ca="1">IF(OR(M47="住宅",J51&lt;L48,J56="是"),"——",J51-L48)</f>
        <v>30.37</v>
      </c>
      <c r="K57" s="3075" t="s">
        <v>2361</v>
      </c>
      <c r="L57" s="1891" t="str">
        <f ca="1">IF(L48&lt;J51,"——",IF(L55="比较法",L49,IF(L55="基准地价",L50,L51)))</f>
        <v>——</v>
      </c>
      <c r="O57" s="2360" t="s">
        <v>2377</v>
      </c>
      <c r="P57" s="2361" t="s">
        <v>2407</v>
      </c>
      <c r="Q57" s="2362">
        <f ca="1">C40+J29</f>
        <v>-9517</v>
      </c>
      <c r="R57" s="2361" t="s">
        <v>2378</v>
      </c>
    </row>
    <row r="58" spans="1:18" s="2042" customFormat="1" ht="28.5" customHeight="1" thickBot="1">
      <c r="A58" s="1632" t="s">
        <v>1824</v>
      </c>
      <c r="B58" s="784" t="s">
        <v>656</v>
      </c>
      <c r="C58" s="53">
        <f ca="1">ROUND(IF(项目基本情况!B11="自然人",C47*F58,C59+C60+C61),1)</f>
        <v>48</v>
      </c>
      <c r="D58" s="2600" t="s">
        <v>657</v>
      </c>
      <c r="E58" s="2601" t="s">
        <v>690</v>
      </c>
      <c r="F58" s="810" t="str">
        <f ca="1">IF(项目基本情况!B11="企业","",IF(INDIRECT("'数据-取费表'!c"&amp;$G$1)="住宅",5%,IF(F48*F49*F50/12/(1+'数据-取费表'!C42)&gt;20000,12%,7%)))</f>
        <v/>
      </c>
      <c r="I58" s="3113" t="s">
        <v>2357</v>
      </c>
      <c r="J58" s="3051">
        <f ca="1">IF(J55&lt;0.4,0.4,J55)</f>
        <v>0.50600000000000001</v>
      </c>
      <c r="K58" s="3075"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4" t="s">
        <v>660</v>
      </c>
      <c r="C59" s="53">
        <f ca="1">ROUND(C47*F59/1.05,1)</f>
        <v>0</v>
      </c>
      <c r="D59" s="2601" t="s">
        <v>1756</v>
      </c>
      <c r="E59" s="784" t="s">
        <v>1747</v>
      </c>
      <c r="F59" s="809">
        <f t="shared" ref="F59:F65" si="0">F32</f>
        <v>5.6000000000000001E-2</v>
      </c>
      <c r="I59" s="3113" t="s">
        <v>2358</v>
      </c>
      <c r="J59" s="3114">
        <f ca="1">IF(OR(M47="住宅",J51&lt;L48,J56="是"),"——",ROUND(C29*J58,0))</f>
        <v>22648</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4" t="s">
        <v>1758</v>
      </c>
      <c r="C60" s="53">
        <f ca="1">IF(D60="按租金收入计税",ROUND(C47*F60,1),IF(D60="按房产原值计税",ROUND(C56*F60*0.7,1),INDIRECT("'数据-取费表'!Aj"&amp;$G$1)))</f>
        <v>0</v>
      </c>
      <c r="D60" s="2601" t="str">
        <f>D33</f>
        <v>按租金收入计税</v>
      </c>
      <c r="E60" s="784" t="s">
        <v>1747</v>
      </c>
      <c r="F60" s="809">
        <f t="shared" si="0"/>
        <v>0.12</v>
      </c>
      <c r="I60" s="3115" t="s">
        <v>2359</v>
      </c>
      <c r="J60" s="3116">
        <f ca="1">IF(OR(M47="住宅",J51&lt;L48,J56="是"),"0",ROUND(J59/(1+J52)^J53,0))</f>
        <v>22648</v>
      </c>
      <c r="K60" s="3117" t="s">
        <v>2364</v>
      </c>
      <c r="L60" s="3116">
        <f ca="1">IF(OR(M47="住宅",L48&lt;J51),0,ROUND(L57*(L58/L59-1),0))</f>
        <v>0</v>
      </c>
      <c r="O60" s="2363" t="s">
        <v>2382</v>
      </c>
      <c r="P60" s="2361" t="s">
        <v>2391</v>
      </c>
      <c r="Q60" s="2364">
        <f>L52</f>
        <v>0</v>
      </c>
      <c r="R60" s="2365"/>
    </row>
    <row r="61" spans="1:18" s="2042" customFormat="1" ht="18" customHeight="1" thickBot="1">
      <c r="A61" s="1634" t="s">
        <v>1833</v>
      </c>
      <c r="B61" s="341" t="s">
        <v>668</v>
      </c>
      <c r="C61" s="54">
        <f ca="1">ROUND(F61*F62/10000,1)</f>
        <v>48</v>
      </c>
      <c r="D61" s="814" t="s">
        <v>669</v>
      </c>
      <c r="E61" s="784" t="s">
        <v>670</v>
      </c>
      <c r="F61" s="640">
        <f t="shared" si="0"/>
        <v>9</v>
      </c>
      <c r="K61" s="2069"/>
      <c r="O61" s="2363" t="s">
        <v>2384</v>
      </c>
      <c r="P61" s="2361" t="s">
        <v>2392</v>
      </c>
      <c r="Q61" s="2362" t="e">
        <f ca="1">L58</f>
        <v>#DIV/0!</v>
      </c>
      <c r="R61" s="2365" t="s">
        <v>2393</v>
      </c>
    </row>
    <row r="62" spans="1:18" s="2042" customFormat="1" ht="15.75" thickBot="1">
      <c r="A62" s="815"/>
      <c r="B62" s="793"/>
      <c r="C62" s="69"/>
      <c r="D62" s="816"/>
      <c r="E62" s="784" t="s">
        <v>674</v>
      </c>
      <c r="F62" s="785">
        <f t="shared" ca="1" si="0"/>
        <v>53313</v>
      </c>
      <c r="I62" s="3118" t="s">
        <v>2365</v>
      </c>
      <c r="J62" s="3119" t="s">
        <v>2366</v>
      </c>
      <c r="K62" s="3119" t="s">
        <v>2367</v>
      </c>
      <c r="L62" s="3119" t="s">
        <v>2348</v>
      </c>
      <c r="M62" s="3120" t="s">
        <v>2931</v>
      </c>
      <c r="O62" s="2363" t="s">
        <v>2386</v>
      </c>
      <c r="P62" s="2361" t="str">
        <f>K59</f>
        <v>建设期及建筑物耐用年限下的土地年期修正系数Kn</v>
      </c>
      <c r="Q62" s="2362" t="e">
        <f ca="1">L59</f>
        <v>#DIV/0!</v>
      </c>
      <c r="R62" s="2365" t="s">
        <v>2395</v>
      </c>
    </row>
    <row r="63" spans="1:18" s="2042" customFormat="1" ht="15.75" thickBot="1">
      <c r="A63" s="1632" t="s">
        <v>1889</v>
      </c>
      <c r="B63" s="784" t="s">
        <v>676</v>
      </c>
      <c r="C63" s="53">
        <f ca="1">ROUND(C56*F63,1)</f>
        <v>671.4</v>
      </c>
      <c r="D63" s="2601" t="s">
        <v>1803</v>
      </c>
      <c r="E63" s="784" t="s">
        <v>1747</v>
      </c>
      <c r="F63" s="817">
        <f t="shared" ca="1" si="0"/>
        <v>1.4999999999999999E-2</v>
      </c>
      <c r="I63" s="3118" t="s">
        <v>2368</v>
      </c>
      <c r="J63" s="3119">
        <v>70</v>
      </c>
      <c r="K63" s="3119">
        <v>50</v>
      </c>
      <c r="L63" s="3119">
        <v>80</v>
      </c>
      <c r="M63" s="3121">
        <v>0.02</v>
      </c>
      <c r="O63" s="2360" t="s">
        <v>2389</v>
      </c>
      <c r="P63" s="2361" t="s">
        <v>2406</v>
      </c>
      <c r="Q63" s="2362">
        <f ca="1">Q57+Q58</f>
        <v>-9517</v>
      </c>
      <c r="R63" s="2365" t="s">
        <v>2390</v>
      </c>
    </row>
    <row r="64" spans="1:18" s="2042" customFormat="1" ht="16.5" thickBot="1">
      <c r="A64" s="1632" t="s">
        <v>1890</v>
      </c>
      <c r="B64" s="784" t="s">
        <v>679</v>
      </c>
      <c r="C64" s="53">
        <f ca="1">ROUND(C55*F64,1)</f>
        <v>0</v>
      </c>
      <c r="D64" s="2601" t="s">
        <v>680</v>
      </c>
      <c r="E64" s="784" t="s">
        <v>1747</v>
      </c>
      <c r="F64" s="818">
        <f t="shared" ca="1" si="0"/>
        <v>1.5E-3</v>
      </c>
      <c r="I64" s="3118" t="s">
        <v>2369</v>
      </c>
      <c r="J64" s="3119">
        <v>50</v>
      </c>
      <c r="K64" s="3119">
        <v>35</v>
      </c>
      <c r="L64" s="3119">
        <v>60</v>
      </c>
      <c r="M64" s="846">
        <v>0</v>
      </c>
      <c r="O64" s="2366" t="s">
        <v>2413</v>
      </c>
      <c r="P64" s="1576"/>
      <c r="Q64" s="1587"/>
      <c r="R64" s="1576"/>
    </row>
    <row r="65" spans="1:18" s="2042" customFormat="1" ht="15.75" thickBot="1">
      <c r="A65" s="1632" t="s">
        <v>1891</v>
      </c>
      <c r="B65" s="784" t="s">
        <v>666</v>
      </c>
      <c r="C65" s="53">
        <f ca="1">ROUND(C47*F65,1)</f>
        <v>0</v>
      </c>
      <c r="D65" s="2601" t="s">
        <v>683</v>
      </c>
      <c r="E65" s="784" t="s">
        <v>1747</v>
      </c>
      <c r="F65" s="794">
        <f t="shared" ca="1" si="0"/>
        <v>0.01</v>
      </c>
      <c r="I65" s="3118" t="s">
        <v>2370</v>
      </c>
      <c r="J65" s="3119">
        <v>40</v>
      </c>
      <c r="K65" s="3119">
        <v>30</v>
      </c>
      <c r="L65" s="3119">
        <v>50</v>
      </c>
      <c r="M65" s="3121">
        <v>0.02</v>
      </c>
      <c r="O65" s="2357" t="s">
        <v>2373</v>
      </c>
      <c r="P65" s="2358" t="s">
        <v>2374</v>
      </c>
      <c r="Q65" s="2359" t="s">
        <v>2375</v>
      </c>
      <c r="R65" s="2358" t="s">
        <v>2376</v>
      </c>
    </row>
    <row r="66" spans="1:18" s="2042" customFormat="1" ht="24.75" thickBot="1">
      <c r="A66" s="797" t="s">
        <v>1776</v>
      </c>
      <c r="B66" s="2960" t="s">
        <v>2819</v>
      </c>
      <c r="C66" s="799">
        <f ca="1">C47-C57</f>
        <v>-719</v>
      </c>
      <c r="D66" s="2600" t="s">
        <v>700</v>
      </c>
      <c r="E66" s="2599"/>
      <c r="F66" s="820"/>
      <c r="K66" s="2069"/>
      <c r="O66" s="2360" t="s">
        <v>2377</v>
      </c>
      <c r="P66" s="2361" t="s">
        <v>2407</v>
      </c>
      <c r="Q66" s="2362">
        <f ca="1">C40+J29</f>
        <v>-9517</v>
      </c>
      <c r="R66" s="2361" t="s">
        <v>2378</v>
      </c>
    </row>
    <row r="67" spans="1:18" s="2042" customFormat="1" ht="20.25" thickBot="1">
      <c r="A67" s="781" t="s">
        <v>1780</v>
      </c>
      <c r="B67" s="2215" t="s">
        <v>2299</v>
      </c>
      <c r="C67" s="783">
        <f ca="1">ROUND(C66*(1-((1+F69)/(1+F67))^F68)/(F67-F69),0)</f>
        <v>-9517</v>
      </c>
      <c r="D67" s="814" t="s">
        <v>704</v>
      </c>
      <c r="E67" s="784" t="s">
        <v>705</v>
      </c>
      <c r="F67" s="794">
        <f ca="1">F40</f>
        <v>0.06</v>
      </c>
      <c r="K67" s="2069"/>
      <c r="O67" s="2360" t="s">
        <v>2379</v>
      </c>
      <c r="P67" s="2361" t="s">
        <v>2410</v>
      </c>
      <c r="Q67" s="2362">
        <f ca="1">L60</f>
        <v>0</v>
      </c>
      <c r="R67" s="2365" t="s">
        <v>2412</v>
      </c>
    </row>
    <row r="68" spans="1:18" ht="21.75" thickBot="1">
      <c r="A68" s="786"/>
      <c r="B68" s="787"/>
      <c r="C68" s="788"/>
      <c r="D68" s="821" t="s">
        <v>1808</v>
      </c>
      <c r="E68" s="784" t="s">
        <v>1784</v>
      </c>
      <c r="F68" s="822">
        <f ca="1">F41</f>
        <v>27.13</v>
      </c>
      <c r="O68" s="2363" t="s">
        <v>2381</v>
      </c>
      <c r="P68" s="2361" t="s">
        <v>2411</v>
      </c>
      <c r="Q68" s="2367">
        <f ca="1">L51</f>
        <v>-10397</v>
      </c>
      <c r="R68" s="2368" t="s">
        <v>2414</v>
      </c>
    </row>
    <row r="69" spans="1:18" ht="20.25" thickBot="1">
      <c r="A69" s="790"/>
      <c r="B69" s="791"/>
      <c r="C69" s="792"/>
      <c r="D69" s="816"/>
      <c r="E69" s="784" t="s">
        <v>710</v>
      </c>
      <c r="F69" s="2333"/>
      <c r="O69" s="2363" t="s">
        <v>2382</v>
      </c>
      <c r="P69" s="2369" t="s">
        <v>2396</v>
      </c>
      <c r="Q69" s="2362">
        <f ca="1">ROUND(Q70-Q71*Q72,0)</f>
        <v>-719</v>
      </c>
      <c r="R69" s="2365"/>
    </row>
    <row r="70" spans="1:18" ht="15.75" thickBot="1">
      <c r="A70" s="823" t="s">
        <v>1787</v>
      </c>
      <c r="B70" s="824" t="s">
        <v>1810</v>
      </c>
      <c r="C70" s="825">
        <f ca="1">ROUND(C67*10000/F70,0)</f>
        <v>-850</v>
      </c>
      <c r="D70" s="826" t="s">
        <v>1811</v>
      </c>
      <c r="E70" s="827" t="s">
        <v>1812</v>
      </c>
      <c r="F70" s="828">
        <f ca="1">F43</f>
        <v>111957.3</v>
      </c>
      <c r="O70" s="2363" t="s">
        <v>2397</v>
      </c>
      <c r="P70" s="2369" t="s">
        <v>2398</v>
      </c>
      <c r="Q70" s="2362">
        <f ca="1">C39</f>
        <v>-719</v>
      </c>
      <c r="R70" s="2361" t="s">
        <v>2378</v>
      </c>
    </row>
    <row r="71" spans="1:18" ht="15.75" thickBot="1">
      <c r="O71" s="2363" t="s">
        <v>2399</v>
      </c>
      <c r="P71" s="2369" t="s">
        <v>2400</v>
      </c>
      <c r="Q71" s="2362">
        <f ca="1">C13</f>
        <v>0</v>
      </c>
      <c r="R71" s="2361" t="s">
        <v>2378</v>
      </c>
    </row>
    <row r="72" spans="1:18" ht="15.75" thickBot="1">
      <c r="O72" s="2363" t="s">
        <v>2401</v>
      </c>
      <c r="P72" s="2369" t="s">
        <v>2402</v>
      </c>
      <c r="Q72" s="2364">
        <f ca="1">J36</f>
        <v>8.5000000000000006E-2</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建设期及建筑物耐用年限下的土地年期修正系数Kn</v>
      </c>
      <c r="Q75" s="2362" t="e">
        <f ca="1">L59</f>
        <v>#DIV/0!</v>
      </c>
      <c r="R75" s="2365" t="s">
        <v>2395</v>
      </c>
    </row>
    <row r="76" spans="1:18" ht="15.75" thickBot="1">
      <c r="O76" s="2360" t="s">
        <v>2389</v>
      </c>
      <c r="P76" s="2361" t="s">
        <v>2406</v>
      </c>
      <c r="Q76" s="2362">
        <f ca="1">Q66+Q67</f>
        <v>-9517</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2" sqref="I22"/>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1725</v>
      </c>
      <c r="B1" s="738"/>
      <c r="C1" s="773" t="s">
        <v>35</v>
      </c>
      <c r="D1" s="3074" t="s">
        <v>3001</v>
      </c>
      <c r="E1" s="2349" t="s">
        <v>2372</v>
      </c>
      <c r="F1" s="2350" t="e">
        <f ca="1">J53</f>
        <v>#N/A</v>
      </c>
      <c r="G1" s="774" t="e">
        <f>MATCH(C1,'数据-取费表'!A6:A16,0)+5</f>
        <v>#N/A</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t="e">
        <f ca="1">C40+J29+L46</f>
        <v>#N/A</v>
      </c>
      <c r="C2" s="2040"/>
      <c r="D2" s="2038"/>
      <c r="E2" s="2039"/>
      <c r="F2" s="2039"/>
      <c r="G2" s="1574"/>
      <c r="H2" s="2040"/>
      <c r="I2" s="2040"/>
      <c r="J2" s="2040"/>
      <c r="K2" s="2041"/>
      <c r="L2" s="2040"/>
      <c r="M2" s="2040"/>
    </row>
    <row r="3" spans="1:33" ht="18" customHeight="1" thickBot="1">
      <c r="A3" s="833" t="s">
        <v>1727</v>
      </c>
      <c r="B3" s="834">
        <f ca="1">IF(ISERROR(B2*10000/F43),0,ROUND(B2*10000/F43,0))</f>
        <v>0</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t="e">
        <f ca="1">C6+C10+C12</f>
        <v>#N/A</v>
      </c>
      <c r="D5" s="2458" t="s">
        <v>2459</v>
      </c>
      <c r="E5" s="2452"/>
      <c r="F5" s="2453"/>
      <c r="G5" s="1576"/>
      <c r="H5" s="781">
        <v>1</v>
      </c>
      <c r="I5" s="782" t="s">
        <v>2456</v>
      </c>
      <c r="J5" s="55" t="e">
        <f ca="1">J6+J10+J12</f>
        <v>#N/A</v>
      </c>
      <c r="K5" s="2458" t="s">
        <v>2459</v>
      </c>
      <c r="L5" s="2452"/>
      <c r="M5" s="2453"/>
    </row>
    <row r="6" spans="1:33" ht="18" customHeight="1">
      <c r="A6" s="1813" t="s">
        <v>1824</v>
      </c>
      <c r="B6" s="3461" t="s">
        <v>2461</v>
      </c>
      <c r="C6" s="783" t="e">
        <f ca="1">ROUND(F6*F8*F7*(1-F9)/10000,0)</f>
        <v>#N/A</v>
      </c>
      <c r="D6" s="2459" t="s">
        <v>2460</v>
      </c>
      <c r="E6" s="784" t="s">
        <v>1738</v>
      </c>
      <c r="F6" s="785" t="e">
        <f ca="1">INDIRECT("'数据-取费表'!u"&amp;$G$1)</f>
        <v>#N/A</v>
      </c>
      <c r="G6" s="1576"/>
      <c r="H6" s="2466" t="s">
        <v>1876</v>
      </c>
      <c r="I6" s="3461" t="s">
        <v>2461</v>
      </c>
      <c r="J6" s="783" t="e">
        <f ca="1">ROUND(M6*M8*M7*(1-M9)/10000,0)</f>
        <v>#N/A</v>
      </c>
      <c r="K6" s="341" t="s">
        <v>1737</v>
      </c>
      <c r="L6" s="784" t="s">
        <v>1738</v>
      </c>
      <c r="M6" s="785" t="e">
        <f ca="1">INDIRECT("'数据-取费表'!z"&amp;$G$1)</f>
        <v>#N/A</v>
      </c>
    </row>
    <row r="7" spans="1:33" ht="18" customHeight="1">
      <c r="A7" s="2462"/>
      <c r="B7" s="3462"/>
      <c r="C7" s="788"/>
      <c r="D7" s="789"/>
      <c r="E7" s="784" t="s">
        <v>1739</v>
      </c>
      <c r="F7" s="785" t="e">
        <f ca="1">IF(INDIRECT("'数据-取费表'!ah"&amp;$G$1)="",INDIRECT("'数据-取费表'!k"&amp;$G$1),INDIRECT("'数据-取费表'!ah"&amp;$G$1))</f>
        <v>#N/A</v>
      </c>
      <c r="G7" s="1576"/>
      <c r="H7" s="2451"/>
      <c r="I7" s="3462"/>
      <c r="J7" s="788"/>
      <c r="K7" s="789"/>
      <c r="L7" s="784" t="s">
        <v>1739</v>
      </c>
      <c r="M7" s="785" t="e">
        <f ca="1">F7</f>
        <v>#N/A</v>
      </c>
    </row>
    <row r="8" spans="1:33" ht="18" customHeight="1">
      <c r="A8" s="2455"/>
      <c r="B8" s="3463"/>
      <c r="C8" s="788"/>
      <c r="D8" s="789"/>
      <c r="E8" s="784" t="s">
        <v>1740</v>
      </c>
      <c r="F8" s="785" t="e">
        <f ca="1">INDIRECT("'数据-取费表'!ai"&amp;$G$1)</f>
        <v>#N/A</v>
      </c>
      <c r="G8" s="1576"/>
      <c r="H8" s="2451"/>
      <c r="I8" s="3463"/>
      <c r="J8" s="788"/>
      <c r="K8" s="789"/>
      <c r="L8" s="784" t="s">
        <v>1740</v>
      </c>
      <c r="M8" s="785" t="e">
        <f ca="1">INDIRECT("'数据-取费表'!ai"&amp;$G$1)</f>
        <v>#N/A</v>
      </c>
    </row>
    <row r="9" spans="1:33" ht="18" customHeight="1">
      <c r="A9" s="786"/>
      <c r="B9" s="3464"/>
      <c r="C9" s="788"/>
      <c r="D9" s="789"/>
      <c r="E9" s="784" t="s">
        <v>1741</v>
      </c>
      <c r="F9" s="794" t="e">
        <f ca="1">INDIRECT("'数据-取费表'!w"&amp;$G$1)</f>
        <v>#N/A</v>
      </c>
      <c r="G9" s="1576"/>
      <c r="H9" s="2467"/>
      <c r="I9" s="3463"/>
      <c r="J9" s="788"/>
      <c r="K9" s="789"/>
      <c r="L9" s="795" t="s">
        <v>1741</v>
      </c>
      <c r="M9" s="796" t="e">
        <f ca="1">INDIRECT("'数据-取费表'!ab"&amp;$G$1)</f>
        <v>#N/A</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2464</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2465</v>
      </c>
      <c r="I12" s="2526" t="s">
        <v>2458</v>
      </c>
      <c r="J12" s="2527"/>
      <c r="K12" s="2502"/>
      <c r="L12" s="2503"/>
      <c r="M12" s="2516"/>
    </row>
    <row r="13" spans="1:33" ht="18" customHeight="1" thickTop="1">
      <c r="A13" s="1812">
        <v>2</v>
      </c>
      <c r="B13" s="1810" t="s">
        <v>1742</v>
      </c>
      <c r="C13" s="792" t="e">
        <f ca="1">ROUND(C29*F13,0)</f>
        <v>#N/A</v>
      </c>
      <c r="D13" s="1817" t="s">
        <v>2295</v>
      </c>
      <c r="E13" s="1817" t="s">
        <v>1744</v>
      </c>
      <c r="F13" s="2498" t="e">
        <f ca="1">INDIRECT("'数据-取费表'!y"&amp;$G$1)</f>
        <v>#N/A</v>
      </c>
      <c r="G13" s="1576"/>
      <c r="H13" s="1812">
        <v>2</v>
      </c>
      <c r="I13" s="1810" t="s">
        <v>1742</v>
      </c>
      <c r="J13" s="1802" t="e">
        <f ca="1">ROUND(J14*J15,0)</f>
        <v>#N/A</v>
      </c>
      <c r="K13" s="1804" t="s">
        <v>1743</v>
      </c>
      <c r="L13" s="2514"/>
      <c r="M13" s="2515"/>
    </row>
    <row r="14" spans="1:33" ht="18" customHeight="1">
      <c r="A14" s="1631" t="s">
        <v>1884</v>
      </c>
      <c r="B14" s="784" t="s">
        <v>645</v>
      </c>
      <c r="C14" s="804" t="e">
        <f ca="1">INDIRECT("'数据-取费表'!m"&amp;$G$1)+INDIRECT("'数据-取费表'!t"&amp;$G$1)</f>
        <v>#N/A</v>
      </c>
      <c r="D14" s="3180" t="s">
        <v>1745</v>
      </c>
      <c r="E14" s="3181"/>
      <c r="F14" s="805"/>
      <c r="G14" s="1576"/>
      <c r="H14" s="1632" t="s">
        <v>1830</v>
      </c>
      <c r="I14" s="2214" t="s">
        <v>2822</v>
      </c>
      <c r="J14" s="53" t="e">
        <f ca="1">C29</f>
        <v>#N/A</v>
      </c>
      <c r="K14" s="26"/>
      <c r="L14" s="801"/>
      <c r="M14" s="802"/>
    </row>
    <row r="15" spans="1:33" s="2047" customFormat="1" ht="18" customHeight="1" thickBot="1">
      <c r="A15" s="1631" t="s">
        <v>1885</v>
      </c>
      <c r="B15" s="784" t="s">
        <v>647</v>
      </c>
      <c r="C15" s="53" t="e">
        <f ca="1">ROUND(C14*F15,0)</f>
        <v>#N/A</v>
      </c>
      <c r="D15" s="806" t="s">
        <v>1746</v>
      </c>
      <c r="E15" s="806" t="s">
        <v>1747</v>
      </c>
      <c r="F15" s="807">
        <f>'数据-取费表'!B33</f>
        <v>0.05</v>
      </c>
      <c r="G15" s="1577"/>
      <c r="H15" s="2513" t="s">
        <v>1889</v>
      </c>
      <c r="I15" s="2508" t="s">
        <v>1744</v>
      </c>
      <c r="J15" s="2517" t="e">
        <f ca="1">INDIRECT("'数据-取费表'!ad"&amp;$G$1)</f>
        <v>#N/A</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t="e">
        <f ca="1">ROUND(INDIRECT("'数据-取费表'!m"&amp;$G$1)*F16,0)</f>
        <v>#N/A</v>
      </c>
      <c r="D16" s="784" t="s">
        <v>1746</v>
      </c>
      <c r="E16" s="784" t="s">
        <v>1747</v>
      </c>
      <c r="F16" s="809" t="e">
        <f ca="1">IF(INDIRECT("'数据-取费表'!c"&amp;$G$1)="住宅",'数据-取费表'!B34,0)</f>
        <v>#N/A</v>
      </c>
      <c r="G16" s="1576"/>
      <c r="H16" s="1812" t="s">
        <v>1748</v>
      </c>
      <c r="I16" s="1810" t="s">
        <v>1749</v>
      </c>
      <c r="J16" s="792" t="e">
        <f ca="1">ROUND(J17+J22+J23+J24,0)</f>
        <v>#N/A</v>
      </c>
      <c r="K16" s="1804" t="s">
        <v>1750</v>
      </c>
      <c r="L16" s="3182"/>
      <c r="M16" s="2453"/>
    </row>
    <row r="17" spans="1:33" s="2047" customFormat="1" ht="18" customHeight="1">
      <c r="A17" s="1631" t="s">
        <v>1887</v>
      </c>
      <c r="B17" s="784" t="s">
        <v>653</v>
      </c>
      <c r="C17" s="53" t="e">
        <f ca="1">ROUND(F17*(F43+INDIRECT("'数据-取费表'!S"&amp;$G$1))/10000,0)</f>
        <v>#N/A</v>
      </c>
      <c r="D17" s="784" t="s">
        <v>1751</v>
      </c>
      <c r="E17" s="784" t="s">
        <v>655</v>
      </c>
      <c r="F17" s="56">
        <f>'数据-取费表'!B35</f>
        <v>200</v>
      </c>
      <c r="G17" s="1577"/>
      <c r="H17" s="1632" t="s">
        <v>1830</v>
      </c>
      <c r="I17" s="784" t="s">
        <v>656</v>
      </c>
      <c r="J17" s="53" t="e">
        <f ca="1">ROUND(IF(项目基本情况!B11="自然人",J6*M17/(1+'数据-取费表'!C42),J18+J19+J20),0)</f>
        <v>#N/A</v>
      </c>
      <c r="K17" s="3180" t="s">
        <v>657</v>
      </c>
      <c r="L17" s="3179"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t="e">
        <f ca="1">ROUND(C14*F18,0)</f>
        <v>#N/A</v>
      </c>
      <c r="D18" s="784" t="s">
        <v>1746</v>
      </c>
      <c r="E18" s="784" t="s">
        <v>1747</v>
      </c>
      <c r="F18" s="809">
        <f>'数据-取费表'!B36</f>
        <v>1.4999999999999999E-2</v>
      </c>
      <c r="G18" s="1577"/>
      <c r="H18" s="1631" t="s">
        <v>1884</v>
      </c>
      <c r="I18" s="784" t="s">
        <v>660</v>
      </c>
      <c r="J18" s="53" t="e">
        <f ca="1">ROUND(J6*M18/(1+'数据-取费表'!C42),1)</f>
        <v>#N/A</v>
      </c>
      <c r="K18" s="3179" t="s">
        <v>661</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t="e">
        <f ca="1">SUM(C14:C18)</f>
        <v>#N/A</v>
      </c>
      <c r="D19" s="261" t="s">
        <v>663</v>
      </c>
      <c r="E19" s="3184"/>
      <c r="F19" s="56"/>
      <c r="G19" s="1576"/>
      <c r="H19" s="1631" t="s">
        <v>1885</v>
      </c>
      <c r="I19" s="784" t="s">
        <v>664</v>
      </c>
      <c r="J19" s="53" t="e">
        <f ca="1">IF(K19="按租金收入计税",ROUND(J6*M19/(1+'数据-取费表'!C42),1),ROUND(C29*F33*0.7,1))</f>
        <v>#N/A</v>
      </c>
      <c r="K19" s="811" t="s">
        <v>665</v>
      </c>
      <c r="L19" s="784" t="s">
        <v>1747</v>
      </c>
      <c r="M19" s="809">
        <f>IF(K19="按租金收入计税",'数据-取费表'!B51,'数据-取费表'!B50)</f>
        <v>1.2E-2</v>
      </c>
    </row>
    <row r="20" spans="1:33" s="2047" customFormat="1" ht="18" customHeight="1">
      <c r="A20" s="1632" t="s">
        <v>1889</v>
      </c>
      <c r="B20" s="784" t="s">
        <v>666</v>
      </c>
      <c r="C20" s="53" t="e">
        <f ca="1">ROUND(C19*F20,0)</f>
        <v>#N/A</v>
      </c>
      <c r="D20" s="812" t="s">
        <v>667</v>
      </c>
      <c r="E20" s="784" t="s">
        <v>1747</v>
      </c>
      <c r="F20" s="809">
        <f>'数据-取费表'!B37</f>
        <v>0.02</v>
      </c>
      <c r="G20" s="1577"/>
      <c r="H20" s="1634" t="s">
        <v>1880</v>
      </c>
      <c r="I20" s="341" t="s">
        <v>668</v>
      </c>
      <c r="J20" s="54" t="e">
        <f ca="1">ROUND(M20*M21/10000,0)</f>
        <v>#N/A</v>
      </c>
      <c r="K20" s="814" t="s">
        <v>669</v>
      </c>
      <c r="L20" s="784" t="s">
        <v>670</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671</v>
      </c>
      <c r="C21" s="53" t="s">
        <v>1764</v>
      </c>
      <c r="D21" s="812" t="s">
        <v>2296</v>
      </c>
      <c r="E21" s="784" t="s">
        <v>673</v>
      </c>
      <c r="F21" s="809">
        <f>'数据-取费表'!B38</f>
        <v>2.5000000000000001E-2</v>
      </c>
      <c r="G21" s="1577"/>
      <c r="H21" s="2468"/>
      <c r="I21" s="793"/>
      <c r="J21" s="69"/>
      <c r="K21" s="816"/>
      <c r="L21" s="784" t="s">
        <v>674</v>
      </c>
      <c r="M21" s="785" t="e">
        <f ca="1">INDIRECT("'数据-取费表'!r"&amp;$G$1)</f>
        <v>#N/A</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675</v>
      </c>
      <c r="C22" s="53"/>
      <c r="D22" s="2534" t="str">
        <f>IF(F23&lt;=1,"单利计息。","复利计息。")&amp;"建造成本、管理费用、销售费用产生的利息。"</f>
        <v>复利计息。建造成本、管理费用、销售费用产生的利息。</v>
      </c>
      <c r="E22" s="3184"/>
      <c r="F22" s="56"/>
      <c r="G22" s="1576"/>
      <c r="H22" s="1632" t="s">
        <v>1889</v>
      </c>
      <c r="I22" s="784" t="s">
        <v>676</v>
      </c>
      <c r="J22" s="53" t="e">
        <f ca="1">ROUND(J14*M22,0)</f>
        <v>#N/A</v>
      </c>
      <c r="K22" s="3179" t="s">
        <v>677</v>
      </c>
      <c r="L22" s="784" t="s">
        <v>1747</v>
      </c>
      <c r="M22" s="817" t="e">
        <f ca="1">INDIRECT("'数据-取费表'!Ak"&amp;$G$1)</f>
        <v>#N/A</v>
      </c>
    </row>
    <row r="23" spans="1:33" s="2047" customFormat="1" ht="18" customHeight="1">
      <c r="A23" s="1631" t="s">
        <v>1831</v>
      </c>
      <c r="B23" s="784" t="s">
        <v>2533</v>
      </c>
      <c r="C23" s="53" t="e">
        <f ca="1">ROUND(IF('数据-取费表'!B22&lt;=1,(C19+C20)*F24*F23/2,(C19+C20)*(POWER((1+F24),F23/2)-1)),0)</f>
        <v>#N/A</v>
      </c>
      <c r="D23" s="2533" t="str">
        <f>IF(F23&lt;=1,"(建造成本+管理费用)×利率×(建设周期÷2)","(建造成本+管理费用)×((1+利率)^(建设周期÷2)-1)")</f>
        <v>(建造成本+管理费用)×((1+利率)^(建设周期÷2)-1)</v>
      </c>
      <c r="E23" s="784" t="s">
        <v>678</v>
      </c>
      <c r="F23" s="640">
        <f>'数据-取费表'!B20</f>
        <v>2.5</v>
      </c>
      <c r="G23" s="1577"/>
      <c r="H23" s="1632" t="s">
        <v>1890</v>
      </c>
      <c r="I23" s="784" t="s">
        <v>679</v>
      </c>
      <c r="J23" s="53" t="e">
        <f ca="1">ROUND(J13*M23,0)</f>
        <v>#N/A</v>
      </c>
      <c r="K23" s="3179" t="s">
        <v>680</v>
      </c>
      <c r="L23" s="784" t="s">
        <v>1747</v>
      </c>
      <c r="M23" s="818" t="e">
        <f ca="1">INDIRECT("'数据-取费表'!Al"&amp;$G$1)</f>
        <v>#N/A</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681</v>
      </c>
      <c r="C24" s="53">
        <f ca="1">ROUND(IF('数据-取费表'!B22&lt;=1,F21*F24*F23/2,F21*(POWER((1+F24),F23/2)-1)),4)</f>
        <v>1.5E-3</v>
      </c>
      <c r="D24" s="2533" t="str">
        <f>IF(F23&lt;=1,"销售费用×利率×(建设周期÷2)","销售费用×((1+利率)^(建设周期÷2)-1)")</f>
        <v>销售费用×((1+利率)^(建设周期÷2)-1)</v>
      </c>
      <c r="E24" s="784" t="s">
        <v>682</v>
      </c>
      <c r="F24" s="819">
        <f ca="1">'数据-取费表'!B40</f>
        <v>4.7500000000000001E-2</v>
      </c>
      <c r="G24" s="1577"/>
      <c r="H24" s="2513" t="s">
        <v>1891</v>
      </c>
      <c r="I24" s="2508" t="s">
        <v>666</v>
      </c>
      <c r="J24" s="2506" t="e">
        <f ca="1">ROUND(J5*M24,0)</f>
        <v>#N/A</v>
      </c>
      <c r="K24" s="2507" t="s">
        <v>683</v>
      </c>
      <c r="L24" s="2508" t="s">
        <v>1747</v>
      </c>
      <c r="M24" s="2504" t="e">
        <f ca="1">INDIRECT("'数据-取费表'!Am"&amp;$G$1)</f>
        <v>#N/A</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685</v>
      </c>
      <c r="E25" s="3184"/>
      <c r="F25" s="56"/>
      <c r="G25" s="1576"/>
      <c r="H25" s="1812" t="s">
        <v>1776</v>
      </c>
      <c r="I25" s="2959" t="s">
        <v>2819</v>
      </c>
      <c r="J25" s="792" t="e">
        <f ca="1">J5-J16</f>
        <v>#N/A</v>
      </c>
      <c r="K25" s="2510" t="s">
        <v>1777</v>
      </c>
      <c r="L25" s="2511"/>
      <c r="M25" s="2512"/>
    </row>
    <row r="26" spans="1:33" ht="18" customHeight="1">
      <c r="A26" s="1631" t="s">
        <v>1831</v>
      </c>
      <c r="B26" s="784" t="s">
        <v>2436</v>
      </c>
      <c r="C26" s="53" t="e">
        <f ca="1">ROUND((C19+C20)*F26,0)</f>
        <v>#N/A</v>
      </c>
      <c r="D26" s="812" t="s">
        <v>1778</v>
      </c>
      <c r="E26" s="795" t="s">
        <v>1779</v>
      </c>
      <c r="F26" s="794" t="e">
        <f ca="1">INDIRECT("'数据-取费表'!q"&amp;$G$1)</f>
        <v>#N/A</v>
      </c>
      <c r="G26" s="1576"/>
      <c r="H26" s="2464" t="s">
        <v>1780</v>
      </c>
      <c r="I26" s="2215" t="s">
        <v>2824</v>
      </c>
      <c r="J26" s="783" t="e">
        <f ca="1">IF(J5&lt;&gt;0,ROUND(J25*(1-((1+M28)/(1+M26))^M27)/(M26-M28),0),0)</f>
        <v>#N/A</v>
      </c>
      <c r="K26" s="814" t="s">
        <v>1781</v>
      </c>
      <c r="L26" s="784" t="s">
        <v>2417</v>
      </c>
      <c r="M26" s="794" t="e">
        <f ca="1">INDIRECT("'数据-取费表'!I"&amp;$G$1)</f>
        <v>#N/A</v>
      </c>
    </row>
    <row r="27" spans="1:33" ht="18" customHeight="1">
      <c r="A27" s="1631" t="s">
        <v>1832</v>
      </c>
      <c r="B27" s="784" t="s">
        <v>686</v>
      </c>
      <c r="C27" s="53" t="e">
        <f ca="1">ROUND(F21*F26,4)</f>
        <v>#N/A</v>
      </c>
      <c r="D27" s="812" t="s">
        <v>1782</v>
      </c>
      <c r="E27" s="806"/>
      <c r="F27" s="807"/>
      <c r="G27" s="1576"/>
      <c r="H27" s="2465"/>
      <c r="I27" s="787"/>
      <c r="J27" s="788"/>
      <c r="K27" s="821" t="s">
        <v>1783</v>
      </c>
      <c r="L27" s="784" t="s">
        <v>1784</v>
      </c>
      <c r="M27" s="822" t="e">
        <f ca="1">INDIRECT("'数据-取费表'!ag"&amp;$G$1)</f>
        <v>#N/A</v>
      </c>
    </row>
    <row r="28" spans="1:33" s="2047" customFormat="1" ht="18" customHeight="1">
      <c r="A28" s="1633" t="s">
        <v>1841</v>
      </c>
      <c r="B28" s="784" t="s">
        <v>687</v>
      </c>
      <c r="C28" s="53">
        <f>ROUND(F28/(1+'数据-取费表'!C42),4)</f>
        <v>5.33E-2</v>
      </c>
      <c r="D28" s="812" t="s">
        <v>2297</v>
      </c>
      <c r="E28" s="784" t="s">
        <v>649</v>
      </c>
      <c r="F28" s="809">
        <f>'数据-取费表'!B41</f>
        <v>5.6000000000000001E-2</v>
      </c>
      <c r="G28" s="1577"/>
      <c r="H28" s="1812"/>
      <c r="I28" s="791"/>
      <c r="J28" s="792"/>
      <c r="K28" s="816"/>
      <c r="L28" s="784" t="s">
        <v>1786</v>
      </c>
      <c r="M28" s="794" t="e">
        <f ca="1">INDIRECT("'数据-取费表'!aa"&amp;$G$1)</f>
        <v>#N/A</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t="e">
        <f ca="1">ROUND((C19+C20+C23+C26)/(1-F21-C24-C27-C28),0)</f>
        <v>#N/A</v>
      </c>
      <c r="D29" s="2507"/>
      <c r="E29" s="2508"/>
      <c r="F29" s="2509"/>
      <c r="G29" s="1577"/>
      <c r="H29" s="823" t="s">
        <v>1787</v>
      </c>
      <c r="I29" s="824" t="s">
        <v>1788</v>
      </c>
      <c r="J29" s="825" t="e">
        <f ca="1">ROUND(J26/(1+F40)^F41,0)</f>
        <v>#N/A</v>
      </c>
      <c r="K29" s="826" t="s">
        <v>688</v>
      </c>
      <c r="L29" s="827"/>
      <c r="M29" s="828" t="e">
        <f ca="1">INDIRECT("'数据-取费表'!k"&amp;$G$1)</f>
        <v>#N/A</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t="e">
        <f ca="1">ROUND(C31+C36+C37+C38,0)</f>
        <v>#N/A</v>
      </c>
      <c r="D30" s="1804" t="s">
        <v>1791</v>
      </c>
      <c r="E30" s="3182"/>
      <c r="F30" s="2453"/>
      <c r="G30" s="2045"/>
      <c r="H30" s="2048"/>
      <c r="I30" s="2049"/>
      <c r="J30" s="2050"/>
      <c r="K30" s="2051"/>
      <c r="L30" s="2052"/>
      <c r="M30" s="2053"/>
    </row>
    <row r="31" spans="1:33" ht="18" customHeight="1">
      <c r="A31" s="1632" t="s">
        <v>1830</v>
      </c>
      <c r="B31" s="784" t="s">
        <v>656</v>
      </c>
      <c r="C31" s="53" t="e">
        <f ca="1">ROUND(IF(项目基本情况!B11="自然人",C6*F31/(1+'数据-取费表'!C42),C32+C33+C34),1)</f>
        <v>#N/A</v>
      </c>
      <c r="D31" s="3180" t="s">
        <v>1792</v>
      </c>
      <c r="E31" s="3179"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t="e">
        <f ca="1">ROUND(C6*F32/(1+'数据-取费表'!C42),1)</f>
        <v>#N/A</v>
      </c>
      <c r="D32" s="3179"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t="e">
        <f ca="1">IF(D33="按租金收入计税",ROUND(C6*F33/(1+'数据-取费表'!C42),1),IF(D33="按房产原值计税",ROUND(C29*F33*0.7,1),INDIRECT("'数据-取费表'!Aj"&amp;$G$1)))</f>
        <v>#N/A</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t="e">
        <f ca="1">ROUND(F34*F35/10000,1)</f>
        <v>#N/A</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t="e">
        <f ca="1">INDIRECT("'数据-取费表'!r"&amp;$G$1)</f>
        <v>#N/A</v>
      </c>
      <c r="G35" s="2045"/>
      <c r="H35" s="2048"/>
      <c r="I35" s="837" t="s">
        <v>1814</v>
      </c>
      <c r="J35" s="838" t="e">
        <f ca="1">ROUND(C13*J36,0)</f>
        <v>#N/A</v>
      </c>
      <c r="K35" s="2061"/>
      <c r="L35" s="2060"/>
      <c r="M35" s="2060"/>
    </row>
    <row r="36" spans="1:18" ht="18" customHeight="1">
      <c r="A36" s="1632" t="s">
        <v>1889</v>
      </c>
      <c r="B36" s="784" t="s">
        <v>1802</v>
      </c>
      <c r="C36" s="53" t="e">
        <f ca="1">ROUND(C29*F36,1)</f>
        <v>#N/A</v>
      </c>
      <c r="D36" s="3179" t="s">
        <v>1803</v>
      </c>
      <c r="E36" s="784" t="s">
        <v>1796</v>
      </c>
      <c r="F36" s="817" t="e">
        <f ca="1">INDIRECT("'数据-取费表'!Ak"&amp;$G$1)</f>
        <v>#N/A</v>
      </c>
      <c r="G36" s="2045"/>
      <c r="H36" s="2060"/>
      <c r="I36" s="839" t="s">
        <v>1815</v>
      </c>
      <c r="J36" s="840" t="e">
        <f ca="1">INDIRECT("'数据-取费表'!j"&amp;$G$1)</f>
        <v>#N/A</v>
      </c>
      <c r="K36" s="2065"/>
      <c r="L36" s="2060"/>
      <c r="M36" s="2060"/>
    </row>
    <row r="37" spans="1:18" ht="18" customHeight="1">
      <c r="A37" s="1632" t="s">
        <v>1890</v>
      </c>
      <c r="B37" s="784" t="s">
        <v>679</v>
      </c>
      <c r="C37" s="53" t="e">
        <f ca="1">ROUND(C13*F37,1)</f>
        <v>#N/A</v>
      </c>
      <c r="D37" s="3179" t="s">
        <v>1804</v>
      </c>
      <c r="E37" s="784" t="s">
        <v>1796</v>
      </c>
      <c r="F37" s="818" t="e">
        <f ca="1">INDIRECT("'数据-取费表'!Al"&amp;$G$1)</f>
        <v>#N/A</v>
      </c>
      <c r="G37" s="2045"/>
      <c r="H37" s="2060"/>
      <c r="I37" s="841" t="s">
        <v>1816</v>
      </c>
      <c r="J37" s="842"/>
      <c r="K37" s="2065"/>
      <c r="L37" s="2060"/>
      <c r="M37" s="2060"/>
    </row>
    <row r="38" spans="1:18" ht="18" customHeight="1" thickBot="1">
      <c r="A38" s="2513" t="s">
        <v>1891</v>
      </c>
      <c r="B38" s="2508" t="s">
        <v>666</v>
      </c>
      <c r="C38" s="2506" t="e">
        <f ca="1">ROUND(C5*F38,1)</f>
        <v>#N/A</v>
      </c>
      <c r="D38" s="2507" t="s">
        <v>1805</v>
      </c>
      <c r="E38" s="2508" t="s">
        <v>1796</v>
      </c>
      <c r="F38" s="2504" t="e">
        <f ca="1">INDIRECT("'数据-取费表'!Am"&amp;$G$1)</f>
        <v>#N/A</v>
      </c>
      <c r="G38" s="2045"/>
      <c r="H38" s="2060"/>
      <c r="I38" s="843" t="s">
        <v>1817</v>
      </c>
      <c r="J38" s="844"/>
      <c r="K38" s="2066"/>
      <c r="L38" s="2060"/>
      <c r="M38" s="2060"/>
    </row>
    <row r="39" spans="1:18" ht="24.6" customHeight="1" thickTop="1">
      <c r="A39" s="1812" t="s">
        <v>1776</v>
      </c>
      <c r="B39" s="2959" t="s">
        <v>2819</v>
      </c>
      <c r="C39" s="792" t="e">
        <f ca="1">C5-C30</f>
        <v>#N/A</v>
      </c>
      <c r="D39" s="2510" t="s">
        <v>1806</v>
      </c>
      <c r="E39" s="2511"/>
      <c r="F39" s="2512"/>
      <c r="G39" s="2045"/>
      <c r="H39" s="2060"/>
      <c r="I39" s="837" t="s">
        <v>1818</v>
      </c>
      <c r="J39" s="845" t="e">
        <f ca="1">ROUND(J35/C39,3)</f>
        <v>#N/A</v>
      </c>
      <c r="K39" s="2066"/>
      <c r="L39" s="2060"/>
      <c r="M39" s="2060"/>
    </row>
    <row r="40" spans="1:18" ht="18" customHeight="1">
      <c r="A40" s="781" t="s">
        <v>1780</v>
      </c>
      <c r="B40" s="2215" t="s">
        <v>2299</v>
      </c>
      <c r="C40" s="783" t="e">
        <f ca="1">ROUND(C39*(1-((1+F42)/(1+F40))^F41)/(F40-F42),0)</f>
        <v>#N/A</v>
      </c>
      <c r="D40" s="814" t="s">
        <v>1807</v>
      </c>
      <c r="E40" s="784" t="s">
        <v>2417</v>
      </c>
      <c r="F40" s="794" t="e">
        <f ca="1">INDIRECT("'数据-取费表'!I"&amp;$G$1)</f>
        <v>#N/A</v>
      </c>
      <c r="G40" s="2045"/>
      <c r="H40" s="2045"/>
      <c r="I40" s="837" t="s">
        <v>1819</v>
      </c>
      <c r="J40" s="845" t="e">
        <f ca="1">1-J39</f>
        <v>#N/A</v>
      </c>
      <c r="K40" s="2066"/>
      <c r="L40" s="2045"/>
      <c r="M40" s="2045"/>
    </row>
    <row r="41" spans="1:18" ht="18" customHeight="1">
      <c r="A41" s="786"/>
      <c r="B41" s="787"/>
      <c r="C41" s="788"/>
      <c r="D41" s="821" t="s">
        <v>1808</v>
      </c>
      <c r="E41" s="784" t="s">
        <v>2952</v>
      </c>
      <c r="F41" s="822" t="e">
        <f ca="1">IF(INDIRECT("'数据-取费表'!af"&amp;$G$1)=0,INDIRECT("'数据-取费表'!ae"&amp;$G$1),INDIRECT("'数据-取费表'!af"&amp;$G$1))</f>
        <v>#N/A</v>
      </c>
      <c r="G41" s="2045"/>
      <c r="H41" s="1971"/>
      <c r="I41" s="843" t="s">
        <v>1820</v>
      </c>
      <c r="J41" s="846"/>
      <c r="K41" s="2065"/>
      <c r="L41" s="1971"/>
      <c r="M41" s="1971"/>
    </row>
    <row r="42" spans="1:18" ht="18" customHeight="1">
      <c r="A42" s="790"/>
      <c r="B42" s="791"/>
      <c r="C42" s="792"/>
      <c r="D42" s="816"/>
      <c r="E42" s="784" t="s">
        <v>1809</v>
      </c>
      <c r="F42" s="794" t="e">
        <f ca="1">INDIRECT("'数据-取费表'!v"&amp;$G$1)</f>
        <v>#N/A</v>
      </c>
      <c r="G42" s="2045"/>
      <c r="H42" s="1971"/>
      <c r="I42" s="847" t="s">
        <v>1821</v>
      </c>
      <c r="J42" s="845" t="e">
        <f ca="1">ROUND(C13/C40,3)</f>
        <v>#N/A</v>
      </c>
      <c r="K42" s="2065"/>
      <c r="L42" s="1971"/>
      <c r="M42" s="1971"/>
    </row>
    <row r="43" spans="1:18" ht="18" customHeight="1" thickBot="1">
      <c r="A43" s="823" t="s">
        <v>1787</v>
      </c>
      <c r="B43" s="824" t="s">
        <v>1810</v>
      </c>
      <c r="C43" s="825" t="e">
        <f ca="1">ROUND(C40*10000/F43,0)</f>
        <v>#N/A</v>
      </c>
      <c r="D43" s="826" t="s">
        <v>1811</v>
      </c>
      <c r="E43" s="827" t="s">
        <v>1812</v>
      </c>
      <c r="F43" s="828" t="e">
        <f ca="1">INDIRECT("'数据-取费表'!k"&amp;$G$1)</f>
        <v>#N/A</v>
      </c>
      <c r="G43" s="2045"/>
      <c r="H43" s="1971"/>
      <c r="I43" s="847" t="s">
        <v>1822</v>
      </c>
      <c r="J43" s="848" t="e">
        <f ca="1">1-J42</f>
        <v>#N/A</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t="e">
        <f ca="1">C67-C40</f>
        <v>#N/A</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t="e">
        <f ca="1">C48+C52+C54</f>
        <v>#N/A</v>
      </c>
      <c r="D47" s="2068"/>
      <c r="E47" s="2068"/>
      <c r="F47" s="2068"/>
      <c r="I47" s="3096" t="s">
        <v>2342</v>
      </c>
      <c r="J47" s="2343" t="s">
        <v>3003</v>
      </c>
      <c r="K47" s="3102" t="s">
        <v>2347</v>
      </c>
      <c r="L47" s="3106" t="e">
        <f ca="1">INDIRECT("'数据-取费表'!d"&amp;$G$1)</f>
        <v>#N/A</v>
      </c>
      <c r="M47" s="1587" t="str">
        <f>IF(ISNUMBER(FIND("住宅",C1)),"住宅","非住宅")</f>
        <v>非住宅</v>
      </c>
      <c r="O47" s="2357" t="s">
        <v>2373</v>
      </c>
      <c r="P47" s="2358" t="s">
        <v>2374</v>
      </c>
      <c r="Q47" s="2359" t="s">
        <v>2375</v>
      </c>
      <c r="R47" s="2358" t="s">
        <v>2376</v>
      </c>
    </row>
    <row r="48" spans="1:18" s="2042" customFormat="1" ht="18" customHeight="1" thickBot="1">
      <c r="A48" s="2604" t="s">
        <v>1870</v>
      </c>
      <c r="B48" s="2605" t="s">
        <v>2536</v>
      </c>
      <c r="C48" s="2336" t="e">
        <f ca="1">ROUND(F48*F50*F49*(1-F51)/10000,0)</f>
        <v>#N/A</v>
      </c>
      <c r="D48" s="2337" t="s">
        <v>636</v>
      </c>
      <c r="E48" s="2338" t="s">
        <v>2294</v>
      </c>
      <c r="F48" s="2339"/>
      <c r="G48" s="2073"/>
      <c r="I48" s="3075" t="s">
        <v>2343</v>
      </c>
      <c r="J48" s="2344" t="s">
        <v>2348</v>
      </c>
      <c r="K48" s="3103" t="s">
        <v>2349</v>
      </c>
      <c r="L48" s="1891" t="e">
        <f ca="1">INDIRECT("'数据-取费表'!f"&amp;$G$1)</f>
        <v>#N/A</v>
      </c>
      <c r="O48" s="2360" t="s">
        <v>2377</v>
      </c>
      <c r="P48" s="2361" t="s">
        <v>2403</v>
      </c>
      <c r="Q48" s="2362" t="e">
        <f ca="1">C40+J29</f>
        <v>#N/A</v>
      </c>
      <c r="R48" s="2361" t="s">
        <v>2378</v>
      </c>
    </row>
    <row r="49" spans="1:18" s="2042" customFormat="1" ht="18" customHeight="1" thickBot="1">
      <c r="A49" s="786"/>
      <c r="B49" s="787"/>
      <c r="C49" s="788"/>
      <c r="D49" s="789"/>
      <c r="E49" s="784" t="s">
        <v>1739</v>
      </c>
      <c r="F49" s="785" t="e">
        <f ca="1">F7</f>
        <v>#N/A</v>
      </c>
      <c r="G49" s="2073"/>
      <c r="H49" s="2076"/>
      <c r="I49" s="3075" t="s">
        <v>2344</v>
      </c>
      <c r="J49" s="2345"/>
      <c r="K49" s="3104" t="s">
        <v>2350</v>
      </c>
      <c r="L49" s="2346"/>
      <c r="O49" s="2360" t="s">
        <v>2379</v>
      </c>
      <c r="P49" s="2361" t="s">
        <v>2404</v>
      </c>
      <c r="Q49" s="2362" t="e">
        <f ca="1">J60</f>
        <v>#N/A</v>
      </c>
      <c r="R49" s="2361" t="s">
        <v>2380</v>
      </c>
    </row>
    <row r="50" spans="1:18" s="2042" customFormat="1" ht="18" customHeight="1" thickBot="1">
      <c r="A50" s="786"/>
      <c r="B50" s="787"/>
      <c r="C50" s="788"/>
      <c r="D50" s="789"/>
      <c r="E50" s="784" t="s">
        <v>1740</v>
      </c>
      <c r="F50" s="785" t="e">
        <f ca="1">F8</f>
        <v>#N/A</v>
      </c>
      <c r="G50" s="2078"/>
      <c r="H50" s="2076"/>
      <c r="I50" s="3075" t="s">
        <v>2345</v>
      </c>
      <c r="J50" s="3100">
        <f>SUMPRODUCT((I63:I65=J47)*(J62:L62=J48)*(J63:L65))</f>
        <v>60</v>
      </c>
      <c r="K50" s="3104" t="s">
        <v>2351</v>
      </c>
      <c r="L50" s="2346"/>
      <c r="O50" s="2363" t="s">
        <v>2381</v>
      </c>
      <c r="P50" s="2361" t="s">
        <v>2405</v>
      </c>
      <c r="Q50" s="2362" t="e">
        <f ca="1">C29</f>
        <v>#N/A</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t="e">
        <f ca="1">ROUND(-PV(INDIRECT("'数据-取费表'!h"&amp;$G$1),L48,(C39-C13*J36),0),0)</f>
        <v>#N/A</v>
      </c>
      <c r="O51" s="2363" t="s">
        <v>2382</v>
      </c>
      <c r="P51" s="2361" t="s">
        <v>2383</v>
      </c>
      <c r="Q51" s="2364" t="e">
        <f ca="1">J58</f>
        <v>#N/A</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t="e">
        <f ca="1">IF(M47="住宅",IF(D1="——",MAX(J51,L48),MAX(J51,L48-'数据-取费表'!B20)),IF(D1="——",MIN(J51,L48),MIN(J51,L48-'数据-取费表'!B20)))</f>
        <v>#N/A</v>
      </c>
      <c r="K53" s="3467" t="s">
        <v>2954</v>
      </c>
      <c r="L53" s="3468"/>
      <c r="O53" s="2363" t="s">
        <v>2386</v>
      </c>
      <c r="P53" s="2361" t="s">
        <v>2387</v>
      </c>
      <c r="Q53" s="2362" t="e">
        <f ca="1">J53</f>
        <v>#N/A</v>
      </c>
      <c r="R53" s="2361" t="s">
        <v>2388</v>
      </c>
    </row>
    <row r="54" spans="1:18" s="2042" customFormat="1" ht="18" customHeight="1" thickBot="1">
      <c r="A54" s="2499" t="s">
        <v>2465</v>
      </c>
      <c r="B54" s="2500" t="s">
        <v>2458</v>
      </c>
      <c r="C54" s="2501"/>
      <c r="D54" s="2463"/>
      <c r="E54" s="2460"/>
      <c r="F54" s="800"/>
      <c r="I54" s="20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9"/>
      <c r="O54" s="2360" t="s">
        <v>2389</v>
      </c>
      <c r="P54" s="2361" t="s">
        <v>2406</v>
      </c>
      <c r="Q54" s="2362" t="e">
        <f ca="1">Q48+Q49</f>
        <v>#N/A</v>
      </c>
      <c r="R54" s="2365" t="s">
        <v>2390</v>
      </c>
    </row>
    <row r="55" spans="1:18" s="2042" customFormat="1" ht="18" customHeight="1" thickTop="1" thickBot="1">
      <c r="A55" s="797">
        <v>2</v>
      </c>
      <c r="B55" s="798" t="s">
        <v>644</v>
      </c>
      <c r="C55" s="799" t="e">
        <f ca="1">C13</f>
        <v>#N/A</v>
      </c>
      <c r="D55" s="795"/>
      <c r="E55" s="795"/>
      <c r="F55" s="800"/>
      <c r="I55" s="3110" t="s">
        <v>2353</v>
      </c>
      <c r="J55" s="3050" t="e">
        <f ca="1">ROUND(IF(J47="钢混",J57/J50,1-(1-2%)*(J50-J57)/J50),3)</f>
        <v>#N/A</v>
      </c>
      <c r="K55" s="3111" t="s">
        <v>2354</v>
      </c>
      <c r="L55" s="2348"/>
      <c r="O55" s="2366" t="s">
        <v>2409</v>
      </c>
      <c r="P55" s="1576"/>
      <c r="Q55" s="1587"/>
      <c r="R55" s="1576"/>
    </row>
    <row r="56" spans="1:18" s="2042" customFormat="1" ht="42.75" customHeight="1" thickBot="1">
      <c r="A56" s="1633"/>
      <c r="B56" s="2214" t="s">
        <v>2300</v>
      </c>
      <c r="C56" s="53" t="e">
        <f ca="1">C29</f>
        <v>#N/A</v>
      </c>
      <c r="D56" s="3179"/>
      <c r="E56" s="784"/>
      <c r="F56" s="809"/>
      <c r="I56" s="3112" t="s">
        <v>2355</v>
      </c>
      <c r="J56" s="3122"/>
      <c r="K56" s="3075" t="s">
        <v>2360</v>
      </c>
      <c r="L56" s="1891" t="e">
        <f ca="1">IF(L48&lt;J51,"——",L48-J51)</f>
        <v>#N/A</v>
      </c>
      <c r="O56" s="2357" t="s">
        <v>2373</v>
      </c>
      <c r="P56" s="2358" t="s">
        <v>2374</v>
      </c>
      <c r="Q56" s="2359" t="s">
        <v>2375</v>
      </c>
      <c r="R56" s="2358" t="s">
        <v>2376</v>
      </c>
    </row>
    <row r="57" spans="1:18" s="2042" customFormat="1" ht="28.5" customHeight="1" thickBot="1">
      <c r="A57" s="797" t="s">
        <v>1748</v>
      </c>
      <c r="B57" s="798" t="s">
        <v>651</v>
      </c>
      <c r="C57" s="799" t="e">
        <f ca="1">ROUND(C58+C63+C64+C65,0)</f>
        <v>#N/A</v>
      </c>
      <c r="D57" s="26" t="s">
        <v>1750</v>
      </c>
      <c r="E57" s="3184"/>
      <c r="F57" s="56"/>
      <c r="I57" s="3113" t="s">
        <v>2356</v>
      </c>
      <c r="J57" s="3114" t="e">
        <f ca="1">IF(OR(M47="住宅",J51&lt;L48,J56="是"),"——",J51-L48)</f>
        <v>#N/A</v>
      </c>
      <c r="K57" s="3075" t="s">
        <v>2361</v>
      </c>
      <c r="L57" s="1891" t="e">
        <f ca="1">IF(L48&lt;J51,"——",IF(L55="比较法",L49,IF(L55="基准地价",L50,L51)))</f>
        <v>#N/A</v>
      </c>
      <c r="O57" s="2360" t="s">
        <v>2377</v>
      </c>
      <c r="P57" s="2361" t="s">
        <v>2403</v>
      </c>
      <c r="Q57" s="2362" t="e">
        <f ca="1">C40+J29</f>
        <v>#N/A</v>
      </c>
      <c r="R57" s="2361" t="s">
        <v>2378</v>
      </c>
    </row>
    <row r="58" spans="1:18" s="2042" customFormat="1" ht="28.5" customHeight="1" thickBot="1">
      <c r="A58" s="1632" t="s">
        <v>1824</v>
      </c>
      <c r="B58" s="784" t="s">
        <v>656</v>
      </c>
      <c r="C58" s="53" t="e">
        <f ca="1">ROUND(IF(项目基本情况!B11="自然人",C47*F58,C59+C60+C61),1)</f>
        <v>#N/A</v>
      </c>
      <c r="D58" s="3180" t="s">
        <v>657</v>
      </c>
      <c r="E58" s="3179" t="s">
        <v>690</v>
      </c>
      <c r="F58" s="810" t="str">
        <f ca="1">IF(项目基本情况!B11="企业","",IF(INDIRECT("'数据-取费表'!c"&amp;$G$1)="住宅",5%,IF(F48*F49*F50/12/(1+'数据-取费表'!C42)&gt;20000,12%,7%)))</f>
        <v/>
      </c>
      <c r="I58" s="3113" t="s">
        <v>2357</v>
      </c>
      <c r="J58" s="3051" t="e">
        <f ca="1">IF(J55&lt;0.4,0.4,J55)</f>
        <v>#N/A</v>
      </c>
      <c r="K58" s="3075" t="s">
        <v>2362</v>
      </c>
      <c r="L58" s="1891" t="e">
        <f ca="1">ROUND(POWER(1+L52,L47-L48)*(POWER(1+L52,L48)-1)/(POWER(1+L52,L47)-1),4)</f>
        <v>#N/A</v>
      </c>
      <c r="O58" s="2360" t="s">
        <v>2379</v>
      </c>
      <c r="P58" s="2361" t="s">
        <v>2410</v>
      </c>
      <c r="Q58" s="2362" t="e">
        <f ca="1">L60</f>
        <v>#N/A</v>
      </c>
      <c r="R58" s="2365" t="s">
        <v>2412</v>
      </c>
    </row>
    <row r="59" spans="1:18" s="2042" customFormat="1" ht="28.5" customHeight="1" thickBot="1">
      <c r="A59" s="1631" t="s">
        <v>1831</v>
      </c>
      <c r="B59" s="784" t="s">
        <v>660</v>
      </c>
      <c r="C59" s="53" t="e">
        <f ca="1">ROUND(C47*F59/1.05,1)</f>
        <v>#N/A</v>
      </c>
      <c r="D59" s="3179" t="s">
        <v>661</v>
      </c>
      <c r="E59" s="784" t="s">
        <v>1747</v>
      </c>
      <c r="F59" s="809">
        <f t="shared" ref="F59:F65" si="0">F32</f>
        <v>5.6000000000000001E-2</v>
      </c>
      <c r="I59" s="3113" t="s">
        <v>2358</v>
      </c>
      <c r="J59" s="3114" t="e">
        <f ca="1">IF(OR(M47="住宅",J51&lt;L48,J56="是"),"——",ROUND(C29*J58,0))</f>
        <v>#N/A</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#N/A</v>
      </c>
      <c r="O59" s="2363" t="s">
        <v>2381</v>
      </c>
      <c r="P59" s="2361" t="s">
        <v>2411</v>
      </c>
      <c r="Q59" s="2362">
        <f>IF(L55="比较法",L49,IF(L55="基准地价",L50,0))</f>
        <v>0</v>
      </c>
      <c r="R59" s="2361" t="s">
        <v>2378</v>
      </c>
    </row>
    <row r="60" spans="1:18" s="2042" customFormat="1" ht="18" customHeight="1" thickBot="1">
      <c r="A60" s="1631" t="s">
        <v>1832</v>
      </c>
      <c r="B60" s="784" t="s">
        <v>664</v>
      </c>
      <c r="C60" s="53" t="e">
        <f ca="1">IF(D60="按租金收入计税",ROUND(C47*F60,1),IF(D60="按房产原值计税",ROUND(C56*F60*0.7,1),INDIRECT("'数据-取费表'!Aj"&amp;$G$1)))</f>
        <v>#N/A</v>
      </c>
      <c r="D60" s="3179" t="str">
        <f>D33</f>
        <v>按租金收入计税</v>
      </c>
      <c r="E60" s="784" t="s">
        <v>1747</v>
      </c>
      <c r="F60" s="809">
        <f t="shared" si="0"/>
        <v>0.12</v>
      </c>
      <c r="I60" s="3115" t="s">
        <v>2359</v>
      </c>
      <c r="J60" s="3116" t="e">
        <f ca="1">IF(OR(M47="住宅",J51&lt;L48,J56="是"),"0",ROUND(J59/(1+J52)^J53,0))</f>
        <v>#N/A</v>
      </c>
      <c r="K60" s="3117" t="s">
        <v>2364</v>
      </c>
      <c r="L60" s="3116" t="e">
        <f ca="1">IF(OR(M47="住宅",L48&lt;J51),0,ROUND(L57*(L58/L59-1),0))</f>
        <v>#N/A</v>
      </c>
      <c r="O60" s="2363" t="s">
        <v>2382</v>
      </c>
      <c r="P60" s="2361" t="s">
        <v>2391</v>
      </c>
      <c r="Q60" s="2364">
        <f>L52</f>
        <v>0</v>
      </c>
      <c r="R60" s="2365"/>
    </row>
    <row r="61" spans="1:18" s="2042" customFormat="1" ht="18" customHeight="1" thickBot="1">
      <c r="A61" s="1634" t="s">
        <v>1833</v>
      </c>
      <c r="B61" s="341" t="s">
        <v>668</v>
      </c>
      <c r="C61" s="54" t="e">
        <f ca="1">ROUND(F61*F62/10000,1)</f>
        <v>#N/A</v>
      </c>
      <c r="D61" s="814" t="s">
        <v>669</v>
      </c>
      <c r="E61" s="784" t="s">
        <v>670</v>
      </c>
      <c r="F61" s="640">
        <f t="shared" si="0"/>
        <v>9</v>
      </c>
      <c r="K61" s="2069"/>
      <c r="O61" s="2363" t="s">
        <v>2384</v>
      </c>
      <c r="P61" s="2361" t="s">
        <v>2392</v>
      </c>
      <c r="Q61" s="2362" t="e">
        <f ca="1">L58</f>
        <v>#N/A</v>
      </c>
      <c r="R61" s="2365" t="s">
        <v>2393</v>
      </c>
    </row>
    <row r="62" spans="1:18" s="2042" customFormat="1" ht="15.75" thickBot="1">
      <c r="A62" s="815"/>
      <c r="B62" s="793"/>
      <c r="C62" s="69"/>
      <c r="D62" s="816"/>
      <c r="E62" s="784" t="s">
        <v>674</v>
      </c>
      <c r="F62" s="785" t="e">
        <f t="shared" ca="1" si="0"/>
        <v>#N/A</v>
      </c>
      <c r="I62" s="3118" t="s">
        <v>2365</v>
      </c>
      <c r="J62" s="3119" t="s">
        <v>2366</v>
      </c>
      <c r="K62" s="3119" t="s">
        <v>2367</v>
      </c>
      <c r="L62" s="3119" t="s">
        <v>2348</v>
      </c>
      <c r="M62" s="3120" t="s">
        <v>2931</v>
      </c>
      <c r="O62" s="2363" t="s">
        <v>2386</v>
      </c>
      <c r="P62" s="2361" t="str">
        <f>K59</f>
        <v>建设期及建筑物耐用年限下的土地年期修正系数Kn</v>
      </c>
      <c r="Q62" s="2362" t="e">
        <f ca="1">L59</f>
        <v>#N/A</v>
      </c>
      <c r="R62" s="2365" t="s">
        <v>2395</v>
      </c>
    </row>
    <row r="63" spans="1:18" s="2042" customFormat="1" ht="15.75" thickBot="1">
      <c r="A63" s="1632" t="s">
        <v>1889</v>
      </c>
      <c r="B63" s="784" t="s">
        <v>676</v>
      </c>
      <c r="C63" s="53" t="e">
        <f ca="1">ROUND(C56*F63,1)</f>
        <v>#N/A</v>
      </c>
      <c r="D63" s="3179" t="s">
        <v>1803</v>
      </c>
      <c r="E63" s="784" t="s">
        <v>1747</v>
      </c>
      <c r="F63" s="817" t="e">
        <f t="shared" ca="1" si="0"/>
        <v>#N/A</v>
      </c>
      <c r="I63" s="3118" t="s">
        <v>2368</v>
      </c>
      <c r="J63" s="3119">
        <v>70</v>
      </c>
      <c r="K63" s="3119">
        <v>50</v>
      </c>
      <c r="L63" s="3119">
        <v>80</v>
      </c>
      <c r="M63" s="3121">
        <v>0.02</v>
      </c>
      <c r="O63" s="2360" t="s">
        <v>2389</v>
      </c>
      <c r="P63" s="2361" t="s">
        <v>2406</v>
      </c>
      <c r="Q63" s="2362" t="e">
        <f ca="1">Q57+Q58</f>
        <v>#N/A</v>
      </c>
      <c r="R63" s="2365" t="s">
        <v>2390</v>
      </c>
    </row>
    <row r="64" spans="1:18" s="2042" customFormat="1" ht="16.5" thickBot="1">
      <c r="A64" s="1632" t="s">
        <v>1890</v>
      </c>
      <c r="B64" s="784" t="s">
        <v>679</v>
      </c>
      <c r="C64" s="53" t="e">
        <f ca="1">ROUND(C55*F64,1)</f>
        <v>#N/A</v>
      </c>
      <c r="D64" s="3179" t="s">
        <v>680</v>
      </c>
      <c r="E64" s="784" t="s">
        <v>1747</v>
      </c>
      <c r="F64" s="818" t="e">
        <f t="shared" ca="1" si="0"/>
        <v>#N/A</v>
      </c>
      <c r="I64" s="3118" t="s">
        <v>2369</v>
      </c>
      <c r="J64" s="3119">
        <v>50</v>
      </c>
      <c r="K64" s="3119">
        <v>35</v>
      </c>
      <c r="L64" s="3119">
        <v>60</v>
      </c>
      <c r="M64" s="846">
        <v>0</v>
      </c>
      <c r="O64" s="2366" t="s">
        <v>2413</v>
      </c>
      <c r="P64" s="1576"/>
      <c r="Q64" s="1587"/>
      <c r="R64" s="1576"/>
    </row>
    <row r="65" spans="1:18" s="2042" customFormat="1" ht="15.75" thickBot="1">
      <c r="A65" s="1632" t="s">
        <v>1891</v>
      </c>
      <c r="B65" s="784" t="s">
        <v>666</v>
      </c>
      <c r="C65" s="53" t="e">
        <f ca="1">ROUND(C47*F65,1)</f>
        <v>#N/A</v>
      </c>
      <c r="D65" s="3179" t="s">
        <v>683</v>
      </c>
      <c r="E65" s="784" t="s">
        <v>1747</v>
      </c>
      <c r="F65" s="794" t="e">
        <f t="shared" ca="1" si="0"/>
        <v>#N/A</v>
      </c>
      <c r="I65" s="3118" t="s">
        <v>2370</v>
      </c>
      <c r="J65" s="3119">
        <v>40</v>
      </c>
      <c r="K65" s="3119">
        <v>30</v>
      </c>
      <c r="L65" s="3119">
        <v>50</v>
      </c>
      <c r="M65" s="3121">
        <v>0.02</v>
      </c>
      <c r="O65" s="2357" t="s">
        <v>2373</v>
      </c>
      <c r="P65" s="2358" t="s">
        <v>2374</v>
      </c>
      <c r="Q65" s="2359" t="s">
        <v>2375</v>
      </c>
      <c r="R65" s="2358" t="s">
        <v>2376</v>
      </c>
    </row>
    <row r="66" spans="1:18" s="2042" customFormat="1" ht="24.75" thickBot="1">
      <c r="A66" s="797" t="s">
        <v>1776</v>
      </c>
      <c r="B66" s="2960" t="s">
        <v>2819</v>
      </c>
      <c r="C66" s="799" t="e">
        <f ca="1">C47-C57</f>
        <v>#N/A</v>
      </c>
      <c r="D66" s="3180" t="s">
        <v>700</v>
      </c>
      <c r="E66" s="3183"/>
      <c r="F66" s="820"/>
      <c r="K66" s="2069"/>
      <c r="O66" s="2360" t="s">
        <v>2377</v>
      </c>
      <c r="P66" s="2361" t="s">
        <v>2403</v>
      </c>
      <c r="Q66" s="2362" t="e">
        <f ca="1">C40+J29</f>
        <v>#N/A</v>
      </c>
      <c r="R66" s="2361" t="s">
        <v>2378</v>
      </c>
    </row>
    <row r="67" spans="1:18" s="2042" customFormat="1" ht="20.25" thickBot="1">
      <c r="A67" s="781" t="s">
        <v>1780</v>
      </c>
      <c r="B67" s="2215" t="s">
        <v>2299</v>
      </c>
      <c r="C67" s="783" t="e">
        <f ca="1">ROUND(C66*(1-((1+F69)/(1+F67))^F68)/(F67-F69),0)</f>
        <v>#N/A</v>
      </c>
      <c r="D67" s="814" t="s">
        <v>704</v>
      </c>
      <c r="E67" s="784" t="s">
        <v>705</v>
      </c>
      <c r="F67" s="794" t="e">
        <f ca="1">F40</f>
        <v>#N/A</v>
      </c>
      <c r="K67" s="2069"/>
      <c r="O67" s="2360" t="s">
        <v>2379</v>
      </c>
      <c r="P67" s="2361" t="s">
        <v>2410</v>
      </c>
      <c r="Q67" s="2362" t="e">
        <f ca="1">L60</f>
        <v>#N/A</v>
      </c>
      <c r="R67" s="2365" t="s">
        <v>2412</v>
      </c>
    </row>
    <row r="68" spans="1:18" ht="21.75" thickBot="1">
      <c r="A68" s="786"/>
      <c r="B68" s="787"/>
      <c r="C68" s="788"/>
      <c r="D68" s="821" t="s">
        <v>1808</v>
      </c>
      <c r="E68" s="784" t="s">
        <v>1784</v>
      </c>
      <c r="F68" s="822" t="e">
        <f ca="1">F41</f>
        <v>#N/A</v>
      </c>
      <c r="O68" s="2363" t="s">
        <v>2381</v>
      </c>
      <c r="P68" s="2361" t="s">
        <v>2411</v>
      </c>
      <c r="Q68" s="2367" t="e">
        <f ca="1">L51</f>
        <v>#N/A</v>
      </c>
      <c r="R68" s="2368" t="s">
        <v>2414</v>
      </c>
    </row>
    <row r="69" spans="1:18" ht="20.25" thickBot="1">
      <c r="A69" s="790"/>
      <c r="B69" s="791"/>
      <c r="C69" s="792"/>
      <c r="D69" s="816"/>
      <c r="E69" s="784" t="s">
        <v>710</v>
      </c>
      <c r="F69" s="2333"/>
      <c r="O69" s="2363" t="s">
        <v>2382</v>
      </c>
      <c r="P69" s="2369" t="s">
        <v>2396</v>
      </c>
      <c r="Q69" s="2362" t="e">
        <f ca="1">ROUND(Q70-Q71*Q72,0)</f>
        <v>#N/A</v>
      </c>
      <c r="R69" s="2365"/>
    </row>
    <row r="70" spans="1:18" ht="15.75" thickBot="1">
      <c r="A70" s="823" t="s">
        <v>1787</v>
      </c>
      <c r="B70" s="824" t="s">
        <v>1810</v>
      </c>
      <c r="C70" s="825" t="e">
        <f ca="1">ROUND(C67*10000/F70,0)</f>
        <v>#N/A</v>
      </c>
      <c r="D70" s="826" t="s">
        <v>1811</v>
      </c>
      <c r="E70" s="827" t="s">
        <v>1812</v>
      </c>
      <c r="F70" s="828" t="e">
        <f ca="1">F43</f>
        <v>#N/A</v>
      </c>
      <c r="O70" s="2363" t="s">
        <v>2397</v>
      </c>
      <c r="P70" s="2369" t="s">
        <v>2398</v>
      </c>
      <c r="Q70" s="2362" t="e">
        <f ca="1">C39</f>
        <v>#N/A</v>
      </c>
      <c r="R70" s="2361" t="s">
        <v>2378</v>
      </c>
    </row>
    <row r="71" spans="1:18" ht="15.75" thickBot="1">
      <c r="O71" s="2363" t="s">
        <v>2399</v>
      </c>
      <c r="P71" s="2369" t="s">
        <v>2400</v>
      </c>
      <c r="Q71" s="2362" t="e">
        <f ca="1">C13</f>
        <v>#N/A</v>
      </c>
      <c r="R71" s="2361" t="s">
        <v>2378</v>
      </c>
    </row>
    <row r="72" spans="1:18" ht="15.75" thickBot="1">
      <c r="O72" s="2363" t="s">
        <v>2401</v>
      </c>
      <c r="P72" s="2369" t="s">
        <v>2402</v>
      </c>
      <c r="Q72" s="2364" t="e">
        <f ca="1">J36</f>
        <v>#N/A</v>
      </c>
      <c r="R72" s="2365"/>
    </row>
    <row r="73" spans="1:18" ht="15.75" thickBot="1">
      <c r="O73" s="2363" t="s">
        <v>2384</v>
      </c>
      <c r="P73" s="2361" t="s">
        <v>2391</v>
      </c>
      <c r="Q73" s="2364">
        <f>L52</f>
        <v>0</v>
      </c>
      <c r="R73" s="2365"/>
    </row>
    <row r="74" spans="1:18" ht="20.25" thickBot="1">
      <c r="O74" s="2363" t="s">
        <v>2386</v>
      </c>
      <c r="P74" s="2361" t="s">
        <v>2392</v>
      </c>
      <c r="Q74" s="2362" t="e">
        <f ca="1">L58</f>
        <v>#N/A</v>
      </c>
      <c r="R74" s="2365" t="s">
        <v>2393</v>
      </c>
    </row>
    <row r="75" spans="1:18" ht="15.75" thickBot="1">
      <c r="O75" s="2363" t="s">
        <v>2415</v>
      </c>
      <c r="P75" s="2361" t="str">
        <f>K59</f>
        <v>建设期及建筑物耐用年限下的土地年期修正系数Kn</v>
      </c>
      <c r="Q75" s="2362" t="e">
        <f ca="1">L59</f>
        <v>#N/A</v>
      </c>
      <c r="R75" s="2365" t="s">
        <v>2395</v>
      </c>
    </row>
    <row r="76" spans="1:18" ht="15.75" thickBot="1">
      <c r="O76" s="2360" t="s">
        <v>2389</v>
      </c>
      <c r="P76" s="2361" t="s">
        <v>2406</v>
      </c>
      <c r="Q76" s="2362" t="e">
        <f ca="1">Q66+Q67</f>
        <v>#N/A</v>
      </c>
      <c r="R76" s="2365"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5" t="s">
        <v>2469</v>
      </c>
      <c r="B1" s="3486"/>
      <c r="C1" s="3487"/>
      <c r="D1" s="3488">
        <f>SUM(I10,I15,I20,I21,I23)</f>
        <v>0</v>
      </c>
      <c r="E1" s="3488"/>
      <c r="F1" s="3488"/>
      <c r="G1" s="3488"/>
      <c r="H1" s="3488"/>
      <c r="I1" s="3489"/>
    </row>
    <row r="2" spans="1:9">
      <c r="A2" s="3475" t="s">
        <v>2470</v>
      </c>
      <c r="B2" s="3476" t="s">
        <v>2471</v>
      </c>
      <c r="C2" s="3476"/>
      <c r="D2" s="2469" t="s">
        <v>2472</v>
      </c>
      <c r="E2" s="2469" t="s">
        <v>2473</v>
      </c>
      <c r="F2" s="2469" t="s">
        <v>2474</v>
      </c>
      <c r="G2" s="2469" t="s">
        <v>2475</v>
      </c>
      <c r="H2" s="2469" t="s">
        <v>2476</v>
      </c>
      <c r="I2" s="2470" t="s">
        <v>2477</v>
      </c>
    </row>
    <row r="3" spans="1:9">
      <c r="A3" s="3475"/>
      <c r="B3" s="3476" t="s">
        <v>2478</v>
      </c>
      <c r="C3" s="3476"/>
      <c r="D3" s="2471"/>
      <c r="E3" s="2469"/>
      <c r="F3" s="2472"/>
      <c r="G3" s="2472"/>
      <c r="H3" s="2473"/>
      <c r="I3" s="2474">
        <f>ROUND(D3*E3*F3*G3*H3/10000,0)</f>
        <v>0</v>
      </c>
    </row>
    <row r="4" spans="1:9">
      <c r="A4" s="3475"/>
      <c r="B4" s="3476" t="s">
        <v>2479</v>
      </c>
      <c r="C4" s="3476"/>
      <c r="D4" s="2471"/>
      <c r="E4" s="2469"/>
      <c r="F4" s="2472"/>
      <c r="G4" s="2472"/>
      <c r="H4" s="2473"/>
      <c r="I4" s="2474">
        <f t="shared" ref="I4:I9" si="0">ROUND(D4*E4*F4*G4*H4/10000,0)</f>
        <v>0</v>
      </c>
    </row>
    <row r="5" spans="1:9">
      <c r="A5" s="3475"/>
      <c r="B5" s="3476" t="s">
        <v>2480</v>
      </c>
      <c r="C5" s="3476"/>
      <c r="D5" s="2471"/>
      <c r="E5" s="2469"/>
      <c r="F5" s="2472"/>
      <c r="G5" s="2472"/>
      <c r="H5" s="2473"/>
      <c r="I5" s="2474">
        <f t="shared" si="0"/>
        <v>0</v>
      </c>
    </row>
    <row r="6" spans="1:9">
      <c r="A6" s="3475"/>
      <c r="B6" s="3476" t="s">
        <v>2481</v>
      </c>
      <c r="C6" s="3476"/>
      <c r="D6" s="2471"/>
      <c r="E6" s="2469"/>
      <c r="F6" s="2472"/>
      <c r="G6" s="2472"/>
      <c r="H6" s="2473"/>
      <c r="I6" s="2474">
        <f t="shared" si="0"/>
        <v>0</v>
      </c>
    </row>
    <row r="7" spans="1:9">
      <c r="A7" s="3475"/>
      <c r="B7" s="3476" t="s">
        <v>2482</v>
      </c>
      <c r="C7" s="3476"/>
      <c r="D7" s="2471"/>
      <c r="E7" s="2469"/>
      <c r="F7" s="2472"/>
      <c r="G7" s="2472"/>
      <c r="H7" s="2473"/>
      <c r="I7" s="2474">
        <f t="shared" si="0"/>
        <v>0</v>
      </c>
    </row>
    <row r="8" spans="1:9">
      <c r="A8" s="3475"/>
      <c r="B8" s="3476" t="s">
        <v>2483</v>
      </c>
      <c r="C8" s="3476"/>
      <c r="D8" s="2471"/>
      <c r="E8" s="2469"/>
      <c r="F8" s="2472"/>
      <c r="G8" s="2472"/>
      <c r="H8" s="2473"/>
      <c r="I8" s="2474">
        <f t="shared" si="0"/>
        <v>0</v>
      </c>
    </row>
    <row r="9" spans="1:9">
      <c r="A9" s="3475"/>
      <c r="B9" s="3476" t="s">
        <v>2484</v>
      </c>
      <c r="C9" s="3476"/>
      <c r="D9" s="2471"/>
      <c r="E9" s="2469"/>
      <c r="F9" s="2472"/>
      <c r="G9" s="2472"/>
      <c r="H9" s="2473"/>
      <c r="I9" s="2474">
        <f t="shared" si="0"/>
        <v>0</v>
      </c>
    </row>
    <row r="10" spans="1:9">
      <c r="A10" s="3475"/>
      <c r="B10" s="3477" t="s">
        <v>2485</v>
      </c>
      <c r="C10" s="3477"/>
      <c r="D10" s="2475">
        <v>527</v>
      </c>
      <c r="E10" s="2475" t="e">
        <f>ROUND(D1*10000/D10/H9,0)</f>
        <v>#DIV/0!</v>
      </c>
      <c r="F10" s="2476"/>
      <c r="G10" s="2476"/>
      <c r="H10" s="2477"/>
      <c r="I10" s="2478">
        <f>SUM(I3:I9)</f>
        <v>0</v>
      </c>
    </row>
    <row r="11" spans="1:9" ht="14.25">
      <c r="A11" s="3475" t="s">
        <v>2486</v>
      </c>
      <c r="B11" s="3476" t="s">
        <v>2487</v>
      </c>
      <c r="C11" s="3476"/>
      <c r="D11" s="2471" t="s">
        <v>2488</v>
      </c>
      <c r="E11" s="2471" t="s">
        <v>2489</v>
      </c>
      <c r="F11" s="2472" t="s">
        <v>2490</v>
      </c>
      <c r="G11" s="2472" t="s">
        <v>2491</v>
      </c>
      <c r="H11" s="2479" t="s">
        <v>2492</v>
      </c>
      <c r="I11" s="2470" t="s">
        <v>2493</v>
      </c>
    </row>
    <row r="12" spans="1:9">
      <c r="A12" s="3475"/>
      <c r="B12" s="3476" t="s">
        <v>2494</v>
      </c>
      <c r="C12" s="3476"/>
      <c r="D12" s="2471"/>
      <c r="E12" s="2471"/>
      <c r="F12" s="2472"/>
      <c r="G12" s="2473"/>
      <c r="H12" s="2480"/>
      <c r="I12" s="2470">
        <f>ROUND(D12*E12*F12*G12/10000,0)</f>
        <v>0</v>
      </c>
    </row>
    <row r="13" spans="1:9">
      <c r="A13" s="3475"/>
      <c r="B13" s="3476" t="s">
        <v>2495</v>
      </c>
      <c r="C13" s="3476"/>
      <c r="D13" s="2471"/>
      <c r="E13" s="2471"/>
      <c r="F13" s="2472"/>
      <c r="G13" s="2473"/>
      <c r="H13" s="2480"/>
      <c r="I13" s="2470">
        <f>ROUND(D13*E13*F13*G13/10000,0)</f>
        <v>0</v>
      </c>
    </row>
    <row r="14" spans="1:9">
      <c r="A14" s="3475"/>
      <c r="B14" s="3476" t="s">
        <v>2496</v>
      </c>
      <c r="C14" s="3476"/>
      <c r="D14" s="2471"/>
      <c r="E14" s="2471"/>
      <c r="F14" s="2472"/>
      <c r="G14" s="2473"/>
      <c r="H14" s="2480"/>
      <c r="I14" s="2470">
        <f>ROUND(D14*E14*F14*G14/10000,0)</f>
        <v>0</v>
      </c>
    </row>
    <row r="15" spans="1:9">
      <c r="A15" s="3475"/>
      <c r="B15" s="3477" t="s">
        <v>2485</v>
      </c>
      <c r="C15" s="3477"/>
      <c r="D15" s="2475"/>
      <c r="E15" s="2475">
        <f>SUM(E12:E14)</f>
        <v>0</v>
      </c>
      <c r="F15" s="2476"/>
      <c r="G15" s="2473"/>
      <c r="H15" s="2480"/>
      <c r="I15" s="2481">
        <f>SUM(I12:I14)</f>
        <v>0</v>
      </c>
    </row>
    <row r="16" spans="1:9" ht="24">
      <c r="A16" s="3475" t="s">
        <v>2497</v>
      </c>
      <c r="B16" s="3476" t="s">
        <v>2498</v>
      </c>
      <c r="C16" s="3476"/>
      <c r="D16" s="2471" t="s">
        <v>2499</v>
      </c>
      <c r="E16" s="2482" t="s">
        <v>2500</v>
      </c>
      <c r="F16" s="2472" t="s">
        <v>2501</v>
      </c>
      <c r="G16" s="2473" t="s">
        <v>2491</v>
      </c>
      <c r="H16" s="2479" t="s">
        <v>2492</v>
      </c>
      <c r="I16" s="2470" t="s">
        <v>2493</v>
      </c>
    </row>
    <row r="17" spans="1:9" ht="14.25">
      <c r="A17" s="3475"/>
      <c r="B17" s="3476" t="s">
        <v>2502</v>
      </c>
      <c r="C17" s="3476"/>
      <c r="D17" s="2471"/>
      <c r="E17" s="2471"/>
      <c r="F17" s="2472"/>
      <c r="G17" s="2473"/>
      <c r="H17" s="2483"/>
      <c r="I17" s="2484">
        <f>ROUND(D17*E17*F17*G17/10000,0)</f>
        <v>0</v>
      </c>
    </row>
    <row r="18" spans="1:9" ht="14.25">
      <c r="A18" s="3475"/>
      <c r="B18" s="3476" t="s">
        <v>2503</v>
      </c>
      <c r="C18" s="3476"/>
      <c r="D18" s="2471"/>
      <c r="E18" s="2471"/>
      <c r="F18" s="2472"/>
      <c r="G18" s="2473"/>
      <c r="H18" s="2483"/>
      <c r="I18" s="2484">
        <f>ROUND(D18*E18*F18*G18/10000,0)</f>
        <v>0</v>
      </c>
    </row>
    <row r="19" spans="1:9" ht="14.25">
      <c r="A19" s="3475"/>
      <c r="B19" s="3476" t="s">
        <v>2504</v>
      </c>
      <c r="C19" s="3476"/>
      <c r="D19" s="2471"/>
      <c r="E19" s="2471"/>
      <c r="F19" s="2472"/>
      <c r="G19" s="2473"/>
      <c r="H19" s="2483"/>
      <c r="I19" s="2484">
        <f>ROUND(D19*E19*F19*G19/10000,0)</f>
        <v>0</v>
      </c>
    </row>
    <row r="20" spans="1:9">
      <c r="A20" s="3475"/>
      <c r="B20" s="3477" t="s">
        <v>2485</v>
      </c>
      <c r="C20" s="3477"/>
      <c r="D20" s="2475">
        <f>SUM(D17:D19)</f>
        <v>0</v>
      </c>
      <c r="E20" s="2475"/>
      <c r="F20" s="2476"/>
      <c r="G20" s="2473"/>
      <c r="H20" s="2480"/>
      <c r="I20" s="2481">
        <f>SUM(I17:I19)</f>
        <v>0</v>
      </c>
    </row>
    <row r="21" spans="1:9">
      <c r="A21" s="3475" t="s">
        <v>2505</v>
      </c>
      <c r="B21" s="3478"/>
      <c r="C21" s="3478"/>
      <c r="D21" s="3478"/>
      <c r="E21" s="3478"/>
      <c r="F21" s="3478"/>
      <c r="G21" s="3478"/>
      <c r="H21" s="2485">
        <v>0.1</v>
      </c>
      <c r="I21" s="2478">
        <f>ROUND(I10*H21,0)</f>
        <v>0</v>
      </c>
    </row>
    <row r="22" spans="1:9" ht="14.25">
      <c r="A22" s="3479" t="s">
        <v>2506</v>
      </c>
      <c r="B22" s="3480"/>
      <c r="C22" s="3481"/>
      <c r="D22" s="2486" t="s">
        <v>2507</v>
      </c>
      <c r="E22" s="2486" t="s">
        <v>2508</v>
      </c>
      <c r="F22" s="2487" t="s">
        <v>2509</v>
      </c>
      <c r="G22" s="2487" t="s">
        <v>2510</v>
      </c>
      <c r="H22" s="2479" t="s">
        <v>2511</v>
      </c>
      <c r="I22" s="2470" t="s">
        <v>2512</v>
      </c>
    </row>
    <row r="23" spans="1:9" ht="14.25" thickBot="1">
      <c r="A23" s="3482"/>
      <c r="B23" s="3483"/>
      <c r="C23" s="3484"/>
      <c r="D23" s="2488"/>
      <c r="E23" s="2488"/>
      <c r="F23" s="2488"/>
      <c r="G23" s="2489"/>
      <c r="H23" s="2490"/>
      <c r="I23" s="2491">
        <f>ROUND(E23*D23*F23*(1-G23)/10000,0)</f>
        <v>0</v>
      </c>
    </row>
    <row r="26" spans="1:9">
      <c r="A26" s="2492" t="s">
        <v>2513</v>
      </c>
      <c r="B26" s="2492"/>
      <c r="C26" s="2492"/>
      <c r="D26" s="2492"/>
      <c r="E26" s="3472">
        <f>C27-C30-C31-C32</f>
        <v>0</v>
      </c>
      <c r="F26" s="3472"/>
      <c r="G26" s="3472"/>
      <c r="H26" s="2992" t="s">
        <v>2840</v>
      </c>
    </row>
    <row r="27" spans="1:9">
      <c r="A27" s="2493">
        <v>1</v>
      </c>
      <c r="B27" s="2494" t="s">
        <v>2514</v>
      </c>
      <c r="C27" s="2494"/>
      <c r="D27" s="2494"/>
      <c r="E27" s="3473"/>
      <c r="F27" s="3473"/>
      <c r="G27" s="3473"/>
    </row>
    <row r="28" spans="1:9">
      <c r="A28" s="2495" t="s">
        <v>2515</v>
      </c>
      <c r="B28" s="2494" t="s">
        <v>2516</v>
      </c>
      <c r="C28" s="2494"/>
      <c r="D28" s="2494"/>
      <c r="E28" s="3473"/>
      <c r="F28" s="3473"/>
      <c r="G28" s="3473"/>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74"/>
      <c r="F32" s="3474"/>
      <c r="G32" s="3474"/>
    </row>
    <row r="33" spans="1:7" hidden="1">
      <c r="A33" s="3469" t="s">
        <v>2524</v>
      </c>
      <c r="B33" s="3470"/>
      <c r="C33" s="3470"/>
      <c r="D33" s="3471"/>
      <c r="E33" s="3472"/>
      <c r="F33" s="3472"/>
      <c r="G33" s="3472"/>
    </row>
    <row r="34" spans="1:7" hidden="1">
      <c r="A34" s="2497">
        <v>1</v>
      </c>
      <c r="B34" s="2494" t="s">
        <v>2525</v>
      </c>
      <c r="C34" s="2494"/>
      <c r="D34" s="2494"/>
      <c r="E34" s="3473"/>
      <c r="F34" s="3473"/>
      <c r="G34" s="3473"/>
    </row>
    <row r="35" spans="1:7" hidden="1">
      <c r="A35" s="2497">
        <v>2</v>
      </c>
      <c r="B35" s="2494" t="s">
        <v>2526</v>
      </c>
      <c r="C35" s="2494"/>
      <c r="D35" s="2494"/>
      <c r="E35" s="3473"/>
      <c r="F35" s="3473"/>
      <c r="G35" s="3473"/>
    </row>
    <row r="36" spans="1:7" hidden="1">
      <c r="A36" s="2497">
        <v>3</v>
      </c>
      <c r="B36" s="2494" t="s">
        <v>2527</v>
      </c>
      <c r="C36" s="2494"/>
      <c r="D36" s="2494"/>
      <c r="E36" s="3473"/>
      <c r="F36" s="3473"/>
      <c r="G36" s="3473"/>
    </row>
    <row r="37" spans="1:7" hidden="1">
      <c r="A37" s="2497">
        <v>4</v>
      </c>
      <c r="B37" s="2494" t="s">
        <v>2528</v>
      </c>
      <c r="C37" s="2494"/>
      <c r="D37" s="2494"/>
      <c r="E37" s="3473"/>
      <c r="F37" s="3473"/>
      <c r="G37" s="3473"/>
    </row>
    <row r="38" spans="1:7" hidden="1">
      <c r="A38" s="3469" t="s">
        <v>2529</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1685</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2438</v>
      </c>
      <c r="B8" s="2434" t="s">
        <v>2440</v>
      </c>
      <c r="C8" s="2435"/>
      <c r="D8" s="749"/>
      <c r="E8" s="750"/>
      <c r="F8" s="750"/>
      <c r="G8" s="751"/>
    </row>
    <row r="9" spans="1:25" s="2166" customFormat="1" ht="13.5" customHeight="1">
      <c r="A9" s="2431" t="s">
        <v>2439</v>
      </c>
      <c r="B9" s="2434" t="s">
        <v>2441</v>
      </c>
      <c r="C9" s="2435"/>
      <c r="D9" s="749"/>
      <c r="E9" s="750"/>
      <c r="F9" s="750"/>
      <c r="G9" s="751"/>
    </row>
    <row r="10" spans="1:25" s="2166" customFormat="1" ht="36">
      <c r="A10" s="2431">
        <v>2</v>
      </c>
      <c r="B10" s="748" t="s">
        <v>613</v>
      </c>
      <c r="C10" s="749">
        <f>C11+C14+C15</f>
        <v>0</v>
      </c>
      <c r="D10" s="760">
        <f>'数据-汇总表'!E3</f>
        <v>111957.3</v>
      </c>
      <c r="E10" s="749">
        <f>'数据-取费表'!B31</f>
        <v>100</v>
      </c>
      <c r="F10" s="761"/>
      <c r="G10" s="759" t="s">
        <v>614</v>
      </c>
    </row>
    <row r="11" spans="1:25" s="2166" customFormat="1" ht="13.5" customHeight="1">
      <c r="A11" s="2431" t="s">
        <v>2438</v>
      </c>
      <c r="B11" s="752" t="s">
        <v>610</v>
      </c>
      <c r="C11" s="753">
        <f>'数据-取费表'!B29</f>
        <v>0</v>
      </c>
      <c r="D11" s="754"/>
      <c r="E11" s="753"/>
      <c r="F11" s="755"/>
      <c r="G11" s="2440" t="s">
        <v>2449</v>
      </c>
    </row>
    <row r="12" spans="1:25" s="2166" customFormat="1" ht="13.5" customHeight="1">
      <c r="A12" s="2438" t="s">
        <v>2446</v>
      </c>
      <c r="B12" s="756" t="s">
        <v>611</v>
      </c>
      <c r="C12" s="757">
        <f>ROUND(D12*E12/10000,0)</f>
        <v>2396</v>
      </c>
      <c r="D12" s="758">
        <f>'数据-汇总表'!E5</f>
        <v>111957.3</v>
      </c>
      <c r="E12" s="757">
        <f>'数据-取费表'!B27</f>
        <v>214</v>
      </c>
      <c r="F12" s="755"/>
      <c r="G12" s="759"/>
    </row>
    <row r="13" spans="1:25" s="2166" customFormat="1" ht="13.5" customHeight="1">
      <c r="A13" s="2438" t="s">
        <v>2445</v>
      </c>
      <c r="B13" s="756" t="s">
        <v>612</v>
      </c>
      <c r="C13" s="757">
        <f>ROUND(D13*E13/10000,0)</f>
        <v>0</v>
      </c>
      <c r="D13" s="758">
        <f>'数据-汇总表'!E6</f>
        <v>0</v>
      </c>
      <c r="E13" s="757">
        <f>'数据-取费表'!B28</f>
        <v>214</v>
      </c>
      <c r="F13" s="755"/>
      <c r="G13" s="759"/>
    </row>
    <row r="14" spans="1:25" s="2166" customFormat="1" ht="13.5" customHeight="1">
      <c r="A14" s="2431" t="s">
        <v>2439</v>
      </c>
      <c r="B14" s="2437" t="s">
        <v>2442</v>
      </c>
      <c r="C14" s="2435"/>
      <c r="D14" s="758"/>
      <c r="E14" s="757"/>
      <c r="F14" s="2436"/>
      <c r="G14" s="2439" t="s">
        <v>2447</v>
      </c>
    </row>
    <row r="15" spans="1:25" s="2166" customFormat="1" ht="13.5" customHeight="1">
      <c r="A15" s="2431" t="s">
        <v>2444</v>
      </c>
      <c r="B15" s="2437" t="s">
        <v>2443</v>
      </c>
      <c r="C15" s="2435"/>
      <c r="D15" s="758"/>
      <c r="E15" s="757"/>
      <c r="F15" s="2436"/>
      <c r="G15" s="2439" t="s">
        <v>2448</v>
      </c>
    </row>
    <row r="16" spans="1:25" s="2167" customFormat="1" ht="48">
      <c r="A16" s="2431">
        <v>3</v>
      </c>
      <c r="B16" s="748" t="s">
        <v>615</v>
      </c>
      <c r="C16" s="2435"/>
      <c r="D16" s="760"/>
      <c r="E16" s="749"/>
      <c r="F16" s="761"/>
      <c r="G16" s="759"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0.15</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0.79500000000000004</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35" sqref="N3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5" t="s">
        <v>719</v>
      </c>
      <c r="C1" s="2586" t="s">
        <v>720</v>
      </c>
      <c r="D1" s="2587" t="s">
        <v>2998</v>
      </c>
      <c r="E1" s="2588"/>
      <c r="F1" s="2760" t="s">
        <v>3199</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f>ROUND(B3*D3/10000,0)</f>
        <v>89510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f>C49</f>
        <v>7995</v>
      </c>
      <c r="C3" s="852" t="s">
        <v>722</v>
      </c>
      <c r="D3" s="851">
        <f>SUMIF('数据-汇总表'!$C19:$C33,D1,'数据-汇总表'!$E19:$E33)</f>
        <v>111957.3</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392" t="s">
        <v>522</v>
      </c>
      <c r="D4" s="3393"/>
      <c r="E4" s="3417" t="s">
        <v>523</v>
      </c>
      <c r="F4" s="3418"/>
      <c r="G4" s="3392" t="s">
        <v>524</v>
      </c>
      <c r="H4" s="3393"/>
      <c r="I4" s="3392" t="s">
        <v>525</v>
      </c>
      <c r="J4" s="3393"/>
      <c r="K4" s="853" t="s">
        <v>526</v>
      </c>
      <c r="L4" s="2116"/>
      <c r="M4" s="2117"/>
      <c r="N4" s="2117"/>
      <c r="O4" s="2117"/>
      <c r="P4" s="3394" t="s">
        <v>527</v>
      </c>
      <c r="Q4" s="3395"/>
      <c r="R4" s="3380" t="s">
        <v>523</v>
      </c>
      <c r="S4" s="3381"/>
      <c r="T4" s="3380" t="s">
        <v>524</v>
      </c>
      <c r="U4" s="3381"/>
      <c r="V4" s="3400" t="s">
        <v>525</v>
      </c>
      <c r="W4" s="3400"/>
      <c r="X4" s="1551"/>
      <c r="Y4" s="3380" t="s">
        <v>527</v>
      </c>
      <c r="Z4" s="3381"/>
      <c r="AA4" s="3375" t="s">
        <v>523</v>
      </c>
      <c r="AB4" s="3375" t="s">
        <v>524</v>
      </c>
      <c r="AC4" s="3375" t="s">
        <v>525</v>
      </c>
    </row>
    <row r="5" spans="1:29" ht="15">
      <c r="A5" s="515"/>
      <c r="B5" s="516"/>
      <c r="C5" s="3405" t="s">
        <v>2918</v>
      </c>
      <c r="D5" s="3404"/>
      <c r="E5" s="3490" t="s">
        <v>3171</v>
      </c>
      <c r="F5" s="3420"/>
      <c r="G5" s="3403" t="s">
        <v>3172</v>
      </c>
      <c r="H5" s="3404"/>
      <c r="I5" s="3403" t="s">
        <v>3173</v>
      </c>
      <c r="J5" s="3404"/>
      <c r="K5" s="854"/>
      <c r="L5" s="2116"/>
      <c r="M5" s="2117"/>
      <c r="N5" s="2117"/>
      <c r="O5" s="2117"/>
      <c r="P5" s="3396"/>
      <c r="Q5" s="3397"/>
      <c r="R5" s="3382"/>
      <c r="S5" s="3383"/>
      <c r="T5" s="3382"/>
      <c r="U5" s="3383"/>
      <c r="V5" s="3400"/>
      <c r="W5" s="3400"/>
      <c r="X5" s="1551"/>
      <c r="Y5" s="3382"/>
      <c r="Z5" s="3383"/>
      <c r="AA5" s="3376"/>
      <c r="AB5" s="3376"/>
      <c r="AC5" s="3376"/>
    </row>
    <row r="6" spans="1:29" ht="15.75" thickBot="1">
      <c r="A6" s="517"/>
      <c r="B6" s="518"/>
      <c r="C6" s="3401" t="s">
        <v>2922</v>
      </c>
      <c r="D6" s="3402"/>
      <c r="E6" s="3421" t="s">
        <v>2922</v>
      </c>
      <c r="F6" s="3422"/>
      <c r="G6" s="3401" t="s">
        <v>2922</v>
      </c>
      <c r="H6" s="3402"/>
      <c r="I6" s="3401" t="s">
        <v>2922</v>
      </c>
      <c r="J6" s="3402"/>
      <c r="K6" s="854" t="s">
        <v>528</v>
      </c>
      <c r="L6" s="2116"/>
      <c r="M6" s="2117"/>
      <c r="N6" s="2117"/>
      <c r="O6" s="2117"/>
      <c r="P6" s="3398"/>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v>43966</v>
      </c>
      <c r="F7" s="522">
        <f>SUMIF(58:58,YEAR(E7)&amp;"-"&amp;MONTH(E7),59:59)</f>
        <v>100</v>
      </c>
      <c r="G7" s="523">
        <v>43965</v>
      </c>
      <c r="H7" s="520">
        <f>SUMIF(58:58,YEAR(G7)&amp;"-"&amp;MONTH(G7),59:59)</f>
        <v>100</v>
      </c>
      <c r="I7" s="523">
        <v>43965</v>
      </c>
      <c r="J7" s="520">
        <f>SUMIF(58:58,YEAR(I7)&amp;"-"&amp;MONTH(I7),59:59)</f>
        <v>100</v>
      </c>
      <c r="K7" s="855"/>
      <c r="L7" s="2118"/>
      <c r="M7" s="2119"/>
      <c r="N7" s="2119"/>
      <c r="O7" s="2119"/>
      <c r="P7" s="3378" t="s">
        <v>530</v>
      </c>
      <c r="Q7" s="3387"/>
      <c r="R7" s="1552" t="s">
        <v>13</v>
      </c>
      <c r="S7" s="1553">
        <f t="shared" ref="S7:S15" si="0">F7</f>
        <v>100</v>
      </c>
      <c r="T7" s="1552" t="s">
        <v>13</v>
      </c>
      <c r="U7" s="1553">
        <f t="shared" ref="U7:U15" si="1">H7</f>
        <v>100</v>
      </c>
      <c r="V7" s="1552" t="s">
        <v>13</v>
      </c>
      <c r="W7" s="1553">
        <f t="shared" ref="W7:W15" si="2">J7</f>
        <v>100</v>
      </c>
      <c r="X7" s="1554"/>
      <c r="Y7" s="3378" t="s">
        <v>530</v>
      </c>
      <c r="Z7" s="3379"/>
      <c r="AA7" s="1555">
        <f>D7/F7</f>
        <v>1</v>
      </c>
      <c r="AB7" s="1555">
        <f>D7/H7</f>
        <v>1</v>
      </c>
      <c r="AC7" s="1555">
        <f>D7/J7</f>
        <v>1</v>
      </c>
    </row>
    <row r="8" spans="1:29" s="1215" customFormat="1" ht="15.75" thickBot="1">
      <c r="A8" s="2865"/>
      <c r="B8" s="2872" t="s">
        <v>531</v>
      </c>
      <c r="C8" s="525" t="s">
        <v>576</v>
      </c>
      <c r="D8" s="520">
        <v>100</v>
      </c>
      <c r="E8" s="856" t="s">
        <v>3174</v>
      </c>
      <c r="F8" s="522">
        <f>SUMIF(61:61,E8,62:62)-SUMIF(61:61,C8,62:62)+100</f>
        <v>100</v>
      </c>
      <c r="G8" s="525" t="s">
        <v>3174</v>
      </c>
      <c r="H8" s="520">
        <f>SUMIF(61:61,G8,62:62)-SUMIF(61:61,C8,62:62)+100</f>
        <v>100</v>
      </c>
      <c r="I8" s="856" t="s">
        <v>3174</v>
      </c>
      <c r="J8" s="520">
        <f>SUMIF(61:61,I8,62:62)-SUMIF(61:61,C8,62:62)+100</f>
        <v>100</v>
      </c>
      <c r="K8" s="855"/>
      <c r="L8" s="2118"/>
      <c r="M8" s="2119"/>
      <c r="N8" s="2119"/>
      <c r="O8" s="2119"/>
      <c r="P8" s="3378" t="s">
        <v>533</v>
      </c>
      <c r="Q8" s="3379"/>
      <c r="R8" s="1552" t="s">
        <v>13</v>
      </c>
      <c r="S8" s="1553">
        <f t="shared" si="0"/>
        <v>100</v>
      </c>
      <c r="T8" s="1552" t="s">
        <v>13</v>
      </c>
      <c r="U8" s="1553">
        <f t="shared" si="1"/>
        <v>100</v>
      </c>
      <c r="V8" s="1552" t="s">
        <v>13</v>
      </c>
      <c r="W8" s="1553">
        <f t="shared" si="2"/>
        <v>100</v>
      </c>
      <c r="X8" s="1554"/>
      <c r="Y8" s="3378" t="s">
        <v>533</v>
      </c>
      <c r="Z8" s="3379"/>
      <c r="AA8" s="1555">
        <f t="shared" ref="AA8:AA46" si="3">D8/F8</f>
        <v>1</v>
      </c>
      <c r="AB8" s="1555">
        <f t="shared" ref="AB8:AB46" si="4">D8/H8</f>
        <v>1</v>
      </c>
      <c r="AC8" s="1555">
        <f t="shared" ref="AC8:AC46" si="5">D8/J8</f>
        <v>1</v>
      </c>
    </row>
    <row r="9" spans="1:29" s="1215" customFormat="1" ht="15">
      <c r="A9" s="2866"/>
      <c r="B9" s="2873" t="s">
        <v>2753</v>
      </c>
      <c r="C9" s="3193" t="s">
        <v>3183</v>
      </c>
      <c r="D9" s="254">
        <v>100</v>
      </c>
      <c r="E9" s="858" t="s">
        <v>2998</v>
      </c>
      <c r="F9" s="859">
        <f>SUMIF(63:63,E9,64:64)-SUMIF(63:63,C9,64:64)+100</f>
        <v>100</v>
      </c>
      <c r="G9" s="860" t="s">
        <v>2998</v>
      </c>
      <c r="H9" s="254">
        <f>SUMIF(63:63,G9,64:64)-SUMIF(63:63,C9,64:64)+100</f>
        <v>100</v>
      </c>
      <c r="I9" s="860" t="s">
        <v>2998</v>
      </c>
      <c r="J9" s="254">
        <f>SUMIF(63:63,I9,64:64)-SUMIF(63:63,C9,64:64)+100</f>
        <v>100</v>
      </c>
      <c r="K9" s="855"/>
      <c r="L9" s="2118"/>
      <c r="M9" s="2119"/>
      <c r="N9" s="2119"/>
      <c r="O9" s="2120"/>
      <c r="P9" s="3386" t="s">
        <v>535</v>
      </c>
      <c r="Q9" s="1146" t="str">
        <f t="shared" ref="Q9:Q15" si="6">B9</f>
        <v>用途</v>
      </c>
      <c r="R9" s="1552" t="s">
        <v>8</v>
      </c>
      <c r="S9" s="1553">
        <f t="shared" si="0"/>
        <v>100</v>
      </c>
      <c r="T9" s="1552" t="s">
        <v>8</v>
      </c>
      <c r="U9" s="1553">
        <f t="shared" si="1"/>
        <v>100</v>
      </c>
      <c r="V9" s="1552" t="s">
        <v>8</v>
      </c>
      <c r="W9" s="1553">
        <f t="shared" si="2"/>
        <v>100</v>
      </c>
      <c r="X9" s="1554"/>
      <c r="Y9" s="3343" t="s">
        <v>536</v>
      </c>
      <c r="Z9" s="1145" t="str">
        <f t="shared" ref="Z9:Z15" si="7">Q9</f>
        <v>用途</v>
      </c>
      <c r="AA9" s="1555">
        <f t="shared" si="3"/>
        <v>1</v>
      </c>
      <c r="AB9" s="1555">
        <f t="shared" si="4"/>
        <v>1</v>
      </c>
      <c r="AC9" s="1555">
        <f t="shared" si="5"/>
        <v>1</v>
      </c>
    </row>
    <row r="10" spans="1:29" s="1333" customFormat="1" ht="27">
      <c r="A10" s="2867"/>
      <c r="B10" s="2872" t="s">
        <v>2754</v>
      </c>
      <c r="C10" s="861" t="s">
        <v>3182</v>
      </c>
      <c r="D10" s="255">
        <v>100</v>
      </c>
      <c r="E10" s="862" t="s">
        <v>3175</v>
      </c>
      <c r="F10" s="863">
        <f>SUMIF(65:65,E10,66:66)-SUMIF(65:65,C10,66:66)+100</f>
        <v>103</v>
      </c>
      <c r="G10" s="862" t="s">
        <v>3175</v>
      </c>
      <c r="H10" s="255">
        <f>SUMIF(65:65,G10,66:66)-SUMIF(65:65,C10,66:66)+100</f>
        <v>103</v>
      </c>
      <c r="I10" s="861" t="s">
        <v>3175</v>
      </c>
      <c r="J10" s="255">
        <f>SUMIF(65:65,I10,66:66)-SUMIF(65:65,C10,66:66)+100</f>
        <v>103</v>
      </c>
      <c r="K10" s="864">
        <v>3</v>
      </c>
      <c r="L10" s="2121"/>
      <c r="M10" s="2161"/>
      <c r="N10" s="2161"/>
      <c r="O10" s="2122"/>
      <c r="P10" s="3386"/>
      <c r="Q10" s="1146" t="str">
        <f t="shared" si="6"/>
        <v>土地使用年限（年）</v>
      </c>
      <c r="R10" s="1552" t="s">
        <v>8</v>
      </c>
      <c r="S10" s="1553">
        <f t="shared" si="0"/>
        <v>103</v>
      </c>
      <c r="T10" s="1552" t="s">
        <v>8</v>
      </c>
      <c r="U10" s="1553">
        <f t="shared" si="1"/>
        <v>103</v>
      </c>
      <c r="V10" s="1552" t="s">
        <v>8</v>
      </c>
      <c r="W10" s="1553">
        <f t="shared" si="2"/>
        <v>103</v>
      </c>
      <c r="X10" s="1554"/>
      <c r="Y10" s="3343"/>
      <c r="Z10" s="1145" t="str">
        <f t="shared" si="7"/>
        <v>土地使用年限（年）</v>
      </c>
      <c r="AA10" s="1555">
        <f t="shared" si="3"/>
        <v>0.970873786407767</v>
      </c>
      <c r="AB10" s="1555">
        <f t="shared" si="4"/>
        <v>0.970873786407767</v>
      </c>
      <c r="AC10" s="1555">
        <f t="shared" si="5"/>
        <v>0.970873786407767</v>
      </c>
    </row>
    <row r="11" spans="1:29" ht="15.75" thickBot="1">
      <c r="A11" s="2868"/>
      <c r="B11" s="2872" t="s">
        <v>2755</v>
      </c>
      <c r="C11" s="533">
        <f>'数据-汇总表'!I6</f>
        <v>2.1</v>
      </c>
      <c r="D11" s="255">
        <v>100</v>
      </c>
      <c r="E11" s="534">
        <v>2.69</v>
      </c>
      <c r="F11" s="863">
        <f>LOOKUP(E11,68:68,69:69)-LOOKUP(C11,68:68,69:69)+100</f>
        <v>100</v>
      </c>
      <c r="G11" s="533">
        <v>1.8</v>
      </c>
      <c r="H11" s="255">
        <f>LOOKUP(G11,68:68,69:69)-LOOKUP(C11,68:68,69:69)+100</f>
        <v>102</v>
      </c>
      <c r="I11" s="533">
        <v>5.5</v>
      </c>
      <c r="J11" s="255">
        <f>LOOKUP(I11,68:68,69:69)-LOOKUP(C11,68:68,69:69)+100</f>
        <v>94</v>
      </c>
      <c r="K11" s="864">
        <v>2</v>
      </c>
      <c r="L11" s="2123"/>
      <c r="M11" s="2117"/>
      <c r="N11" s="2117"/>
      <c r="O11" s="2124"/>
      <c r="P11" s="3386"/>
      <c r="Q11" s="1146" t="str">
        <f t="shared" si="6"/>
        <v>容积率</v>
      </c>
      <c r="R11" s="1552" t="s">
        <v>11</v>
      </c>
      <c r="S11" s="1553">
        <f t="shared" si="0"/>
        <v>100</v>
      </c>
      <c r="T11" s="1552" t="s">
        <v>11</v>
      </c>
      <c r="U11" s="1553">
        <f t="shared" si="1"/>
        <v>102</v>
      </c>
      <c r="V11" s="1552" t="s">
        <v>11</v>
      </c>
      <c r="W11" s="1553">
        <f t="shared" si="2"/>
        <v>94</v>
      </c>
      <c r="X11" s="1554"/>
      <c r="Y11" s="3343"/>
      <c r="Z11" s="1145" t="str">
        <f t="shared" si="7"/>
        <v>容积率</v>
      </c>
      <c r="AA11" s="1555">
        <f t="shared" si="3"/>
        <v>1</v>
      </c>
      <c r="AB11" s="1555">
        <f t="shared" si="4"/>
        <v>0.98039215686274506</v>
      </c>
      <c r="AC11" s="1555">
        <f t="shared" si="5"/>
        <v>1.0638297872340425</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86"/>
      <c r="Q12" s="1146">
        <f t="shared" si="6"/>
        <v>111</v>
      </c>
      <c r="R12" s="1552" t="s">
        <v>11</v>
      </c>
      <c r="S12" s="1553">
        <f t="shared" si="0"/>
        <v>100</v>
      </c>
      <c r="T12" s="1552" t="s">
        <v>11</v>
      </c>
      <c r="U12" s="1553">
        <f t="shared" si="1"/>
        <v>100</v>
      </c>
      <c r="V12" s="1552" t="s">
        <v>11</v>
      </c>
      <c r="W12" s="1553">
        <f t="shared" si="2"/>
        <v>100</v>
      </c>
      <c r="X12" s="1554"/>
      <c r="Y12" s="3343"/>
      <c r="Z12" s="1145">
        <f t="shared" si="7"/>
        <v>111</v>
      </c>
      <c r="AA12" s="1555">
        <f>D12/F12</f>
        <v>1</v>
      </c>
      <c r="AB12" s="1555">
        <f>D12/H12</f>
        <v>1</v>
      </c>
      <c r="AC12" s="1555">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86"/>
      <c r="Q13" s="1146">
        <f t="shared" si="6"/>
        <v>111</v>
      </c>
      <c r="R13" s="1552" t="s">
        <v>11</v>
      </c>
      <c r="S13" s="1553">
        <f t="shared" si="0"/>
        <v>100</v>
      </c>
      <c r="T13" s="1552" t="s">
        <v>11</v>
      </c>
      <c r="U13" s="1553">
        <f t="shared" si="1"/>
        <v>100</v>
      </c>
      <c r="V13" s="1552" t="s">
        <v>11</v>
      </c>
      <c r="W13" s="1553">
        <f t="shared" si="2"/>
        <v>100</v>
      </c>
      <c r="X13" s="1554"/>
      <c r="Y13" s="3343"/>
      <c r="Z13" s="1145">
        <f t="shared" si="7"/>
        <v>111</v>
      </c>
      <c r="AA13" s="1555">
        <f t="shared" si="3"/>
        <v>1</v>
      </c>
      <c r="AB13" s="1555">
        <f t="shared" si="4"/>
        <v>1</v>
      </c>
      <c r="AC13" s="1555">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86"/>
      <c r="Q14" s="1146">
        <f t="shared" si="6"/>
        <v>111</v>
      </c>
      <c r="R14" s="1552" t="s">
        <v>11</v>
      </c>
      <c r="S14" s="1553">
        <f t="shared" si="0"/>
        <v>100</v>
      </c>
      <c r="T14" s="1552" t="s">
        <v>11</v>
      </c>
      <c r="U14" s="1553">
        <f t="shared" si="1"/>
        <v>100</v>
      </c>
      <c r="V14" s="1552" t="s">
        <v>11</v>
      </c>
      <c r="W14" s="1553">
        <f t="shared" si="2"/>
        <v>100</v>
      </c>
      <c r="X14" s="1554"/>
      <c r="Y14" s="3343"/>
      <c r="Z14" s="1145">
        <f t="shared" si="7"/>
        <v>111</v>
      </c>
      <c r="AA14" s="1555">
        <f t="shared" si="3"/>
        <v>1</v>
      </c>
      <c r="AB14" s="1555">
        <f t="shared" si="4"/>
        <v>1</v>
      </c>
      <c r="AC14" s="1555">
        <f t="shared" si="5"/>
        <v>1</v>
      </c>
    </row>
    <row r="15" spans="1:29" ht="15">
      <c r="A15" s="2862"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5"/>
      <c r="M15" s="2117"/>
      <c r="N15" s="2117"/>
      <c r="O15" s="2124"/>
      <c r="P15" s="3388" t="s">
        <v>540</v>
      </c>
      <c r="Q15" s="1556" t="str">
        <f t="shared" si="6"/>
        <v>居住社区成熟度</v>
      </c>
      <c r="R15" s="1557" t="s">
        <v>11</v>
      </c>
      <c r="S15" s="1558">
        <f t="shared" si="0"/>
        <v>100</v>
      </c>
      <c r="T15" s="1557" t="s">
        <v>11</v>
      </c>
      <c r="U15" s="1558">
        <f t="shared" si="1"/>
        <v>100</v>
      </c>
      <c r="V15" s="1557" t="s">
        <v>11</v>
      </c>
      <c r="W15" s="1558">
        <f t="shared" si="2"/>
        <v>104</v>
      </c>
      <c r="X15" s="1551"/>
      <c r="Y15" s="3388" t="s">
        <v>540</v>
      </c>
      <c r="Z15" s="1559" t="str">
        <f t="shared" si="7"/>
        <v>居住社区成熟度</v>
      </c>
      <c r="AA15" s="1560">
        <f t="shared" si="3"/>
        <v>1</v>
      </c>
      <c r="AB15" s="1560">
        <f t="shared" si="4"/>
        <v>1</v>
      </c>
      <c r="AC15" s="1560">
        <f t="shared" si="5"/>
        <v>0.96153846153846156</v>
      </c>
    </row>
    <row r="16" spans="1:29" ht="15">
      <c r="A16" s="532"/>
      <c r="B16" s="869"/>
      <c r="C16" s="576" t="s">
        <v>3011</v>
      </c>
      <c r="D16" s="555"/>
      <c r="E16" s="556" t="s">
        <v>3011</v>
      </c>
      <c r="F16" s="557"/>
      <c r="G16" s="558" t="s">
        <v>3011</v>
      </c>
      <c r="H16" s="559"/>
      <c r="I16" s="556" t="s">
        <v>3012</v>
      </c>
      <c r="J16" s="555"/>
      <c r="K16" s="870"/>
      <c r="L16" s="2125"/>
      <c r="M16" s="2117"/>
      <c r="N16" s="2117"/>
      <c r="O16" s="2124"/>
      <c r="P16" s="3389"/>
      <c r="Q16" s="1556"/>
      <c r="R16" s="1557"/>
      <c r="S16" s="1558"/>
      <c r="T16" s="1557"/>
      <c r="U16" s="1558"/>
      <c r="V16" s="1557"/>
      <c r="W16" s="1558"/>
      <c r="X16" s="1551"/>
      <c r="Y16" s="3389"/>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5"/>
      <c r="M17" s="2117"/>
      <c r="N17" s="2117"/>
      <c r="O17" s="2124"/>
      <c r="P17" s="3389"/>
      <c r="Q17" s="1556" t="str">
        <f>B17</f>
        <v>交通便捷度</v>
      </c>
      <c r="R17" s="1557" t="s">
        <v>11</v>
      </c>
      <c r="S17" s="1558">
        <f>F17</f>
        <v>100</v>
      </c>
      <c r="T17" s="1557" t="s">
        <v>11</v>
      </c>
      <c r="U17" s="1558">
        <f>H17</f>
        <v>100</v>
      </c>
      <c r="V17" s="1557" t="s">
        <v>11</v>
      </c>
      <c r="W17" s="1558">
        <f>J17</f>
        <v>104</v>
      </c>
      <c r="X17" s="1551"/>
      <c r="Y17" s="3389"/>
      <c r="Z17" s="1559" t="str">
        <f>Q17</f>
        <v>交通便捷度</v>
      </c>
      <c r="AA17" s="1560">
        <f t="shared" si="3"/>
        <v>1</v>
      </c>
      <c r="AB17" s="1560">
        <f t="shared" si="4"/>
        <v>1</v>
      </c>
      <c r="AC17" s="1560">
        <f t="shared" si="5"/>
        <v>0.96153846153846156</v>
      </c>
    </row>
    <row r="18" spans="1:29" ht="15">
      <c r="A18" s="532"/>
      <c r="B18" s="595"/>
      <c r="C18" s="873" t="s">
        <v>3011</v>
      </c>
      <c r="D18" s="559"/>
      <c r="E18" s="568" t="s">
        <v>3011</v>
      </c>
      <c r="F18" s="563"/>
      <c r="G18" s="569" t="s">
        <v>3011</v>
      </c>
      <c r="H18" s="555"/>
      <c r="I18" s="568" t="s">
        <v>3012</v>
      </c>
      <c r="J18" s="555"/>
      <c r="K18" s="870"/>
      <c r="L18" s="2125"/>
      <c r="M18" s="2117"/>
      <c r="N18" s="2117"/>
      <c r="O18" s="2124"/>
      <c r="P18" s="3389"/>
      <c r="Q18" s="1556"/>
      <c r="R18" s="1557"/>
      <c r="S18" s="1558"/>
      <c r="T18" s="1557"/>
      <c r="U18" s="1558"/>
      <c r="V18" s="1557"/>
      <c r="W18" s="1558"/>
      <c r="X18" s="1551"/>
      <c r="Y18" s="3389"/>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5"/>
      <c r="M19" s="2117"/>
      <c r="N19" s="2117"/>
      <c r="O19" s="2124"/>
      <c r="P19" s="3389"/>
      <c r="Q19" s="1556" t="str">
        <f>B19</f>
        <v>公共配套设施</v>
      </c>
      <c r="R19" s="1557" t="s">
        <v>11</v>
      </c>
      <c r="S19" s="1558">
        <f>F19</f>
        <v>100</v>
      </c>
      <c r="T19" s="1557" t="s">
        <v>11</v>
      </c>
      <c r="U19" s="1558">
        <f>H19</f>
        <v>100</v>
      </c>
      <c r="V19" s="1557" t="s">
        <v>11</v>
      </c>
      <c r="W19" s="1558">
        <f>J19</f>
        <v>104</v>
      </c>
      <c r="X19" s="1551"/>
      <c r="Y19" s="3389"/>
      <c r="Z19" s="1559" t="str">
        <f>Q19</f>
        <v>公共配套设施</v>
      </c>
      <c r="AA19" s="1560">
        <f t="shared" si="3"/>
        <v>1</v>
      </c>
      <c r="AB19" s="1560">
        <f t="shared" si="4"/>
        <v>1</v>
      </c>
      <c r="AC19" s="1560">
        <f t="shared" si="5"/>
        <v>0.96153846153846156</v>
      </c>
    </row>
    <row r="20" spans="1:29" ht="15">
      <c r="A20" s="532"/>
      <c r="B20" s="595"/>
      <c r="C20" s="576" t="s">
        <v>3011</v>
      </c>
      <c r="D20" s="555"/>
      <c r="E20" s="556" t="s">
        <v>3011</v>
      </c>
      <c r="F20" s="557"/>
      <c r="G20" s="558" t="s">
        <v>3011</v>
      </c>
      <c r="H20" s="555"/>
      <c r="I20" s="556" t="s">
        <v>3012</v>
      </c>
      <c r="J20" s="555"/>
      <c r="K20" s="870"/>
      <c r="L20" s="2125"/>
      <c r="M20" s="2117"/>
      <c r="N20" s="2117"/>
      <c r="O20" s="2124"/>
      <c r="P20" s="3389"/>
      <c r="Q20" s="1556"/>
      <c r="R20" s="1557"/>
      <c r="S20" s="1558"/>
      <c r="T20" s="1557"/>
      <c r="U20" s="1558"/>
      <c r="V20" s="1557"/>
      <c r="W20" s="1558"/>
      <c r="X20" s="1551"/>
      <c r="Y20" s="3389"/>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389"/>
      <c r="Q21" s="2541" t="str">
        <f>B21</f>
        <v>基础设施水平</v>
      </c>
      <c r="R21" s="1557" t="s">
        <v>11</v>
      </c>
      <c r="S21" s="1558">
        <f>F21</f>
        <v>100</v>
      </c>
      <c r="T21" s="1557" t="s">
        <v>11</v>
      </c>
      <c r="U21" s="1558">
        <f>H21</f>
        <v>100</v>
      </c>
      <c r="V21" s="1557" t="s">
        <v>11</v>
      </c>
      <c r="W21" s="1558">
        <f>J21</f>
        <v>100</v>
      </c>
      <c r="X21" s="2543"/>
      <c r="Y21" s="3389"/>
      <c r="Z21" s="2542" t="str">
        <f>Q21</f>
        <v>基础设施水平</v>
      </c>
      <c r="AA21" s="1560">
        <f t="shared" ref="AA21" si="8">D21/F21</f>
        <v>1</v>
      </c>
      <c r="AB21" s="1560">
        <f t="shared" ref="AB21" si="9">D21/H21</f>
        <v>1</v>
      </c>
      <c r="AC21" s="1560">
        <f t="shared" ref="AC21" si="10">D21/J21</f>
        <v>1</v>
      </c>
    </row>
    <row r="22" spans="1:29" ht="15">
      <c r="A22" s="532"/>
      <c r="B22" s="921"/>
      <c r="C22" s="873" t="s">
        <v>3013</v>
      </c>
      <c r="D22" s="555"/>
      <c r="E22" s="576" t="s">
        <v>3013</v>
      </c>
      <c r="F22" s="557"/>
      <c r="G22" s="576" t="s">
        <v>3013</v>
      </c>
      <c r="H22" s="555"/>
      <c r="I22" s="576" t="s">
        <v>3013</v>
      </c>
      <c r="J22" s="555"/>
      <c r="K22" s="2561"/>
      <c r="L22" s="2125"/>
      <c r="M22" s="2117"/>
      <c r="N22" s="2117"/>
      <c r="O22" s="2124"/>
      <c r="P22" s="3389"/>
      <c r="Q22" s="2541"/>
      <c r="R22" s="1557"/>
      <c r="S22" s="1558"/>
      <c r="T22" s="1557"/>
      <c r="U22" s="1558"/>
      <c r="V22" s="1557"/>
      <c r="W22" s="1558"/>
      <c r="X22" s="2543"/>
      <c r="Y22" s="3389"/>
      <c r="Z22" s="2542"/>
      <c r="AA22" s="1560">
        <v>1</v>
      </c>
      <c r="AB22" s="1560">
        <v>1</v>
      </c>
      <c r="AC22" s="1560">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5"/>
      <c r="M23" s="2117"/>
      <c r="N23" s="2117"/>
      <c r="O23" s="2124"/>
      <c r="P23" s="3389"/>
      <c r="Q23" s="1556" t="str">
        <f>B23</f>
        <v>自然及人文环境</v>
      </c>
      <c r="R23" s="1557" t="s">
        <v>11</v>
      </c>
      <c r="S23" s="1558">
        <f>F23</f>
        <v>100</v>
      </c>
      <c r="T23" s="1557" t="s">
        <v>11</v>
      </c>
      <c r="U23" s="1558">
        <f>H23</f>
        <v>104</v>
      </c>
      <c r="V23" s="1557" t="s">
        <v>11</v>
      </c>
      <c r="W23" s="1558">
        <f>J23</f>
        <v>100</v>
      </c>
      <c r="X23" s="1551"/>
      <c r="Y23" s="3389"/>
      <c r="Z23" s="1559" t="str">
        <f>Q23</f>
        <v>自然及人文环境</v>
      </c>
      <c r="AA23" s="1560">
        <f t="shared" si="3"/>
        <v>1</v>
      </c>
      <c r="AB23" s="1560">
        <f t="shared" si="4"/>
        <v>0.96153846153846156</v>
      </c>
      <c r="AC23" s="1560">
        <f t="shared" si="5"/>
        <v>1</v>
      </c>
    </row>
    <row r="24" spans="1:29" ht="15.75" thickBot="1">
      <c r="A24" s="532"/>
      <c r="B24" s="595"/>
      <c r="C24" s="576" t="s">
        <v>3011</v>
      </c>
      <c r="D24" s="555"/>
      <c r="E24" s="556" t="s">
        <v>3011</v>
      </c>
      <c r="F24" s="557"/>
      <c r="G24" s="558" t="s">
        <v>3012</v>
      </c>
      <c r="H24" s="555"/>
      <c r="I24" s="556" t="s">
        <v>3011</v>
      </c>
      <c r="J24" s="555"/>
      <c r="K24" s="870"/>
      <c r="L24" s="2125"/>
      <c r="M24" s="2117"/>
      <c r="N24" s="2117"/>
      <c r="O24" s="2124"/>
      <c r="P24" s="3389"/>
      <c r="Q24" s="1556"/>
      <c r="R24" s="1557"/>
      <c r="S24" s="1558"/>
      <c r="T24" s="1557"/>
      <c r="U24" s="1558"/>
      <c r="V24" s="1557"/>
      <c r="W24" s="1558"/>
      <c r="X24" s="1551"/>
      <c r="Y24" s="3389"/>
      <c r="Z24" s="1559"/>
      <c r="AA24" s="1560">
        <v>1</v>
      </c>
      <c r="AB24" s="1560">
        <v>1</v>
      </c>
      <c r="AC24" s="1560">
        <v>1</v>
      </c>
    </row>
    <row r="25" spans="1:29" ht="15" hidden="1">
      <c r="A25" s="532"/>
      <c r="B25" s="1878" t="s">
        <v>2254</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389"/>
      <c r="Q25" s="1556" t="str">
        <f t="shared" ref="Q25:Q46" si="11">B25</f>
        <v>楼层-1</v>
      </c>
      <c r="R25" s="1557" t="s">
        <v>11</v>
      </c>
      <c r="S25" s="1558">
        <f>F25</f>
        <v>100</v>
      </c>
      <c r="T25" s="1557" t="s">
        <v>11</v>
      </c>
      <c r="U25" s="1558">
        <f>H25</f>
        <v>100</v>
      </c>
      <c r="V25" s="1557" t="s">
        <v>11</v>
      </c>
      <c r="W25" s="1558">
        <f>J25</f>
        <v>100</v>
      </c>
      <c r="X25" s="1551"/>
      <c r="Y25" s="3389"/>
      <c r="Z25" s="1559" t="str">
        <f>Q25</f>
        <v>楼层-1</v>
      </c>
      <c r="AA25" s="1560">
        <f t="shared" si="3"/>
        <v>1</v>
      </c>
      <c r="AB25" s="1560">
        <f t="shared" si="4"/>
        <v>1</v>
      </c>
      <c r="AC25" s="156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389"/>
      <c r="Q26" s="1556" t="str">
        <f t="shared" si="11"/>
        <v>朝向</v>
      </c>
      <c r="R26" s="1557" t="s">
        <v>11</v>
      </c>
      <c r="S26" s="1558">
        <f>F26</f>
        <v>100</v>
      </c>
      <c r="T26" s="1557" t="s">
        <v>11</v>
      </c>
      <c r="U26" s="1558">
        <f>H26</f>
        <v>100</v>
      </c>
      <c r="V26" s="1557" t="s">
        <v>11</v>
      </c>
      <c r="W26" s="1558">
        <f>J26</f>
        <v>100</v>
      </c>
      <c r="X26" s="1551"/>
      <c r="Y26" s="3389"/>
      <c r="Z26" s="1559" t="str">
        <f>Q26</f>
        <v>朝向</v>
      </c>
      <c r="AA26" s="1560">
        <f t="shared" si="3"/>
        <v>1</v>
      </c>
      <c r="AB26" s="1560">
        <f t="shared" si="4"/>
        <v>1</v>
      </c>
      <c r="AC26" s="1560">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389"/>
      <c r="Q27" s="1146" t="str">
        <f t="shared" si="11"/>
        <v>道路级别</v>
      </c>
      <c r="R27" s="1552" t="s">
        <v>11</v>
      </c>
      <c r="S27" s="1553">
        <f>F27</f>
        <v>100</v>
      </c>
      <c r="T27" s="1552" t="s">
        <v>11</v>
      </c>
      <c r="U27" s="1553">
        <f>H27</f>
        <v>100</v>
      </c>
      <c r="V27" s="1552" t="s">
        <v>11</v>
      </c>
      <c r="W27" s="1553">
        <f>J27</f>
        <v>100</v>
      </c>
      <c r="X27" s="1554"/>
      <c r="Y27" s="3389"/>
      <c r="Z27" s="1145" t="str">
        <f>Q27</f>
        <v>道路级别</v>
      </c>
      <c r="AA27" s="1560">
        <f>D27/F27</f>
        <v>1</v>
      </c>
      <c r="AB27" s="1560">
        <f>D27/H27</f>
        <v>1</v>
      </c>
      <c r="AC27" s="1560">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389"/>
      <c r="Q28" s="1556">
        <f t="shared" si="11"/>
        <v>111</v>
      </c>
      <c r="R28" s="1557" t="s">
        <v>11</v>
      </c>
      <c r="S28" s="1558">
        <f t="shared" ref="S28:S46" si="12">F28</f>
        <v>100</v>
      </c>
      <c r="T28" s="1557" t="s">
        <v>11</v>
      </c>
      <c r="U28" s="1558">
        <f t="shared" ref="U28:U46" si="13">H28</f>
        <v>100</v>
      </c>
      <c r="V28" s="1557" t="s">
        <v>11</v>
      </c>
      <c r="W28" s="1558">
        <f t="shared" ref="W28:W46" si="14">J28</f>
        <v>100</v>
      </c>
      <c r="X28" s="1551"/>
      <c r="Y28" s="3389"/>
      <c r="Z28" s="1559">
        <f t="shared" ref="Z28:Z46" si="15">Q28</f>
        <v>111</v>
      </c>
      <c r="AA28" s="1560">
        <f t="shared" si="3"/>
        <v>1</v>
      </c>
      <c r="AB28" s="1560">
        <f t="shared" si="4"/>
        <v>1</v>
      </c>
      <c r="AC28" s="1560">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389"/>
      <c r="Q29" s="1556">
        <f t="shared" si="11"/>
        <v>111</v>
      </c>
      <c r="R29" s="1557" t="s">
        <v>11</v>
      </c>
      <c r="S29" s="1558">
        <f t="shared" si="12"/>
        <v>100</v>
      </c>
      <c r="T29" s="1557" t="s">
        <v>11</v>
      </c>
      <c r="U29" s="1558">
        <f t="shared" si="13"/>
        <v>100</v>
      </c>
      <c r="V29" s="1557" t="s">
        <v>11</v>
      </c>
      <c r="W29" s="1558">
        <f t="shared" si="14"/>
        <v>100</v>
      </c>
      <c r="X29" s="1551"/>
      <c r="Y29" s="3389"/>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389"/>
      <c r="Q30" s="1556">
        <f t="shared" si="11"/>
        <v>111</v>
      </c>
      <c r="R30" s="1557" t="s">
        <v>11</v>
      </c>
      <c r="S30" s="1558">
        <f t="shared" si="12"/>
        <v>100</v>
      </c>
      <c r="T30" s="1557" t="s">
        <v>11</v>
      </c>
      <c r="U30" s="1558">
        <f t="shared" si="13"/>
        <v>100</v>
      </c>
      <c r="V30" s="1557" t="s">
        <v>11</v>
      </c>
      <c r="W30" s="1558">
        <f t="shared" si="14"/>
        <v>100</v>
      </c>
      <c r="X30" s="1551"/>
      <c r="Y30" s="3389"/>
      <c r="Z30" s="1559">
        <f t="shared" si="15"/>
        <v>111</v>
      </c>
      <c r="AA30" s="1560">
        <f t="shared" si="3"/>
        <v>1</v>
      </c>
      <c r="AB30" s="1560">
        <f t="shared" si="4"/>
        <v>1</v>
      </c>
      <c r="AC30" s="156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389"/>
      <c r="Q31" s="1556">
        <f t="shared" si="11"/>
        <v>111</v>
      </c>
      <c r="R31" s="1557" t="s">
        <v>11</v>
      </c>
      <c r="S31" s="1558">
        <f t="shared" si="12"/>
        <v>100</v>
      </c>
      <c r="T31" s="1557" t="s">
        <v>11</v>
      </c>
      <c r="U31" s="1558">
        <f t="shared" si="13"/>
        <v>100</v>
      </c>
      <c r="V31" s="1557" t="s">
        <v>11</v>
      </c>
      <c r="W31" s="1558">
        <f t="shared" si="14"/>
        <v>100</v>
      </c>
      <c r="X31" s="1551"/>
      <c r="Y31" s="3389"/>
      <c r="Z31" s="1559">
        <f t="shared" si="15"/>
        <v>111</v>
      </c>
      <c r="AA31" s="1560">
        <f t="shared" si="3"/>
        <v>1</v>
      </c>
      <c r="AB31" s="1560">
        <f t="shared" si="4"/>
        <v>1</v>
      </c>
      <c r="AC31" s="1560">
        <f t="shared" si="5"/>
        <v>1</v>
      </c>
    </row>
    <row r="32" spans="1:29" ht="15">
      <c r="A32" s="2860" t="s">
        <v>2752</v>
      </c>
      <c r="B32" s="172" t="s">
        <v>725</v>
      </c>
      <c r="C32" s="3192" t="s">
        <v>2998</v>
      </c>
      <c r="D32" s="597">
        <v>100</v>
      </c>
      <c r="E32" s="3192" t="s">
        <v>2998</v>
      </c>
      <c r="F32" s="575">
        <f>SUMIF(100:100,E32,101:101)-SUMIF(100:100,C32,101:101)+100</f>
        <v>100</v>
      </c>
      <c r="G32" s="3192" t="s">
        <v>2998</v>
      </c>
      <c r="H32" s="597">
        <f>SUMIF(100:100,G32,101:101)-SUMIF(100:100,C32,101:101)+100</f>
        <v>100</v>
      </c>
      <c r="I32" s="3192" t="s">
        <v>2998</v>
      </c>
      <c r="J32" s="540">
        <f>SUMIF(100:100,I32,101:101)-SUMIF(100:100,C32,101:101)+100</f>
        <v>100</v>
      </c>
      <c r="K32" s="864">
        <v>5</v>
      </c>
      <c r="L32" s="2125"/>
      <c r="M32" s="2117"/>
      <c r="N32" s="2117"/>
      <c r="O32" s="2124"/>
      <c r="P32" s="3390" t="s">
        <v>550</v>
      </c>
      <c r="Q32" s="1556" t="str">
        <f t="shared" si="11"/>
        <v>建筑类型</v>
      </c>
      <c r="R32" s="1557" t="s">
        <v>11</v>
      </c>
      <c r="S32" s="1558">
        <f t="shared" si="12"/>
        <v>100</v>
      </c>
      <c r="T32" s="1557" t="s">
        <v>11</v>
      </c>
      <c r="U32" s="1558">
        <f t="shared" si="13"/>
        <v>100</v>
      </c>
      <c r="V32" s="1557" t="s">
        <v>11</v>
      </c>
      <c r="W32" s="1558">
        <f t="shared" si="14"/>
        <v>100</v>
      </c>
      <c r="X32" s="1551"/>
      <c r="Y32" s="3391" t="s">
        <v>550</v>
      </c>
      <c r="Z32" s="1559" t="str">
        <f t="shared" si="15"/>
        <v>建筑类型</v>
      </c>
      <c r="AA32" s="1560">
        <f t="shared" si="3"/>
        <v>1</v>
      </c>
      <c r="AB32" s="1560">
        <f t="shared" si="4"/>
        <v>1</v>
      </c>
      <c r="AC32" s="1560">
        <f t="shared" si="5"/>
        <v>1</v>
      </c>
    </row>
    <row r="33" spans="1:29" s="1334" customFormat="1" ht="15">
      <c r="A33" s="603"/>
      <c r="B33" s="527" t="s">
        <v>726</v>
      </c>
      <c r="C33" s="534">
        <f>'数据-汇总表'!F27</f>
        <v>111957.3</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3"/>
      <c r="M33" s="2154"/>
      <c r="N33" s="2154"/>
      <c r="O33" s="2126"/>
      <c r="P33" s="3391"/>
      <c r="Q33" s="1588" t="str">
        <f t="shared" si="11"/>
        <v>项目建筑规模</v>
      </c>
      <c r="R33" s="1561" t="s">
        <v>11</v>
      </c>
      <c r="S33" s="1562">
        <f t="shared" si="12"/>
        <v>100</v>
      </c>
      <c r="T33" s="1561" t="s">
        <v>11</v>
      </c>
      <c r="U33" s="1562">
        <f t="shared" si="13"/>
        <v>98</v>
      </c>
      <c r="V33" s="1561" t="s">
        <v>11</v>
      </c>
      <c r="W33" s="1562">
        <f t="shared" si="14"/>
        <v>100</v>
      </c>
      <c r="X33" s="1563"/>
      <c r="Y33" s="3391"/>
      <c r="Z33" s="1564" t="str">
        <f t="shared" si="15"/>
        <v>项目建筑规模</v>
      </c>
      <c r="AA33" s="1560">
        <f t="shared" si="3"/>
        <v>1</v>
      </c>
      <c r="AB33" s="1560">
        <f t="shared" si="4"/>
        <v>1.0204081632653061</v>
      </c>
      <c r="AC33" s="1560">
        <f t="shared" si="5"/>
        <v>1</v>
      </c>
    </row>
    <row r="34" spans="1:29" ht="15">
      <c r="A34" s="594"/>
      <c r="B34" s="527" t="s">
        <v>727</v>
      </c>
      <c r="C34" s="881" t="s">
        <v>3003</v>
      </c>
      <c r="D34" s="540">
        <v>100</v>
      </c>
      <c r="E34" s="881" t="s">
        <v>3003</v>
      </c>
      <c r="F34" s="575">
        <f>SUMIF(105:105,E34,106:106)-SUMIF(105:105,C34,106:106)+100</f>
        <v>100</v>
      </c>
      <c r="G34" s="881" t="s">
        <v>3003</v>
      </c>
      <c r="H34" s="540">
        <f>SUMIF(105:105,G34,106:106)-SUMIF(105:105,C34,106:106)+100</f>
        <v>100</v>
      </c>
      <c r="I34" s="881" t="s">
        <v>3003</v>
      </c>
      <c r="J34" s="540">
        <f>SUMIF(105:105,I34,106:106)-SUMIF(105:105,C34,106:106)+100</f>
        <v>100</v>
      </c>
      <c r="K34" s="864">
        <v>3</v>
      </c>
      <c r="L34" s="2125"/>
      <c r="M34" s="2117"/>
      <c r="N34" s="2117"/>
      <c r="O34" s="2124"/>
      <c r="P34" s="3391"/>
      <c r="Q34" s="1556" t="str">
        <f t="shared" si="11"/>
        <v>建筑结构</v>
      </c>
      <c r="R34" s="1557" t="s">
        <v>11</v>
      </c>
      <c r="S34" s="1558">
        <f t="shared" si="12"/>
        <v>100</v>
      </c>
      <c r="T34" s="1557" t="s">
        <v>11</v>
      </c>
      <c r="U34" s="1558">
        <f t="shared" si="13"/>
        <v>100</v>
      </c>
      <c r="V34" s="1557" t="s">
        <v>11</v>
      </c>
      <c r="W34" s="1558">
        <f t="shared" si="14"/>
        <v>100</v>
      </c>
      <c r="X34" s="1551"/>
      <c r="Y34" s="3391"/>
      <c r="Z34" s="1559" t="str">
        <f t="shared" si="15"/>
        <v>建筑结构</v>
      </c>
      <c r="AA34" s="1560">
        <f t="shared" si="3"/>
        <v>1</v>
      </c>
      <c r="AB34" s="1560">
        <f t="shared" si="4"/>
        <v>1</v>
      </c>
      <c r="AC34" s="1560">
        <f t="shared" si="5"/>
        <v>1</v>
      </c>
    </row>
    <row r="35" spans="1:29" ht="15">
      <c r="A35" s="594"/>
      <c r="B35" s="527" t="s">
        <v>728</v>
      </c>
      <c r="C35" s="874" t="s">
        <v>3176</v>
      </c>
      <c r="D35" s="540">
        <v>100</v>
      </c>
      <c r="E35" s="874" t="s">
        <v>3176</v>
      </c>
      <c r="F35" s="575">
        <f>SUMIF(107:107,E35,108:108)-SUMIF(107:107,C35,108:108)+100</f>
        <v>100</v>
      </c>
      <c r="G35" s="874" t="s">
        <v>3176</v>
      </c>
      <c r="H35" s="540">
        <f>SUMIF(107:107,G35,108:108)-SUMIF(107:107,C35,108:108)+100</f>
        <v>100</v>
      </c>
      <c r="I35" s="874" t="s">
        <v>3176</v>
      </c>
      <c r="J35" s="540">
        <f>SUMIF(107:107,I35,108:108)-SUMIF(107:107,C35,108:108)+100</f>
        <v>100</v>
      </c>
      <c r="K35" s="864">
        <v>2</v>
      </c>
      <c r="L35" s="2125"/>
      <c r="M35" s="2117"/>
      <c r="N35" s="2117"/>
      <c r="O35" s="2124"/>
      <c r="P35" s="3391"/>
      <c r="Q35" s="1556" t="str">
        <f t="shared" si="11"/>
        <v>建筑品质</v>
      </c>
      <c r="R35" s="1557" t="s">
        <v>11</v>
      </c>
      <c r="S35" s="1558">
        <f t="shared" si="12"/>
        <v>100</v>
      </c>
      <c r="T35" s="1557" t="s">
        <v>11</v>
      </c>
      <c r="U35" s="1558">
        <f t="shared" si="13"/>
        <v>100</v>
      </c>
      <c r="V35" s="1557" t="s">
        <v>11</v>
      </c>
      <c r="W35" s="1558">
        <f t="shared" si="14"/>
        <v>100</v>
      </c>
      <c r="X35" s="1551"/>
      <c r="Y35" s="3391"/>
      <c r="Z35" s="1559" t="str">
        <f t="shared" si="15"/>
        <v>建筑品质</v>
      </c>
      <c r="AA35" s="1560">
        <f t="shared" si="3"/>
        <v>1</v>
      </c>
      <c r="AB35" s="1560">
        <f t="shared" si="4"/>
        <v>1</v>
      </c>
      <c r="AC35" s="1560">
        <f t="shared" si="5"/>
        <v>1</v>
      </c>
    </row>
    <row r="36" spans="1:29" ht="15">
      <c r="A36" s="594"/>
      <c r="B36" s="527" t="s">
        <v>729</v>
      </c>
      <c r="C36" s="874" t="s">
        <v>3177</v>
      </c>
      <c r="D36" s="540">
        <v>100</v>
      </c>
      <c r="E36" s="874" t="s">
        <v>3177</v>
      </c>
      <c r="F36" s="575">
        <f>SUMIF(109:109,E36,110:110)-SUMIF(109:109,C36,110:110)+100</f>
        <v>100</v>
      </c>
      <c r="G36" s="874" t="s">
        <v>3177</v>
      </c>
      <c r="H36" s="540">
        <f>SUMIF(109:109,G36,110:110)-SUMIF(109:109,C36,110:110)+100</f>
        <v>100</v>
      </c>
      <c r="I36" s="874" t="s">
        <v>3177</v>
      </c>
      <c r="J36" s="540">
        <f>SUMIF(109:109,I36,110:110)-SUMIF(109:109,C36,110:110)+100</f>
        <v>100</v>
      </c>
      <c r="K36" s="864">
        <v>1</v>
      </c>
      <c r="L36" s="2125"/>
      <c r="M36" s="2117"/>
      <c r="N36" s="2117"/>
      <c r="O36" s="2124"/>
      <c r="P36" s="3391"/>
      <c r="Q36" s="1556" t="str">
        <f t="shared" si="11"/>
        <v>公共部分装修</v>
      </c>
      <c r="R36" s="1557" t="s">
        <v>11</v>
      </c>
      <c r="S36" s="1558">
        <f t="shared" si="12"/>
        <v>100</v>
      </c>
      <c r="T36" s="1557" t="s">
        <v>11</v>
      </c>
      <c r="U36" s="1558">
        <f t="shared" si="13"/>
        <v>100</v>
      </c>
      <c r="V36" s="1557" t="s">
        <v>11</v>
      </c>
      <c r="W36" s="1558">
        <f t="shared" si="14"/>
        <v>100</v>
      </c>
      <c r="X36" s="1551"/>
      <c r="Y36" s="3391"/>
      <c r="Z36" s="1559" t="str">
        <f t="shared" si="15"/>
        <v>公共部分装修</v>
      </c>
      <c r="AA36" s="1560">
        <f t="shared" si="3"/>
        <v>1</v>
      </c>
      <c r="AB36" s="1560">
        <f t="shared" si="4"/>
        <v>1</v>
      </c>
      <c r="AC36" s="1560">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8"/>
      <c r="M37" s="2119"/>
      <c r="N37" s="2119"/>
      <c r="O37" s="2120"/>
      <c r="P37" s="3391"/>
      <c r="Q37" s="1146" t="str">
        <f t="shared" si="11"/>
        <v>成新度</v>
      </c>
      <c r="R37" s="1552" t="s">
        <v>11</v>
      </c>
      <c r="S37" s="1553">
        <f t="shared" si="12"/>
        <v>100</v>
      </c>
      <c r="T37" s="1552" t="s">
        <v>11</v>
      </c>
      <c r="U37" s="1553">
        <f t="shared" si="13"/>
        <v>100</v>
      </c>
      <c r="V37" s="1552" t="s">
        <v>11</v>
      </c>
      <c r="W37" s="1553">
        <f t="shared" si="14"/>
        <v>100</v>
      </c>
      <c r="X37" s="1554"/>
      <c r="Y37" s="3391"/>
      <c r="Z37" s="1145" t="str">
        <f t="shared" si="15"/>
        <v>成新度</v>
      </c>
      <c r="AA37" s="1555">
        <f t="shared" si="3"/>
        <v>1</v>
      </c>
      <c r="AB37" s="1555">
        <f t="shared" si="4"/>
        <v>1</v>
      </c>
      <c r="AC37" s="1555">
        <f t="shared" si="5"/>
        <v>1</v>
      </c>
    </row>
    <row r="38" spans="1:29" ht="15">
      <c r="A38" s="594"/>
      <c r="B38" s="527" t="s">
        <v>731</v>
      </c>
      <c r="C38" s="874" t="s">
        <v>3178</v>
      </c>
      <c r="D38" s="540">
        <v>100</v>
      </c>
      <c r="E38" s="874" t="s">
        <v>3178</v>
      </c>
      <c r="F38" s="575">
        <f>SUMIF(114:114,E38,115:115)-SUMIF(114:114,C38,115:115)+100</f>
        <v>100</v>
      </c>
      <c r="G38" s="874" t="s">
        <v>3178</v>
      </c>
      <c r="H38" s="540">
        <f>SUMIF(114:114,G38,115:115)-SUMIF(114:114,C38,115:115)+100</f>
        <v>100</v>
      </c>
      <c r="I38" s="874" t="s">
        <v>3178</v>
      </c>
      <c r="J38" s="540">
        <f>SUMIF(114:114,I38,115:115)-SUMIF(114:114,C38,115:115)+100</f>
        <v>100</v>
      </c>
      <c r="K38" s="864">
        <v>2</v>
      </c>
      <c r="L38" s="2125"/>
      <c r="M38" s="2117"/>
      <c r="N38" s="2117"/>
      <c r="O38" s="2124"/>
      <c r="P38" s="3391" t="s">
        <v>550</v>
      </c>
      <c r="Q38" s="1556" t="str">
        <f t="shared" si="11"/>
        <v>物业管理</v>
      </c>
      <c r="R38" s="1557" t="s">
        <v>11</v>
      </c>
      <c r="S38" s="1558">
        <f t="shared" si="12"/>
        <v>100</v>
      </c>
      <c r="T38" s="1557" t="s">
        <v>11</v>
      </c>
      <c r="U38" s="1558">
        <f t="shared" si="13"/>
        <v>100</v>
      </c>
      <c r="V38" s="1557" t="s">
        <v>11</v>
      </c>
      <c r="W38" s="1558">
        <f t="shared" si="14"/>
        <v>100</v>
      </c>
      <c r="X38" s="1551"/>
      <c r="Y38" s="3391" t="s">
        <v>550</v>
      </c>
      <c r="Z38" s="1559" t="str">
        <f t="shared" si="15"/>
        <v>物业管理</v>
      </c>
      <c r="AA38" s="1560">
        <f t="shared" si="3"/>
        <v>1</v>
      </c>
      <c r="AB38" s="1560">
        <f t="shared" si="4"/>
        <v>1</v>
      </c>
      <c r="AC38" s="1560">
        <f t="shared" si="5"/>
        <v>1</v>
      </c>
    </row>
    <row r="39" spans="1:29" ht="15">
      <c r="A39" s="594"/>
      <c r="B39" s="1878" t="s">
        <v>2562</v>
      </c>
      <c r="C39" s="874" t="s">
        <v>3013</v>
      </c>
      <c r="D39" s="540">
        <v>100</v>
      </c>
      <c r="E39" s="874" t="s">
        <v>3013</v>
      </c>
      <c r="F39" s="575">
        <f>SUMIF(116:116,E39,117:117)-SUMIF(116:116,C39,117:117)+100</f>
        <v>100</v>
      </c>
      <c r="G39" s="874" t="s">
        <v>3013</v>
      </c>
      <c r="H39" s="540">
        <f>SUMIF(116:116,G39,117:117)-SUMIF(116:116,C39,117:117)+100</f>
        <v>100</v>
      </c>
      <c r="I39" s="874" t="s">
        <v>3013</v>
      </c>
      <c r="J39" s="540">
        <f>SUMIF(116:116,I39,117:117)-SUMIF(116:116,C39,117:117)+100</f>
        <v>100</v>
      </c>
      <c r="K39" s="864">
        <v>1</v>
      </c>
      <c r="L39" s="2125"/>
      <c r="M39" s="2117"/>
      <c r="N39" s="2117"/>
      <c r="O39" s="2124"/>
      <c r="P39" s="3391"/>
      <c r="Q39" s="1556" t="str">
        <f t="shared" si="11"/>
        <v>市政基础设施</v>
      </c>
      <c r="R39" s="1557" t="s">
        <v>11</v>
      </c>
      <c r="S39" s="1558">
        <f t="shared" si="12"/>
        <v>100</v>
      </c>
      <c r="T39" s="1557" t="s">
        <v>11</v>
      </c>
      <c r="U39" s="1558">
        <f t="shared" si="13"/>
        <v>100</v>
      </c>
      <c r="V39" s="1557" t="s">
        <v>11</v>
      </c>
      <c r="W39" s="1558">
        <f t="shared" si="14"/>
        <v>100</v>
      </c>
      <c r="X39" s="1551"/>
      <c r="Y39" s="3391"/>
      <c r="Z39" s="1559" t="str">
        <f t="shared" si="15"/>
        <v>市政基础设施</v>
      </c>
      <c r="AA39" s="1560">
        <f t="shared" si="3"/>
        <v>1</v>
      </c>
      <c r="AB39" s="1560">
        <f t="shared" si="4"/>
        <v>1</v>
      </c>
      <c r="AC39" s="1560">
        <f t="shared" si="5"/>
        <v>1</v>
      </c>
    </row>
    <row r="40" spans="1:29" ht="15">
      <c r="A40" s="594"/>
      <c r="B40" s="527" t="s">
        <v>732</v>
      </c>
      <c r="C40" s="874" t="s">
        <v>3181</v>
      </c>
      <c r="D40" s="540">
        <v>100</v>
      </c>
      <c r="E40" s="874" t="s">
        <v>3179</v>
      </c>
      <c r="F40" s="575">
        <f>SUMIF(118:118,E40,119:119)-SUMIF(118:118,C40,119:119)+100</f>
        <v>103</v>
      </c>
      <c r="G40" s="874" t="s">
        <v>3181</v>
      </c>
      <c r="H40" s="540">
        <f>SUMIF(118:118,G40,119:119)-SUMIF(118:118,C40,119:119)+100</f>
        <v>100</v>
      </c>
      <c r="I40" s="874" t="s">
        <v>3181</v>
      </c>
      <c r="J40" s="540">
        <f>SUMIF(118:118,I40,119:119)-SUMIF(118:118,C40,119:119)+100</f>
        <v>100</v>
      </c>
      <c r="K40" s="864">
        <v>3</v>
      </c>
      <c r="L40" s="2125"/>
      <c r="M40" s="2117"/>
      <c r="N40" s="2117"/>
      <c r="O40" s="2124"/>
      <c r="P40" s="3391"/>
      <c r="Q40" s="1556" t="str">
        <f t="shared" si="11"/>
        <v>房型</v>
      </c>
      <c r="R40" s="1557" t="s">
        <v>11</v>
      </c>
      <c r="S40" s="1558">
        <f t="shared" si="12"/>
        <v>103</v>
      </c>
      <c r="T40" s="1557" t="s">
        <v>11</v>
      </c>
      <c r="U40" s="1558">
        <f t="shared" si="13"/>
        <v>100</v>
      </c>
      <c r="V40" s="1557" t="s">
        <v>11</v>
      </c>
      <c r="W40" s="1558">
        <f t="shared" si="14"/>
        <v>100</v>
      </c>
      <c r="X40" s="1551"/>
      <c r="Y40" s="3391"/>
      <c r="Z40" s="1559" t="str">
        <f t="shared" si="15"/>
        <v>房型</v>
      </c>
      <c r="AA40" s="1560">
        <f t="shared" si="3"/>
        <v>0.970873786407767</v>
      </c>
      <c r="AB40" s="1560">
        <f t="shared" si="4"/>
        <v>1</v>
      </c>
      <c r="AC40" s="1560">
        <f t="shared" si="5"/>
        <v>1</v>
      </c>
    </row>
    <row r="41" spans="1:29" s="1334" customFormat="1" ht="28.5" hidden="1">
      <c r="A41" s="603"/>
      <c r="B41" s="527" t="s">
        <v>733</v>
      </c>
      <c r="C41" s="534"/>
      <c r="D41" s="255">
        <v>100</v>
      </c>
      <c r="E41" s="534"/>
      <c r="F41" s="863">
        <f>SUMIF(120:120,E41,121:121)-SUMIF(120:120,C41,121:121)+100</f>
        <v>100</v>
      </c>
      <c r="G41" s="534"/>
      <c r="H41" s="255">
        <f>SUMIF(120:120,G41,121:121)-SUMIF(120:120,C41,121:121)+100</f>
        <v>100</v>
      </c>
      <c r="I41" s="534"/>
      <c r="J41" s="540">
        <f>SUMIF(120:120,I41,121:121)-SUMIF(120:120,C41,121:121)+100</f>
        <v>100</v>
      </c>
      <c r="K41" s="865"/>
      <c r="L41" s="2123"/>
      <c r="M41" s="2154"/>
      <c r="N41" s="2154"/>
      <c r="O41" s="2126"/>
      <c r="P41" s="3391"/>
      <c r="Q41" s="1588" t="str">
        <f t="shared" si="11"/>
        <v>单套/主力户型建筑面积</v>
      </c>
      <c r="R41" s="1561" t="s">
        <v>11</v>
      </c>
      <c r="S41" s="1562">
        <f t="shared" si="12"/>
        <v>100</v>
      </c>
      <c r="T41" s="1561" t="s">
        <v>11</v>
      </c>
      <c r="U41" s="1562">
        <f t="shared" si="13"/>
        <v>100</v>
      </c>
      <c r="V41" s="1561" t="s">
        <v>11</v>
      </c>
      <c r="W41" s="1562">
        <f t="shared" si="14"/>
        <v>100</v>
      </c>
      <c r="X41" s="1563"/>
      <c r="Y41" s="3391"/>
      <c r="Z41" s="1564" t="str">
        <f t="shared" si="15"/>
        <v>单套/主力户型建筑面积</v>
      </c>
      <c r="AA41" s="1560">
        <f t="shared" si="3"/>
        <v>1</v>
      </c>
      <c r="AB41" s="1560">
        <f t="shared" si="4"/>
        <v>1</v>
      </c>
      <c r="AC41" s="1560">
        <f t="shared" si="5"/>
        <v>1</v>
      </c>
    </row>
    <row r="42" spans="1:29" ht="15.75" thickBot="1">
      <c r="A42" s="594"/>
      <c r="B42" s="527" t="s">
        <v>734</v>
      </c>
      <c r="C42" s="874" t="s">
        <v>3180</v>
      </c>
      <c r="D42" s="540">
        <v>100</v>
      </c>
      <c r="E42" s="874" t="s">
        <v>3180</v>
      </c>
      <c r="F42" s="575">
        <f>SUMIF(122:122,E42,123:123)-SUMIF(122:122,C42,123:123)+100</f>
        <v>100</v>
      </c>
      <c r="G42" s="874" t="s">
        <v>3177</v>
      </c>
      <c r="H42" s="540">
        <f>SUMIF(122:122,G42,123:123)-SUMIF(122:122,C42,123:123)+100</f>
        <v>115</v>
      </c>
      <c r="I42" s="874" t="s">
        <v>3177</v>
      </c>
      <c r="J42" s="540">
        <f>SUMIF(122:122,I42,123:123)-SUMIF(122:122,C42,123:123)+100</f>
        <v>115</v>
      </c>
      <c r="K42" s="864">
        <v>5</v>
      </c>
      <c r="L42" s="2125"/>
      <c r="M42" s="2117"/>
      <c r="N42" s="2117"/>
      <c r="O42" s="2124"/>
      <c r="P42" s="3391"/>
      <c r="Q42" s="1556" t="str">
        <f t="shared" si="11"/>
        <v>内部装修</v>
      </c>
      <c r="R42" s="1557" t="s">
        <v>11</v>
      </c>
      <c r="S42" s="1558">
        <f t="shared" si="12"/>
        <v>100</v>
      </c>
      <c r="T42" s="1557" t="s">
        <v>11</v>
      </c>
      <c r="U42" s="1558">
        <f t="shared" si="13"/>
        <v>115</v>
      </c>
      <c r="V42" s="1557" t="s">
        <v>11</v>
      </c>
      <c r="W42" s="1558">
        <f t="shared" si="14"/>
        <v>115</v>
      </c>
      <c r="X42" s="1551"/>
      <c r="Y42" s="3391"/>
      <c r="Z42" s="1559" t="str">
        <f t="shared" si="15"/>
        <v>内部装修</v>
      </c>
      <c r="AA42" s="1560">
        <f t="shared" si="3"/>
        <v>1</v>
      </c>
      <c r="AB42" s="1560">
        <f t="shared" si="4"/>
        <v>0.86956521739130432</v>
      </c>
      <c r="AC42" s="1560">
        <f t="shared" si="5"/>
        <v>0.86956521739130432</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391"/>
      <c r="Q43" s="1556" t="str">
        <f t="shared" si="11"/>
        <v>内部装修维护情况</v>
      </c>
      <c r="R43" s="1557" t="s">
        <v>11</v>
      </c>
      <c r="S43" s="1558">
        <f t="shared" si="12"/>
        <v>100</v>
      </c>
      <c r="T43" s="1557" t="s">
        <v>11</v>
      </c>
      <c r="U43" s="1558">
        <f t="shared" si="13"/>
        <v>100</v>
      </c>
      <c r="V43" s="1557" t="s">
        <v>11</v>
      </c>
      <c r="W43" s="1558">
        <f t="shared" si="14"/>
        <v>100</v>
      </c>
      <c r="X43" s="1551"/>
      <c r="Y43" s="3391"/>
      <c r="Z43" s="1559" t="str">
        <f t="shared" si="15"/>
        <v>内部装修维护情况</v>
      </c>
      <c r="AA43" s="1560">
        <f t="shared" si="3"/>
        <v>1</v>
      </c>
      <c r="AB43" s="1560">
        <f t="shared" si="4"/>
        <v>1</v>
      </c>
      <c r="AC43" s="1560">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391"/>
      <c r="Q44" s="1146">
        <f t="shared" si="11"/>
        <v>111</v>
      </c>
      <c r="R44" s="1552" t="s">
        <v>11</v>
      </c>
      <c r="S44" s="1553">
        <f t="shared" si="12"/>
        <v>100</v>
      </c>
      <c r="T44" s="1552" t="s">
        <v>11</v>
      </c>
      <c r="U44" s="1553">
        <f t="shared" si="13"/>
        <v>100</v>
      </c>
      <c r="V44" s="1552" t="s">
        <v>11</v>
      </c>
      <c r="W44" s="1553">
        <f t="shared" si="14"/>
        <v>100</v>
      </c>
      <c r="X44" s="1554"/>
      <c r="Y44" s="3391"/>
      <c r="Z44" s="1145">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391"/>
      <c r="Q45" s="1556">
        <f t="shared" si="11"/>
        <v>111</v>
      </c>
      <c r="R45" s="1557" t="s">
        <v>11</v>
      </c>
      <c r="S45" s="1558">
        <f t="shared" si="12"/>
        <v>100</v>
      </c>
      <c r="T45" s="1557" t="s">
        <v>11</v>
      </c>
      <c r="U45" s="1558">
        <f t="shared" si="13"/>
        <v>100</v>
      </c>
      <c r="V45" s="1557" t="s">
        <v>11</v>
      </c>
      <c r="W45" s="1558">
        <f t="shared" si="14"/>
        <v>100</v>
      </c>
      <c r="X45" s="1551"/>
      <c r="Y45" s="3391"/>
      <c r="Z45" s="1559">
        <f t="shared" si="15"/>
        <v>111</v>
      </c>
      <c r="AA45" s="1560">
        <f t="shared" si="3"/>
        <v>1</v>
      </c>
      <c r="AB45" s="1560">
        <f t="shared" si="4"/>
        <v>1</v>
      </c>
      <c r="AC45" s="1560">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3"/>
      <c r="Q46" s="1556">
        <f t="shared" si="11"/>
        <v>111</v>
      </c>
      <c r="R46" s="1557" t="s">
        <v>10</v>
      </c>
      <c r="S46" s="1558">
        <f t="shared" si="12"/>
        <v>100</v>
      </c>
      <c r="T46" s="1557" t="s">
        <v>10</v>
      </c>
      <c r="U46" s="1558">
        <f t="shared" si="13"/>
        <v>100</v>
      </c>
      <c r="V46" s="1557" t="s">
        <v>10</v>
      </c>
      <c r="W46" s="1558">
        <f t="shared" si="14"/>
        <v>100</v>
      </c>
      <c r="X46" s="1551"/>
      <c r="Y46" s="3493"/>
      <c r="Z46" s="1559">
        <f t="shared" si="15"/>
        <v>111</v>
      </c>
      <c r="AA46" s="1560">
        <f t="shared" si="3"/>
        <v>1</v>
      </c>
      <c r="AB46" s="1560">
        <f t="shared" si="4"/>
        <v>1</v>
      </c>
      <c r="AC46" s="1560">
        <f t="shared" si="5"/>
        <v>1</v>
      </c>
    </row>
    <row r="47" spans="1:29" ht="15">
      <c r="A47" s="607" t="s">
        <v>736</v>
      </c>
      <c r="B47" s="886"/>
      <c r="C47" s="2589" t="s">
        <v>9</v>
      </c>
      <c r="D47" s="2590"/>
      <c r="E47" s="2591">
        <v>7500</v>
      </c>
      <c r="F47" s="2592"/>
      <c r="G47" s="2593">
        <v>11000</v>
      </c>
      <c r="H47" s="2594"/>
      <c r="I47" s="2591">
        <v>10000</v>
      </c>
      <c r="J47" s="2594"/>
      <c r="K47" s="1589"/>
      <c r="L47" s="2127"/>
      <c r="M47" s="2128"/>
      <c r="N47" s="2117"/>
      <c r="O47" s="2128"/>
      <c r="P47" s="3386" t="str">
        <f>A47</f>
        <v>成交单价（元/平方米）</v>
      </c>
      <c r="Q47" s="3386"/>
      <c r="R47" s="3492">
        <f>E47</f>
        <v>7500</v>
      </c>
      <c r="S47" s="3492"/>
      <c r="T47" s="3492">
        <f>G47</f>
        <v>11000</v>
      </c>
      <c r="U47" s="3492"/>
      <c r="V47" s="3492">
        <f>I47</f>
        <v>10000</v>
      </c>
      <c r="W47" s="3492"/>
      <c r="X47" s="1543"/>
      <c r="Y47" s="1565"/>
      <c r="Z47" s="1543"/>
      <c r="AA47" s="1543"/>
      <c r="AB47" s="1543"/>
      <c r="AC47" s="1543"/>
    </row>
    <row r="48" spans="1:29" ht="15.75" thickBot="1">
      <c r="A48" s="615" t="s">
        <v>2757</v>
      </c>
      <c r="B48" s="887"/>
      <c r="C48" s="2595">
        <f>R49</f>
        <v>7995</v>
      </c>
      <c r="D48" s="2596"/>
      <c r="E48" s="2597">
        <f>R48</f>
        <v>7069</v>
      </c>
      <c r="F48" s="2597"/>
      <c r="G48" s="2595">
        <f>T48</f>
        <v>8933</v>
      </c>
      <c r="H48" s="2596"/>
      <c r="I48" s="2597">
        <f>V48</f>
        <v>7984</v>
      </c>
      <c r="J48" s="2596"/>
      <c r="K48" s="1590"/>
      <c r="L48" s="2127"/>
      <c r="M48" s="2128"/>
      <c r="N48" s="2128"/>
      <c r="O48" s="2128"/>
      <c r="P48" s="3386" t="str">
        <f>A48</f>
        <v>比较价格（元/平方米）</v>
      </c>
      <c r="Q48" s="3386"/>
      <c r="R48" s="3492">
        <f>IF(F1="售价",ROUND(PRODUCT(R47,AA7:AA46),0),ROUND(PRODUCT(R47,AA7:AA46),1))</f>
        <v>7069</v>
      </c>
      <c r="S48" s="3492"/>
      <c r="T48" s="3492">
        <f>IF(F1="售价",ROUND(PRODUCT(T47,AB7:AB46),0),ROUND(PRODUCT(T47,AB7:AB46),1))</f>
        <v>8933</v>
      </c>
      <c r="U48" s="3492"/>
      <c r="V48" s="3492">
        <f>IF(F1="售价",ROUND(PRODUCT(V47,AC7:AC46),0),ROUND(PRODUCT(V47,AC7:AC46),1))</f>
        <v>7984</v>
      </c>
      <c r="W48" s="3492"/>
      <c r="X48" s="1543"/>
      <c r="Y48" s="1543"/>
      <c r="Z48" s="1543"/>
      <c r="AA48" s="1543"/>
      <c r="AB48" s="1543"/>
      <c r="AC48" s="1543"/>
    </row>
    <row r="49" spans="1:29" ht="15.75" thickBot="1">
      <c r="A49" s="621" t="s">
        <v>2924</v>
      </c>
      <c r="B49" s="622"/>
      <c r="C49" s="2598">
        <f>R49</f>
        <v>7995</v>
      </c>
      <c r="D49" s="2598"/>
      <c r="E49" s="2598"/>
      <c r="F49" s="2598"/>
      <c r="G49" s="2598"/>
      <c r="H49" s="2598"/>
      <c r="I49" s="2598"/>
      <c r="J49" s="2598"/>
      <c r="K49" s="1591"/>
      <c r="L49" s="2127"/>
      <c r="M49" s="2128"/>
      <c r="N49" s="2128"/>
      <c r="O49" s="2128"/>
      <c r="P49" s="3408" t="str">
        <f>A49</f>
        <v>估价对象XX用房的比较价格（楼面单价，元/平方米）</v>
      </c>
      <c r="Q49" s="3409"/>
      <c r="R49" s="3491">
        <f>IF(F1="售价",ROUND(AVERAGE(R48:V48),0),ROUND(AVERAGE(R48:V48),1))</f>
        <v>7995</v>
      </c>
      <c r="S49" s="3491"/>
      <c r="T49" s="3491"/>
      <c r="U49" s="3491"/>
      <c r="V49" s="3491"/>
      <c r="W49" s="349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6.0970434290564368E-2</v>
      </c>
      <c r="F52" s="627" t="str">
        <f>IF(OR(E52&gt;=0.3,E52&lt;=-0.3),"超过30%","")</f>
        <v/>
      </c>
      <c r="G52" s="626">
        <f>IF(G47&lt;G48,G48/G47-1,G47/G48-1)</f>
        <v>0.23138923094145314</v>
      </c>
      <c r="H52" s="627" t="str">
        <f>IF(OR(G52&gt;=0.3,G52&lt;=-0.3),"超过30%","")</f>
        <v/>
      </c>
      <c r="I52" s="626">
        <f>IF(I47&lt;I48,I48/I47-1,I47/I48-1)</f>
        <v>0.25250501002004011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0.26368651860234826</v>
      </c>
      <c r="F53" s="627" t="str">
        <f>IF(OR(E53&gt;=0.2,E53&lt;=-0.2),"超过20%","")</f>
        <v>超过20%</v>
      </c>
      <c r="G53" s="626">
        <f>IF(G48&lt;I48,I48/G48-1,G48/I48-1)</f>
        <v>0.11886272545090182</v>
      </c>
      <c r="H53" s="627" t="str">
        <f>IF(OR(G53&gt;=0.2,G53&lt;=-0.2),"超过20%","")</f>
        <v/>
      </c>
      <c r="I53" s="626">
        <f>IF(I48&lt;E48,E48/I48-1,I48/E48-1)</f>
        <v>0.12943839298344884</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7"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100</v>
      </c>
      <c r="E59" s="650">
        <v>99.5</v>
      </c>
      <c r="F59" s="650">
        <v>99.5</v>
      </c>
      <c r="G59" s="650">
        <v>99</v>
      </c>
      <c r="H59" s="650">
        <v>99</v>
      </c>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t="str">
        <f>C9</f>
        <v>公寓</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96</v>
      </c>
      <c r="E77" s="679">
        <f>D77-$K15</f>
        <v>92</v>
      </c>
      <c r="F77" s="679">
        <f>E77-$K15</f>
        <v>88</v>
      </c>
      <c r="G77" s="679">
        <f>F77-$K15</f>
        <v>84</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96</v>
      </c>
      <c r="E79" s="679">
        <f>D79-$K17</f>
        <v>92</v>
      </c>
      <c r="F79" s="679">
        <f>E79-$K17</f>
        <v>88</v>
      </c>
      <c r="G79" s="679">
        <f>F79-$K17</f>
        <v>84</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96</v>
      </c>
      <c r="E81" s="679">
        <f>D81-$K19</f>
        <v>92</v>
      </c>
      <c r="F81" s="679">
        <f>E81-$K19</f>
        <v>88</v>
      </c>
      <c r="G81" s="679">
        <f>F81-$K19</f>
        <v>84</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96</v>
      </c>
      <c r="E85" s="679">
        <f>D85-$K23</f>
        <v>92</v>
      </c>
      <c r="F85" s="679">
        <f>E85-$K23</f>
        <v>88</v>
      </c>
      <c r="G85" s="679">
        <f>F85-$K23</f>
        <v>84</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2255</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195" t="s">
        <v>3185</v>
      </c>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50000</v>
      </c>
      <c r="E103" s="730">
        <v>100000</v>
      </c>
      <c r="F103" s="730">
        <v>500000</v>
      </c>
      <c r="G103" s="730">
        <v>1000000</v>
      </c>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101</v>
      </c>
      <c r="E104" s="671">
        <v>102</v>
      </c>
      <c r="F104" s="671">
        <v>103</v>
      </c>
      <c r="G104" s="671">
        <v>104</v>
      </c>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94" t="s">
        <v>3184</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96" t="s">
        <v>3186</v>
      </c>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94" t="s">
        <v>3187</v>
      </c>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94" t="s">
        <v>3188</v>
      </c>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2554</v>
      </c>
      <c r="C116" s="3194" t="s">
        <v>3189</v>
      </c>
      <c r="D116" s="3194" t="s">
        <v>3190</v>
      </c>
      <c r="E116" s="3194" t="s">
        <v>3191</v>
      </c>
      <c r="F116" s="3194" t="s">
        <v>3192</v>
      </c>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96" t="s">
        <v>3193</v>
      </c>
      <c r="D118" s="3196" t="s">
        <v>3194</v>
      </c>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94" t="s">
        <v>3195</v>
      </c>
      <c r="D122" s="3194" t="s">
        <v>3196</v>
      </c>
      <c r="E122" s="3194" t="s">
        <v>3197</v>
      </c>
      <c r="F122" s="3196" t="s">
        <v>3198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5">
      <c r="A4" s="512" t="s">
        <v>521</v>
      </c>
      <c r="B4" s="513"/>
      <c r="C4" s="3392" t="s">
        <v>522</v>
      </c>
      <c r="D4" s="3393"/>
      <c r="E4" s="3417" t="s">
        <v>523</v>
      </c>
      <c r="F4" s="3418"/>
      <c r="G4" s="3392" t="s">
        <v>524</v>
      </c>
      <c r="H4" s="3393"/>
      <c r="I4" s="3392" t="s">
        <v>525</v>
      </c>
      <c r="J4" s="3393"/>
      <c r="K4" s="514" t="s">
        <v>526</v>
      </c>
      <c r="L4" s="2116"/>
      <c r="M4" s="2117"/>
      <c r="N4" s="2117"/>
      <c r="O4" s="2117"/>
      <c r="P4" s="3394" t="s">
        <v>527</v>
      </c>
      <c r="Q4" s="3395"/>
      <c r="R4" s="3380" t="s">
        <v>523</v>
      </c>
      <c r="S4" s="3381"/>
      <c r="T4" s="3380" t="s">
        <v>524</v>
      </c>
      <c r="U4" s="3381"/>
      <c r="V4" s="3400" t="s">
        <v>525</v>
      </c>
      <c r="W4" s="3400"/>
      <c r="X4" s="1551"/>
      <c r="Y4" s="3380" t="s">
        <v>527</v>
      </c>
      <c r="Z4" s="3381"/>
      <c r="AA4" s="3375" t="s">
        <v>523</v>
      </c>
      <c r="AB4" s="3400" t="s">
        <v>524</v>
      </c>
      <c r="AC4" s="3375" t="s">
        <v>525</v>
      </c>
    </row>
    <row r="5" spans="1:29" ht="15">
      <c r="A5" s="515"/>
      <c r="B5" s="516"/>
      <c r="C5" s="3405" t="s">
        <v>2918</v>
      </c>
      <c r="D5" s="3404"/>
      <c r="E5" s="3419" t="s">
        <v>2919</v>
      </c>
      <c r="F5" s="3420"/>
      <c r="G5" s="3405" t="s">
        <v>2920</v>
      </c>
      <c r="H5" s="3404"/>
      <c r="I5" s="3405" t="s">
        <v>2921</v>
      </c>
      <c r="J5" s="3404"/>
      <c r="K5" s="514"/>
      <c r="L5" s="2116"/>
      <c r="M5" s="2117"/>
      <c r="N5" s="2117"/>
      <c r="O5" s="2117"/>
      <c r="P5" s="3396"/>
      <c r="Q5" s="3397"/>
      <c r="R5" s="3382"/>
      <c r="S5" s="3383"/>
      <c r="T5" s="3382"/>
      <c r="U5" s="3383"/>
      <c r="V5" s="3400"/>
      <c r="W5" s="3400"/>
      <c r="X5" s="1551"/>
      <c r="Y5" s="3382"/>
      <c r="Z5" s="3383"/>
      <c r="AA5" s="3376"/>
      <c r="AB5" s="3400"/>
      <c r="AC5" s="3376"/>
    </row>
    <row r="6" spans="1:29" ht="15.75" thickBot="1">
      <c r="A6" s="517"/>
      <c r="B6" s="518"/>
      <c r="C6" s="3401" t="s">
        <v>2922</v>
      </c>
      <c r="D6" s="3402"/>
      <c r="E6" s="3421" t="s">
        <v>2922</v>
      </c>
      <c r="F6" s="3422"/>
      <c r="G6" s="3401" t="s">
        <v>2922</v>
      </c>
      <c r="H6" s="3402"/>
      <c r="I6" s="3401" t="s">
        <v>2922</v>
      </c>
      <c r="J6" s="3402"/>
      <c r="K6" s="514" t="s">
        <v>528</v>
      </c>
      <c r="L6" s="2116"/>
      <c r="M6" s="2117"/>
      <c r="N6" s="2117"/>
      <c r="O6" s="2117"/>
      <c r="P6" s="3398"/>
      <c r="Q6" s="3399"/>
      <c r="R6" s="3382"/>
      <c r="S6" s="3383"/>
      <c r="T6" s="3384"/>
      <c r="U6" s="3385"/>
      <c r="V6" s="3400"/>
      <c r="W6" s="3400"/>
      <c r="X6" s="1551"/>
      <c r="Y6" s="3384"/>
      <c r="Z6" s="3385"/>
      <c r="AA6" s="3377"/>
      <c r="AB6" s="3400"/>
      <c r="AC6" s="3377"/>
    </row>
    <row r="7" spans="1:29" s="1215" customFormat="1" ht="15.75" thickBot="1">
      <c r="A7" s="2864"/>
      <c r="B7" s="2871" t="s">
        <v>529</v>
      </c>
      <c r="C7" s="519">
        <f>'数据-取费表'!B2</f>
        <v>43972</v>
      </c>
      <c r="D7" s="520">
        <v>100</v>
      </c>
      <c r="E7" s="521"/>
      <c r="F7" s="522">
        <f>SUMIF(58:58,YEAR(E7)&amp;"-"&amp;MONTH(E7),59:59)</f>
        <v>0</v>
      </c>
      <c r="G7" s="521"/>
      <c r="H7" s="520">
        <f>SUMIF(58:58,YEAR(G7)&amp;"-"&amp;MONTH(G7),59:59)</f>
        <v>0</v>
      </c>
      <c r="I7" s="521"/>
      <c r="J7" s="520">
        <f>SUMIF(58:58,YEAR(I7)&amp;"-"&amp;MONTH(I7),59:59)</f>
        <v>0</v>
      </c>
      <c r="K7" s="524"/>
      <c r="L7" s="2118"/>
      <c r="M7" s="2119"/>
      <c r="N7" s="2119"/>
      <c r="O7" s="2119"/>
      <c r="P7" s="3378" t="s">
        <v>530</v>
      </c>
      <c r="Q7" s="3387"/>
      <c r="R7" s="1552" t="s">
        <v>8</v>
      </c>
      <c r="S7" s="1553">
        <f t="shared" ref="S7:S15" si="0">F7</f>
        <v>0</v>
      </c>
      <c r="T7" s="1552" t="s">
        <v>8</v>
      </c>
      <c r="U7" s="1553">
        <f t="shared" ref="U7:U15" si="1">H7</f>
        <v>0</v>
      </c>
      <c r="V7" s="1552" t="s">
        <v>8</v>
      </c>
      <c r="W7" s="1553">
        <f t="shared" ref="W7:W15"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378" t="s">
        <v>533</v>
      </c>
      <c r="Q8" s="3379"/>
      <c r="R8" s="1552" t="s">
        <v>8</v>
      </c>
      <c r="S8" s="1553">
        <f t="shared" si="0"/>
        <v>0</v>
      </c>
      <c r="T8" s="1552" t="s">
        <v>8</v>
      </c>
      <c r="U8" s="1553">
        <f t="shared" si="1"/>
        <v>0</v>
      </c>
      <c r="V8" s="1552" t="s">
        <v>8</v>
      </c>
      <c r="W8" s="1553">
        <f t="shared" si="2"/>
        <v>0</v>
      </c>
      <c r="X8" s="1554"/>
      <c r="Y8" s="3378" t="s">
        <v>533</v>
      </c>
      <c r="Z8" s="3379"/>
      <c r="AA8" s="1555" t="e">
        <f t="shared" ref="AA8:AA46" si="3">D8/F8</f>
        <v>#DIV/0!</v>
      </c>
      <c r="AB8" s="1555" t="e">
        <f t="shared" ref="AB8:AB46" si="4">D8/H8</f>
        <v>#DIV/0!</v>
      </c>
      <c r="AC8" s="1555" t="e">
        <f t="shared" ref="AC8:AC46" si="5">D8/J8</f>
        <v>#DIV/0!</v>
      </c>
    </row>
    <row r="9" spans="1:29" s="1215" customFormat="1" ht="15">
      <c r="A9" s="2866"/>
      <c r="B9" s="2873" t="s">
        <v>2753</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386" t="s">
        <v>535</v>
      </c>
      <c r="Q9" s="1146" t="str">
        <f t="shared" ref="Q9:Q15" si="6">B9</f>
        <v>用途</v>
      </c>
      <c r="R9" s="1552" t="s">
        <v>8</v>
      </c>
      <c r="S9" s="1553">
        <f t="shared" si="0"/>
        <v>100</v>
      </c>
      <c r="T9" s="1552" t="s">
        <v>8</v>
      </c>
      <c r="U9" s="1553">
        <f t="shared" si="1"/>
        <v>100</v>
      </c>
      <c r="V9" s="1552" t="s">
        <v>8</v>
      </c>
      <c r="W9" s="1553">
        <f t="shared" si="2"/>
        <v>100</v>
      </c>
      <c r="X9" s="1554"/>
      <c r="Y9" s="3343"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386"/>
      <c r="Q11" s="1146" t="str">
        <f t="shared" si="6"/>
        <v>容积率</v>
      </c>
      <c r="R11" s="1552" t="s">
        <v>8</v>
      </c>
      <c r="S11" s="1553" t="e">
        <f t="shared" si="0"/>
        <v>#N/A</v>
      </c>
      <c r="T11" s="1552" t="s">
        <v>8</v>
      </c>
      <c r="U11" s="1553" t="e">
        <f t="shared" si="1"/>
        <v>#N/A</v>
      </c>
      <c r="V11" s="1552" t="s">
        <v>8</v>
      </c>
      <c r="W11" s="1553" t="e">
        <f t="shared" si="2"/>
        <v>#N/A</v>
      </c>
      <c r="X11" s="1554"/>
      <c r="Y11" s="3343"/>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8"/>
      <c r="M12" s="2119"/>
      <c r="N12" s="2119"/>
      <c r="O12" s="2120"/>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5"/>
      <c r="M13" s="2117"/>
      <c r="N13" s="2117"/>
      <c r="O13" s="2124"/>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5"/>
      <c r="M14" s="2117"/>
      <c r="N14" s="2117"/>
      <c r="O14" s="2124"/>
      <c r="P14" s="3386"/>
      <c r="Q14" s="1146">
        <f t="shared" si="6"/>
        <v>111</v>
      </c>
      <c r="R14" s="1552" t="s">
        <v>8</v>
      </c>
      <c r="S14" s="1553">
        <f t="shared" si="0"/>
        <v>100</v>
      </c>
      <c r="T14" s="1552" t="s">
        <v>8</v>
      </c>
      <c r="U14" s="1553">
        <f t="shared" si="1"/>
        <v>100</v>
      </c>
      <c r="V14" s="1552" t="s">
        <v>8</v>
      </c>
      <c r="W14" s="1553">
        <f t="shared" si="2"/>
        <v>100</v>
      </c>
      <c r="X14" s="1554"/>
      <c r="Y14" s="3343"/>
      <c r="Z14" s="1145">
        <f t="shared" si="7"/>
        <v>111</v>
      </c>
      <c r="AA14" s="1555">
        <f t="shared" si="3"/>
        <v>1</v>
      </c>
      <c r="AB14" s="1555">
        <f t="shared" si="4"/>
        <v>1</v>
      </c>
      <c r="AC14" s="1555">
        <f t="shared" si="5"/>
        <v>1</v>
      </c>
    </row>
    <row r="15" spans="1:29" ht="15">
      <c r="A15" s="2862"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5"/>
      <c r="M15" s="2117"/>
      <c r="N15" s="2117"/>
      <c r="O15" s="2124"/>
      <c r="P15" s="3388" t="s">
        <v>540</v>
      </c>
      <c r="Q15" s="1556" t="str">
        <f t="shared" si="6"/>
        <v>商业繁华度</v>
      </c>
      <c r="R15" s="1557" t="s">
        <v>8</v>
      </c>
      <c r="S15" s="1558">
        <f t="shared" si="0"/>
        <v>100</v>
      </c>
      <c r="T15" s="1557" t="s">
        <v>8</v>
      </c>
      <c r="U15" s="1558">
        <f t="shared" si="1"/>
        <v>100</v>
      </c>
      <c r="V15" s="1557" t="s">
        <v>8</v>
      </c>
      <c r="W15" s="1558">
        <f t="shared" si="2"/>
        <v>100</v>
      </c>
      <c r="X15" s="1551"/>
      <c r="Y15" s="3388"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389"/>
      <c r="Q16" s="1556"/>
      <c r="R16" s="1557"/>
      <c r="S16" s="1558"/>
      <c r="T16" s="1557"/>
      <c r="U16" s="1558"/>
      <c r="V16" s="1557"/>
      <c r="W16" s="1558"/>
      <c r="X16" s="1551"/>
      <c r="Y16" s="3389"/>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5"/>
      <c r="M17" s="2117"/>
      <c r="N17" s="2117"/>
      <c r="O17" s="2124"/>
      <c r="P17" s="3389"/>
      <c r="Q17" s="1556" t="str">
        <f>B17</f>
        <v>交通便捷度</v>
      </c>
      <c r="R17" s="1557" t="s">
        <v>8</v>
      </c>
      <c r="S17" s="1558">
        <f>F17</f>
        <v>100</v>
      </c>
      <c r="T17" s="1557" t="s">
        <v>8</v>
      </c>
      <c r="U17" s="1558">
        <f>H17</f>
        <v>100</v>
      </c>
      <c r="V17" s="1557" t="s">
        <v>8</v>
      </c>
      <c r="W17" s="1558">
        <f>J17</f>
        <v>100</v>
      </c>
      <c r="X17" s="1551"/>
      <c r="Y17" s="3389"/>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389"/>
      <c r="Q18" s="1556"/>
      <c r="R18" s="1557"/>
      <c r="S18" s="1558"/>
      <c r="T18" s="1557"/>
      <c r="U18" s="1558"/>
      <c r="V18" s="1557"/>
      <c r="W18" s="1558"/>
      <c r="X18" s="1551"/>
      <c r="Y18" s="3389"/>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5"/>
      <c r="M19" s="2117"/>
      <c r="N19" s="2117"/>
      <c r="O19" s="2124"/>
      <c r="P19" s="3389"/>
      <c r="Q19" s="1556" t="str">
        <f>B19</f>
        <v>公共配套设施</v>
      </c>
      <c r="R19" s="1557" t="s">
        <v>8</v>
      </c>
      <c r="S19" s="1558">
        <f>F19</f>
        <v>100</v>
      </c>
      <c r="T19" s="1557" t="s">
        <v>8</v>
      </c>
      <c r="U19" s="1558">
        <f>H19</f>
        <v>100</v>
      </c>
      <c r="V19" s="1557" t="s">
        <v>8</v>
      </c>
      <c r="W19" s="1558">
        <f>J19</f>
        <v>100</v>
      </c>
      <c r="X19" s="1551"/>
      <c r="Y19" s="3389"/>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8"/>
      <c r="L20" s="2125"/>
      <c r="M20" s="2117"/>
      <c r="N20" s="2117"/>
      <c r="O20" s="2124"/>
      <c r="P20" s="3389"/>
      <c r="Q20" s="1556"/>
      <c r="R20" s="1557"/>
      <c r="S20" s="1558"/>
      <c r="T20" s="1557"/>
      <c r="U20" s="1558"/>
      <c r="V20" s="1557"/>
      <c r="W20" s="1558"/>
      <c r="X20" s="1551"/>
      <c r="Y20" s="3389"/>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5"/>
      <c r="M21" s="2117"/>
      <c r="N21" s="2117"/>
      <c r="O21" s="2124"/>
      <c r="P21" s="3389"/>
      <c r="Q21" s="2541" t="str">
        <f>B21</f>
        <v>基础设施水平</v>
      </c>
      <c r="R21" s="1557" t="s">
        <v>8</v>
      </c>
      <c r="S21" s="1558">
        <f>F21</f>
        <v>100</v>
      </c>
      <c r="T21" s="1557" t="s">
        <v>8</v>
      </c>
      <c r="U21" s="1558">
        <f>H21</f>
        <v>100</v>
      </c>
      <c r="V21" s="1557" t="s">
        <v>8</v>
      </c>
      <c r="W21" s="1558">
        <f>J21</f>
        <v>100</v>
      </c>
      <c r="X21" s="2543"/>
      <c r="Y21" s="3389"/>
      <c r="Z21" s="2542" t="str">
        <f>Q21</f>
        <v>基础设施水平</v>
      </c>
      <c r="AA21" s="1560">
        <f t="shared" ref="AA21" si="8">D21/F21</f>
        <v>1</v>
      </c>
      <c r="AB21" s="1560">
        <f t="shared" ref="AB21" si="9">D21/H21</f>
        <v>1</v>
      </c>
      <c r="AC21" s="1560">
        <f t="shared" ref="AC21" si="10">D21/J21</f>
        <v>1</v>
      </c>
    </row>
    <row r="22" spans="1:29" ht="15">
      <c r="A22" s="532"/>
      <c r="B22" s="921"/>
      <c r="C22" s="873"/>
      <c r="D22" s="555"/>
      <c r="E22" s="576"/>
      <c r="F22" s="557"/>
      <c r="G22" s="576"/>
      <c r="H22" s="555"/>
      <c r="I22" s="576"/>
      <c r="J22" s="555"/>
      <c r="K22" s="2564"/>
      <c r="L22" s="2125"/>
      <c r="M22" s="2117"/>
      <c r="N22" s="2117"/>
      <c r="O22" s="2124"/>
      <c r="P22" s="3389"/>
      <c r="Q22" s="2541"/>
      <c r="R22" s="1557"/>
      <c r="S22" s="1558"/>
      <c r="T22" s="1557"/>
      <c r="U22" s="1558"/>
      <c r="V22" s="1557"/>
      <c r="W22" s="1558"/>
      <c r="X22" s="2543"/>
      <c r="Y22" s="3389"/>
      <c r="Z22" s="2542"/>
      <c r="AA22" s="1560">
        <v>1</v>
      </c>
      <c r="AB22" s="1560">
        <v>1</v>
      </c>
      <c r="AC22" s="1560">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5"/>
      <c r="M23" s="2117"/>
      <c r="N23" s="2117"/>
      <c r="O23" s="2124"/>
      <c r="P23" s="3389"/>
      <c r="Q23" s="1556" t="str">
        <f>B23</f>
        <v>自然及人文环境</v>
      </c>
      <c r="R23" s="1557" t="s">
        <v>8</v>
      </c>
      <c r="S23" s="1558">
        <f>F23</f>
        <v>100</v>
      </c>
      <c r="T23" s="1557" t="s">
        <v>8</v>
      </c>
      <c r="U23" s="1558">
        <f>H23</f>
        <v>100</v>
      </c>
      <c r="V23" s="1557" t="s">
        <v>8</v>
      </c>
      <c r="W23" s="1558">
        <f>J23</f>
        <v>100</v>
      </c>
      <c r="X23" s="1551"/>
      <c r="Y23" s="3389"/>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8"/>
      <c r="L24" s="2125"/>
      <c r="M24" s="2117"/>
      <c r="N24" s="2117"/>
      <c r="O24" s="2124"/>
      <c r="P24" s="3389"/>
      <c r="Q24" s="1556"/>
      <c r="R24" s="1557"/>
      <c r="S24" s="1558"/>
      <c r="T24" s="1557"/>
      <c r="U24" s="1558"/>
      <c r="V24" s="1557"/>
      <c r="W24" s="1558"/>
      <c r="X24" s="1551"/>
      <c r="Y24" s="3389"/>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389"/>
      <c r="Q25" s="1556" t="str">
        <f t="shared" ref="Q25:Q46" si="11">B25</f>
        <v>临街状况</v>
      </c>
      <c r="R25" s="1557" t="s">
        <v>8</v>
      </c>
      <c r="S25" s="1558">
        <f>F25</f>
        <v>100</v>
      </c>
      <c r="T25" s="1557" t="s">
        <v>8</v>
      </c>
      <c r="U25" s="1558">
        <f>H25</f>
        <v>100</v>
      </c>
      <c r="V25" s="1557" t="s">
        <v>8</v>
      </c>
      <c r="W25" s="1558">
        <f>J25</f>
        <v>100</v>
      </c>
      <c r="X25" s="1551"/>
      <c r="Y25" s="3389"/>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389"/>
      <c r="Q26" s="1556" t="str">
        <f t="shared" si="11"/>
        <v>平面位置/可视性</v>
      </c>
      <c r="R26" s="1557" t="s">
        <v>8</v>
      </c>
      <c r="S26" s="1558">
        <f>F26</f>
        <v>100</v>
      </c>
      <c r="T26" s="1557" t="s">
        <v>8</v>
      </c>
      <c r="U26" s="1558">
        <f>H26</f>
        <v>100</v>
      </c>
      <c r="V26" s="1557" t="s">
        <v>8</v>
      </c>
      <c r="W26" s="1558">
        <f>J26</f>
        <v>100</v>
      </c>
      <c r="X26" s="1551"/>
      <c r="Y26" s="3389"/>
      <c r="Z26" s="1559" t="str">
        <f>Q26</f>
        <v>平面位置/可视性</v>
      </c>
      <c r="AA26" s="1560">
        <f t="shared" si="3"/>
        <v>1</v>
      </c>
      <c r="AB26" s="1560">
        <f t="shared" si="4"/>
        <v>1</v>
      </c>
      <c r="AC26" s="1560">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8"/>
      <c r="M27" s="2119"/>
      <c r="N27" s="2119"/>
      <c r="O27" s="2120"/>
      <c r="P27" s="3389"/>
      <c r="Q27" s="1146" t="str">
        <f t="shared" si="11"/>
        <v>人流量</v>
      </c>
      <c r="R27" s="1552" t="s">
        <v>8</v>
      </c>
      <c r="S27" s="1553">
        <f>F27</f>
        <v>100</v>
      </c>
      <c r="T27" s="1552" t="s">
        <v>8</v>
      </c>
      <c r="U27" s="1553">
        <f>H27</f>
        <v>100</v>
      </c>
      <c r="V27" s="1552" t="s">
        <v>8</v>
      </c>
      <c r="W27" s="1553">
        <f>J27</f>
        <v>100</v>
      </c>
      <c r="X27" s="1554"/>
      <c r="Y27" s="3389"/>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389"/>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389"/>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389"/>
      <c r="Q29" s="1556">
        <f t="shared" si="11"/>
        <v>111</v>
      </c>
      <c r="R29" s="1557" t="s">
        <v>8</v>
      </c>
      <c r="S29" s="1558">
        <f t="shared" si="12"/>
        <v>100</v>
      </c>
      <c r="T29" s="1557" t="s">
        <v>8</v>
      </c>
      <c r="U29" s="1558">
        <f t="shared" si="13"/>
        <v>100</v>
      </c>
      <c r="V29" s="1557" t="s">
        <v>8</v>
      </c>
      <c r="W29" s="1558">
        <f t="shared" si="14"/>
        <v>100</v>
      </c>
      <c r="X29" s="1551"/>
      <c r="Y29" s="3389"/>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389"/>
      <c r="Q30" s="1556">
        <f t="shared" si="11"/>
        <v>111</v>
      </c>
      <c r="R30" s="1557" t="s">
        <v>8</v>
      </c>
      <c r="S30" s="1558">
        <f t="shared" si="12"/>
        <v>100</v>
      </c>
      <c r="T30" s="1557" t="s">
        <v>8</v>
      </c>
      <c r="U30" s="1558">
        <f t="shared" si="13"/>
        <v>100</v>
      </c>
      <c r="V30" s="1557" t="s">
        <v>8</v>
      </c>
      <c r="W30" s="1558">
        <f t="shared" si="14"/>
        <v>100</v>
      </c>
      <c r="X30" s="1551"/>
      <c r="Y30" s="3389"/>
      <c r="Z30" s="1559">
        <f t="shared" si="15"/>
        <v>111</v>
      </c>
      <c r="AA30" s="1560">
        <f t="shared" si="3"/>
        <v>1</v>
      </c>
      <c r="AB30" s="1560">
        <f t="shared" si="4"/>
        <v>1</v>
      </c>
      <c r="AC30" s="1560">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389"/>
      <c r="Q31" s="1556">
        <f t="shared" si="11"/>
        <v>111</v>
      </c>
      <c r="R31" s="1557" t="s">
        <v>8</v>
      </c>
      <c r="S31" s="1558">
        <f t="shared" si="12"/>
        <v>100</v>
      </c>
      <c r="T31" s="1557" t="s">
        <v>8</v>
      </c>
      <c r="U31" s="1558">
        <f t="shared" si="13"/>
        <v>100</v>
      </c>
      <c r="V31" s="1557" t="s">
        <v>8</v>
      </c>
      <c r="W31" s="1558">
        <f t="shared" si="14"/>
        <v>100</v>
      </c>
      <c r="X31" s="1551"/>
      <c r="Y31" s="3389"/>
      <c r="Z31" s="1559">
        <f t="shared" si="15"/>
        <v>111</v>
      </c>
      <c r="AA31" s="1560">
        <f t="shared" si="3"/>
        <v>1</v>
      </c>
      <c r="AB31" s="1560">
        <f t="shared" si="4"/>
        <v>1</v>
      </c>
      <c r="AC31" s="1560">
        <f t="shared" si="5"/>
        <v>1</v>
      </c>
    </row>
    <row r="32" spans="1:29" ht="15">
      <c r="A32" s="2860"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390" t="s">
        <v>550</v>
      </c>
      <c r="Q32" s="1556" t="str">
        <f t="shared" si="11"/>
        <v>商业类型</v>
      </c>
      <c r="R32" s="1557" t="s">
        <v>8</v>
      </c>
      <c r="S32" s="1558">
        <f t="shared" si="12"/>
        <v>100</v>
      </c>
      <c r="T32" s="1557" t="s">
        <v>8</v>
      </c>
      <c r="U32" s="1558">
        <f t="shared" si="13"/>
        <v>100</v>
      </c>
      <c r="V32" s="1557" t="s">
        <v>8</v>
      </c>
      <c r="W32" s="1558">
        <f t="shared" si="14"/>
        <v>100</v>
      </c>
      <c r="X32" s="1551"/>
      <c r="Y32" s="3391" t="s">
        <v>550</v>
      </c>
      <c r="Z32" s="1559" t="str">
        <f t="shared" si="15"/>
        <v>商业类型</v>
      </c>
      <c r="AA32" s="1560">
        <f t="shared" si="3"/>
        <v>1</v>
      </c>
      <c r="AB32" s="1560">
        <f t="shared" si="4"/>
        <v>1</v>
      </c>
      <c r="AC32" s="1560">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391"/>
      <c r="Q33" s="1588" t="str">
        <f t="shared" si="11"/>
        <v>项目建筑规模</v>
      </c>
      <c r="R33" s="1561" t="s">
        <v>8</v>
      </c>
      <c r="S33" s="1562" t="e">
        <f t="shared" si="12"/>
        <v>#N/A</v>
      </c>
      <c r="T33" s="1561" t="s">
        <v>8</v>
      </c>
      <c r="U33" s="1562" t="e">
        <f t="shared" si="13"/>
        <v>#N/A</v>
      </c>
      <c r="V33" s="1561" t="s">
        <v>8</v>
      </c>
      <c r="W33" s="1562" t="e">
        <f t="shared" si="14"/>
        <v>#N/A</v>
      </c>
      <c r="X33" s="1563"/>
      <c r="Y33" s="3391"/>
      <c r="Z33" s="1564" t="str">
        <f t="shared" si="15"/>
        <v>项目建筑规模</v>
      </c>
      <c r="AA33" s="1560" t="e">
        <f t="shared" si="3"/>
        <v>#N/A</v>
      </c>
      <c r="AB33" s="1560" t="e">
        <f t="shared" si="4"/>
        <v>#N/A</v>
      </c>
      <c r="AC33" s="1560"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5"/>
      <c r="M34" s="2117"/>
      <c r="N34" s="2117"/>
      <c r="O34" s="2124"/>
      <c r="P34" s="3391"/>
      <c r="Q34" s="1556" t="str">
        <f t="shared" si="11"/>
        <v>建筑结构</v>
      </c>
      <c r="R34" s="1557" t="s">
        <v>8</v>
      </c>
      <c r="S34" s="1558">
        <f t="shared" si="12"/>
        <v>100</v>
      </c>
      <c r="T34" s="1557" t="s">
        <v>8</v>
      </c>
      <c r="U34" s="1558">
        <f t="shared" si="13"/>
        <v>100</v>
      </c>
      <c r="V34" s="1557" t="s">
        <v>8</v>
      </c>
      <c r="W34" s="1558">
        <f t="shared" si="14"/>
        <v>100</v>
      </c>
      <c r="X34" s="1551"/>
      <c r="Y34" s="3391"/>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391"/>
      <c r="Q35" s="1556" t="str">
        <f t="shared" si="11"/>
        <v>公共部分装修</v>
      </c>
      <c r="R35" s="1557" t="s">
        <v>8</v>
      </c>
      <c r="S35" s="1558">
        <f t="shared" si="12"/>
        <v>100</v>
      </c>
      <c r="T35" s="1557" t="s">
        <v>8</v>
      </c>
      <c r="U35" s="1558">
        <f t="shared" si="13"/>
        <v>100</v>
      </c>
      <c r="V35" s="1557" t="s">
        <v>8</v>
      </c>
      <c r="W35" s="1558">
        <f t="shared" si="14"/>
        <v>100</v>
      </c>
      <c r="X35" s="1551"/>
      <c r="Y35" s="3391"/>
      <c r="Z35" s="1559" t="str">
        <f t="shared" si="15"/>
        <v>公共部分装修</v>
      </c>
      <c r="AA35" s="1560">
        <f t="shared" si="3"/>
        <v>1</v>
      </c>
      <c r="AB35" s="1560">
        <f t="shared" si="4"/>
        <v>1</v>
      </c>
      <c r="AC35" s="1560">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5"/>
      <c r="M36" s="2117"/>
      <c r="N36" s="2117"/>
      <c r="O36" s="2124"/>
      <c r="P36" s="3391"/>
      <c r="Q36" s="1556" t="str">
        <f t="shared" si="11"/>
        <v>成新度</v>
      </c>
      <c r="R36" s="1557" t="s">
        <v>8</v>
      </c>
      <c r="S36" s="1558" t="e">
        <f t="shared" si="12"/>
        <v>#N/A</v>
      </c>
      <c r="T36" s="1557" t="s">
        <v>8</v>
      </c>
      <c r="U36" s="1558" t="e">
        <f t="shared" si="13"/>
        <v>#N/A</v>
      </c>
      <c r="V36" s="1557" t="s">
        <v>8</v>
      </c>
      <c r="W36" s="1558" t="e">
        <f t="shared" si="14"/>
        <v>#N/A</v>
      </c>
      <c r="X36" s="1551"/>
      <c r="Y36" s="3391"/>
      <c r="Z36" s="1559" t="str">
        <f t="shared" si="15"/>
        <v>成新度</v>
      </c>
      <c r="AA36" s="1560" t="e">
        <f t="shared" si="3"/>
        <v>#N/A</v>
      </c>
      <c r="AB36" s="1560" t="e">
        <f t="shared" si="4"/>
        <v>#N/A</v>
      </c>
      <c r="AC36" s="1560" t="e">
        <f t="shared" si="5"/>
        <v>#N/A</v>
      </c>
    </row>
    <row r="37" spans="1:29" s="1215" customFormat="1" ht="15">
      <c r="A37" s="600"/>
      <c r="B37" s="1878"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391"/>
      <c r="Q37" s="1146" t="str">
        <f t="shared" si="11"/>
        <v>市政基础设施</v>
      </c>
      <c r="R37" s="1552" t="s">
        <v>8</v>
      </c>
      <c r="S37" s="1553">
        <f t="shared" si="12"/>
        <v>100</v>
      </c>
      <c r="T37" s="1552" t="s">
        <v>8</v>
      </c>
      <c r="U37" s="1553">
        <f t="shared" si="13"/>
        <v>100</v>
      </c>
      <c r="V37" s="1552" t="s">
        <v>8</v>
      </c>
      <c r="W37" s="1553">
        <f t="shared" si="14"/>
        <v>100</v>
      </c>
      <c r="X37" s="1554"/>
      <c r="Y37" s="3391"/>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391" t="s">
        <v>766</v>
      </c>
      <c r="Q38" s="1556" t="str">
        <f t="shared" si="11"/>
        <v>业态</v>
      </c>
      <c r="R38" s="1557" t="s">
        <v>8</v>
      </c>
      <c r="S38" s="1558">
        <f t="shared" si="12"/>
        <v>100</v>
      </c>
      <c r="T38" s="1557" t="s">
        <v>8</v>
      </c>
      <c r="U38" s="1558">
        <f t="shared" si="13"/>
        <v>100</v>
      </c>
      <c r="V38" s="1557" t="s">
        <v>8</v>
      </c>
      <c r="W38" s="1558">
        <f t="shared" si="14"/>
        <v>100</v>
      </c>
      <c r="X38" s="1551"/>
      <c r="Y38" s="3391"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91"/>
      <c r="Q39" s="1556" t="str">
        <f t="shared" si="11"/>
        <v>层高</v>
      </c>
      <c r="R39" s="1557" t="s">
        <v>8</v>
      </c>
      <c r="S39" s="1558">
        <f t="shared" si="12"/>
        <v>100</v>
      </c>
      <c r="T39" s="1557" t="s">
        <v>8</v>
      </c>
      <c r="U39" s="1558">
        <f t="shared" si="13"/>
        <v>100</v>
      </c>
      <c r="V39" s="1557" t="s">
        <v>8</v>
      </c>
      <c r="W39" s="1558">
        <f t="shared" si="14"/>
        <v>100</v>
      </c>
      <c r="X39" s="1551"/>
      <c r="Y39" s="3391"/>
      <c r="Z39" s="1559" t="str">
        <f t="shared" si="15"/>
        <v>层高</v>
      </c>
      <c r="AA39" s="1560">
        <f t="shared" si="3"/>
        <v>1</v>
      </c>
      <c r="AB39" s="1560">
        <f t="shared" si="4"/>
        <v>1</v>
      </c>
      <c r="AC39" s="1560">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5"/>
      <c r="M40" s="2117"/>
      <c r="N40" s="2117"/>
      <c r="O40" s="2124"/>
      <c r="P40" s="3391"/>
      <c r="Q40" s="1556" t="str">
        <f t="shared" si="11"/>
        <v>单套建筑面积</v>
      </c>
      <c r="R40" s="1557" t="s">
        <v>8</v>
      </c>
      <c r="S40" s="1558">
        <f t="shared" si="12"/>
        <v>100</v>
      </c>
      <c r="T40" s="1557" t="s">
        <v>8</v>
      </c>
      <c r="U40" s="1558">
        <f t="shared" si="13"/>
        <v>100</v>
      </c>
      <c r="V40" s="1557" t="s">
        <v>8</v>
      </c>
      <c r="W40" s="1558">
        <f t="shared" si="14"/>
        <v>100</v>
      </c>
      <c r="X40" s="1551"/>
      <c r="Y40" s="3391"/>
      <c r="Z40" s="1559" t="str">
        <f t="shared" si="15"/>
        <v>单套建筑面积</v>
      </c>
      <c r="AA40" s="1560">
        <f t="shared" si="3"/>
        <v>1</v>
      </c>
      <c r="AB40" s="1560">
        <f t="shared" si="4"/>
        <v>1</v>
      </c>
      <c r="AC40" s="1560">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391"/>
      <c r="Q41" s="1588" t="str">
        <f t="shared" si="11"/>
        <v>进深比</v>
      </c>
      <c r="R41" s="1561" t="s">
        <v>8</v>
      </c>
      <c r="S41" s="1562">
        <f t="shared" si="12"/>
        <v>100</v>
      </c>
      <c r="T41" s="1561" t="s">
        <v>8</v>
      </c>
      <c r="U41" s="1562">
        <f t="shared" si="13"/>
        <v>100</v>
      </c>
      <c r="V41" s="1561" t="s">
        <v>8</v>
      </c>
      <c r="W41" s="1562">
        <f t="shared" si="14"/>
        <v>100</v>
      </c>
      <c r="X41" s="1563"/>
      <c r="Y41" s="3391"/>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391"/>
      <c r="Q42" s="1556" t="str">
        <f t="shared" si="11"/>
        <v>内部装修</v>
      </c>
      <c r="R42" s="1557" t="s">
        <v>8</v>
      </c>
      <c r="S42" s="1558">
        <f t="shared" si="12"/>
        <v>100</v>
      </c>
      <c r="T42" s="1557" t="s">
        <v>8</v>
      </c>
      <c r="U42" s="1558">
        <f t="shared" si="13"/>
        <v>100</v>
      </c>
      <c r="V42" s="1557" t="s">
        <v>8</v>
      </c>
      <c r="W42" s="1558">
        <f t="shared" si="14"/>
        <v>100</v>
      </c>
      <c r="X42" s="1551"/>
      <c r="Y42" s="3391"/>
      <c r="Z42" s="1559" t="str">
        <f t="shared" si="15"/>
        <v>内部装修</v>
      </c>
      <c r="AA42" s="1560">
        <f t="shared" si="3"/>
        <v>1</v>
      </c>
      <c r="AB42" s="1560">
        <f t="shared" si="4"/>
        <v>1</v>
      </c>
      <c r="AC42" s="1560">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391"/>
      <c r="Q43" s="1556" t="str">
        <f t="shared" si="11"/>
        <v>内部装修维护情况</v>
      </c>
      <c r="R43" s="1557" t="s">
        <v>8</v>
      </c>
      <c r="S43" s="1558">
        <f t="shared" si="12"/>
        <v>100</v>
      </c>
      <c r="T43" s="1557" t="s">
        <v>8</v>
      </c>
      <c r="U43" s="1558">
        <f t="shared" si="13"/>
        <v>100</v>
      </c>
      <c r="V43" s="1557" t="s">
        <v>8</v>
      </c>
      <c r="W43" s="1558">
        <f t="shared" si="14"/>
        <v>100</v>
      </c>
      <c r="X43" s="1551"/>
      <c r="Y43" s="3391"/>
      <c r="Z43" s="1559" t="str">
        <f t="shared" si="15"/>
        <v>内部装修维护情况</v>
      </c>
      <c r="AA43" s="1560">
        <f t="shared" si="3"/>
        <v>1</v>
      </c>
      <c r="AB43" s="1560">
        <f t="shared" si="4"/>
        <v>1</v>
      </c>
      <c r="AC43" s="1560">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391"/>
      <c r="Q44" s="1146">
        <f t="shared" si="11"/>
        <v>111</v>
      </c>
      <c r="R44" s="1552" t="s">
        <v>8</v>
      </c>
      <c r="S44" s="1553">
        <f t="shared" si="12"/>
        <v>100</v>
      </c>
      <c r="T44" s="1552" t="s">
        <v>8</v>
      </c>
      <c r="U44" s="1553">
        <f t="shared" si="13"/>
        <v>100</v>
      </c>
      <c r="V44" s="1552" t="s">
        <v>8</v>
      </c>
      <c r="W44" s="1553">
        <f t="shared" si="14"/>
        <v>100</v>
      </c>
      <c r="X44" s="1554"/>
      <c r="Y44" s="3391"/>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391"/>
      <c r="Q45" s="1556">
        <f t="shared" si="11"/>
        <v>111</v>
      </c>
      <c r="R45" s="1557" t="s">
        <v>8</v>
      </c>
      <c r="S45" s="1558">
        <f t="shared" si="12"/>
        <v>100</v>
      </c>
      <c r="T45" s="1557" t="s">
        <v>8</v>
      </c>
      <c r="U45" s="1558">
        <f t="shared" si="13"/>
        <v>100</v>
      </c>
      <c r="V45" s="1557" t="s">
        <v>8</v>
      </c>
      <c r="W45" s="1558">
        <f t="shared" si="14"/>
        <v>100</v>
      </c>
      <c r="X45" s="1551"/>
      <c r="Y45" s="3391"/>
      <c r="Z45" s="1559">
        <f t="shared" si="15"/>
        <v>111</v>
      </c>
      <c r="AA45" s="1560">
        <f t="shared" si="3"/>
        <v>1</v>
      </c>
      <c r="AB45" s="1560">
        <f t="shared" si="4"/>
        <v>1</v>
      </c>
      <c r="AC45" s="1560">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3"/>
      <c r="Q46" s="1556">
        <f t="shared" si="11"/>
        <v>111</v>
      </c>
      <c r="R46" s="1557" t="s">
        <v>8</v>
      </c>
      <c r="S46" s="1558">
        <f t="shared" si="12"/>
        <v>100</v>
      </c>
      <c r="T46" s="1557" t="s">
        <v>8</v>
      </c>
      <c r="U46" s="1558">
        <f t="shared" si="13"/>
        <v>100</v>
      </c>
      <c r="V46" s="1557" t="s">
        <v>8</v>
      </c>
      <c r="W46" s="1558">
        <f t="shared" si="14"/>
        <v>100</v>
      </c>
      <c r="X46" s="1551"/>
      <c r="Y46" s="3493"/>
      <c r="Z46" s="1559">
        <f t="shared" si="15"/>
        <v>111</v>
      </c>
      <c r="AA46" s="1560">
        <f t="shared" si="3"/>
        <v>1</v>
      </c>
      <c r="AB46" s="1560">
        <f t="shared" si="4"/>
        <v>1</v>
      </c>
      <c r="AC46" s="1560">
        <f t="shared" si="5"/>
        <v>1</v>
      </c>
    </row>
    <row r="47" spans="1:29" ht="15">
      <c r="A47" s="607" t="s">
        <v>736</v>
      </c>
      <c r="B47" s="886"/>
      <c r="C47" s="2589" t="s">
        <v>1</v>
      </c>
      <c r="D47" s="2590"/>
      <c r="E47" s="2591"/>
      <c r="F47" s="2592"/>
      <c r="G47" s="2593"/>
      <c r="H47" s="2594"/>
      <c r="I47" s="2591"/>
      <c r="J47" s="2594"/>
      <c r="K47" s="1594"/>
      <c r="L47" s="2127"/>
      <c r="M47" s="2128"/>
      <c r="N47" s="2117"/>
      <c r="O47" s="2128"/>
      <c r="P47" s="3386" t="str">
        <f>A47</f>
        <v>成交单价（元/平方米）</v>
      </c>
      <c r="Q47" s="3386"/>
      <c r="R47" s="3492">
        <f>E47</f>
        <v>0</v>
      </c>
      <c r="S47" s="3492"/>
      <c r="T47" s="3492">
        <f>G47</f>
        <v>0</v>
      </c>
      <c r="U47" s="3492"/>
      <c r="V47" s="3492">
        <f>I47</f>
        <v>0</v>
      </c>
      <c r="W47" s="3492"/>
      <c r="X47" s="1543"/>
      <c r="Y47" s="1565"/>
      <c r="Z47" s="1543"/>
      <c r="AA47" s="1543"/>
      <c r="AB47" s="1543"/>
      <c r="AC47" s="1543"/>
    </row>
    <row r="48" spans="1:29" ht="15.75" thickBot="1">
      <c r="A48" s="615" t="s">
        <v>2757</v>
      </c>
      <c r="B48" s="887"/>
      <c r="C48" s="2595" t="e">
        <f>R49</f>
        <v>#DIV/0!</v>
      </c>
      <c r="D48" s="2596"/>
      <c r="E48" s="2597" t="e">
        <f>R48</f>
        <v>#DIV/0!</v>
      </c>
      <c r="F48" s="2597"/>
      <c r="G48" s="2595" t="e">
        <f>T48</f>
        <v>#DIV/0!</v>
      </c>
      <c r="H48" s="2596"/>
      <c r="I48" s="2597" t="e">
        <f>V48</f>
        <v>#DIV/0!</v>
      </c>
      <c r="J48" s="2596"/>
      <c r="K48" s="1595"/>
      <c r="L48" s="2127"/>
      <c r="M48" s="2128"/>
      <c r="N48" s="2117"/>
      <c r="O48" s="2128"/>
      <c r="P48" s="3386" t="str">
        <f>A48</f>
        <v>比较价格（元/平方米）</v>
      </c>
      <c r="Q48" s="3386"/>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3"/>
      <c r="Y48" s="1543"/>
      <c r="Z48" s="1543"/>
      <c r="AA48" s="1543"/>
      <c r="AB48" s="1543"/>
      <c r="AC48" s="1543"/>
    </row>
    <row r="49" spans="1:29" ht="15.75" thickBot="1">
      <c r="A49" s="621" t="s">
        <v>2924</v>
      </c>
      <c r="B49" s="622"/>
      <c r="C49" s="2598" t="e">
        <f>R49</f>
        <v>#DIV/0!</v>
      </c>
      <c r="D49" s="2598"/>
      <c r="E49" s="2598"/>
      <c r="F49" s="2598"/>
      <c r="G49" s="2598"/>
      <c r="H49" s="2598"/>
      <c r="I49" s="2598"/>
      <c r="J49" s="2598"/>
      <c r="K49" s="1596"/>
      <c r="L49" s="2127"/>
      <c r="M49" s="2128"/>
      <c r="N49" s="2117"/>
      <c r="O49" s="2128"/>
      <c r="P49" s="3408" t="str">
        <f>A49</f>
        <v>估价对象XX用房的比较价格（楼面单价，元/平方米）</v>
      </c>
      <c r="Q49" s="3409"/>
      <c r="R49" s="3491" t="e">
        <f>IF(F1="售价",ROUND(AVERAGE(R48:V48),0),ROUND(AVERAGE(R48:V48),1))</f>
        <v>#DIV/0!</v>
      </c>
      <c r="S49" s="3491"/>
      <c r="T49" s="3491"/>
      <c r="U49" s="3491"/>
      <c r="V49" s="3491"/>
      <c r="W49" s="349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5"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771</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c r="D92" s="688"/>
      <c r="E92" s="688"/>
      <c r="F92" s="688"/>
      <c r="G92" s="688"/>
      <c r="H92" s="688"/>
      <c r="I92" s="688"/>
      <c r="J92" s="688"/>
      <c r="K92" s="688"/>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2554</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8"/>
      <c r="D118" s="908"/>
      <c r="E118" s="908"/>
      <c r="F118" s="908"/>
      <c r="G118" s="908"/>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2" t="s">
        <v>521</v>
      </c>
      <c r="B4" s="513"/>
      <c r="C4" s="3392" t="s">
        <v>522</v>
      </c>
      <c r="D4" s="3393"/>
      <c r="E4" s="3417" t="s">
        <v>523</v>
      </c>
      <c r="F4" s="3418"/>
      <c r="G4" s="3392" t="s">
        <v>524</v>
      </c>
      <c r="H4" s="3393"/>
      <c r="I4" s="3392" t="s">
        <v>525</v>
      </c>
      <c r="J4" s="3393"/>
      <c r="K4" s="514" t="s">
        <v>526</v>
      </c>
      <c r="L4" s="2116"/>
      <c r="M4" s="2117"/>
      <c r="N4" s="2117"/>
      <c r="O4" s="2117"/>
      <c r="P4" s="3494" t="s">
        <v>527</v>
      </c>
      <c r="Q4" s="3395"/>
      <c r="R4" s="3380" t="s">
        <v>523</v>
      </c>
      <c r="S4" s="3381"/>
      <c r="T4" s="3380" t="s">
        <v>524</v>
      </c>
      <c r="U4" s="3381"/>
      <c r="V4" s="3400" t="s">
        <v>525</v>
      </c>
      <c r="W4" s="3400"/>
      <c r="X4" s="1551"/>
      <c r="Y4" s="3380" t="s">
        <v>527</v>
      </c>
      <c r="Z4" s="3381"/>
      <c r="AA4" s="3375" t="s">
        <v>523</v>
      </c>
      <c r="AB4" s="3375" t="s">
        <v>524</v>
      </c>
      <c r="AC4" s="3375" t="s">
        <v>525</v>
      </c>
    </row>
    <row r="5" spans="1:29" ht="15">
      <c r="A5" s="515"/>
      <c r="B5" s="516"/>
      <c r="C5" s="3405" t="s">
        <v>2918</v>
      </c>
      <c r="D5" s="3404"/>
      <c r="E5" s="3419" t="s">
        <v>2919</v>
      </c>
      <c r="F5" s="3420"/>
      <c r="G5" s="3405" t="s">
        <v>2920</v>
      </c>
      <c r="H5" s="3404"/>
      <c r="I5" s="3405" t="s">
        <v>2921</v>
      </c>
      <c r="J5" s="3404"/>
      <c r="K5" s="514"/>
      <c r="L5" s="2116"/>
      <c r="M5" s="2117"/>
      <c r="N5" s="2117"/>
      <c r="O5" s="2117"/>
      <c r="P5" s="3495"/>
      <c r="Q5" s="3397"/>
      <c r="R5" s="3382"/>
      <c r="S5" s="3383"/>
      <c r="T5" s="3382"/>
      <c r="U5" s="3383"/>
      <c r="V5" s="3400"/>
      <c r="W5" s="3400"/>
      <c r="X5" s="1551"/>
      <c r="Y5" s="3382"/>
      <c r="Z5" s="3383"/>
      <c r="AA5" s="3376"/>
      <c r="AB5" s="3376"/>
      <c r="AC5" s="3376"/>
    </row>
    <row r="6" spans="1:29" ht="15.75" thickBot="1">
      <c r="A6" s="517"/>
      <c r="B6" s="518"/>
      <c r="C6" s="3401" t="s">
        <v>2922</v>
      </c>
      <c r="D6" s="3402"/>
      <c r="E6" s="3421" t="s">
        <v>2922</v>
      </c>
      <c r="F6" s="3422"/>
      <c r="G6" s="3401" t="s">
        <v>2922</v>
      </c>
      <c r="H6" s="3402"/>
      <c r="I6" s="3401" t="s">
        <v>2922</v>
      </c>
      <c r="J6" s="3402"/>
      <c r="K6" s="514" t="s">
        <v>528</v>
      </c>
      <c r="L6" s="2116"/>
      <c r="M6" s="2117"/>
      <c r="N6" s="2117"/>
      <c r="O6" s="2117"/>
      <c r="P6" s="3496"/>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c r="F7" s="522">
        <f>SUMIF(59:59,YEAR(E7)&amp;"-"&amp;MONTH(E7),60:60)</f>
        <v>0</v>
      </c>
      <c r="G7" s="521"/>
      <c r="H7" s="520">
        <f>SUMIF(59:59,YEAR(G7)&amp;"-"&amp;MONTH(G7),60:60)</f>
        <v>0</v>
      </c>
      <c r="I7" s="521"/>
      <c r="J7" s="520">
        <f>SUMIF(59:59,YEAR(I7)&amp;"-"&amp;MONTH(I7),60:60)</f>
        <v>0</v>
      </c>
      <c r="K7" s="524"/>
      <c r="L7" s="2118"/>
      <c r="M7" s="2119"/>
      <c r="N7" s="2119"/>
      <c r="O7" s="2119"/>
      <c r="P7" s="3387" t="s">
        <v>530</v>
      </c>
      <c r="Q7" s="3387"/>
      <c r="R7" s="1552" t="s">
        <v>8</v>
      </c>
      <c r="S7" s="1553">
        <f t="shared" ref="S7:S15" si="0">F7</f>
        <v>0</v>
      </c>
      <c r="T7" s="1552" t="s">
        <v>8</v>
      </c>
      <c r="U7" s="1553">
        <f t="shared" ref="U7:U15" si="1">H7</f>
        <v>0</v>
      </c>
      <c r="V7" s="1552" t="s">
        <v>8</v>
      </c>
      <c r="W7" s="1553">
        <f t="shared" ref="W7:W15"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387" t="s">
        <v>533</v>
      </c>
      <c r="Q8" s="3379"/>
      <c r="R8" s="1552" t="s">
        <v>8</v>
      </c>
      <c r="S8" s="1553">
        <f t="shared" si="0"/>
        <v>0</v>
      </c>
      <c r="T8" s="1552" t="s">
        <v>8</v>
      </c>
      <c r="U8" s="1553">
        <f t="shared" si="1"/>
        <v>0</v>
      </c>
      <c r="V8" s="1552" t="s">
        <v>8</v>
      </c>
      <c r="W8" s="1553">
        <f t="shared" si="2"/>
        <v>0</v>
      </c>
      <c r="X8" s="1554"/>
      <c r="Y8" s="3378" t="s">
        <v>533</v>
      </c>
      <c r="Z8" s="3379"/>
      <c r="AA8" s="1555" t="e">
        <f t="shared" ref="AA8:AA47" si="3">D8/F8</f>
        <v>#DIV/0!</v>
      </c>
      <c r="AB8" s="1555" t="e">
        <f t="shared" ref="AB8:AB47" si="4">D8/H8</f>
        <v>#DIV/0!</v>
      </c>
      <c r="AC8" s="1555" t="e">
        <f t="shared" ref="AC8:AC47" si="5">D8/J8</f>
        <v>#DIV/0!</v>
      </c>
    </row>
    <row r="9" spans="1:29" s="1215" customFormat="1" ht="15">
      <c r="A9" s="2866"/>
      <c r="B9" s="2873"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86" t="s">
        <v>535</v>
      </c>
      <c r="Q9" s="1146" t="str">
        <f t="shared" ref="Q9:Q15" si="6">B9</f>
        <v>用途</v>
      </c>
      <c r="R9" s="1552" t="s">
        <v>8</v>
      </c>
      <c r="S9" s="1553">
        <f t="shared" si="0"/>
        <v>100</v>
      </c>
      <c r="T9" s="1552" t="s">
        <v>8</v>
      </c>
      <c r="U9" s="1553">
        <f t="shared" si="1"/>
        <v>100</v>
      </c>
      <c r="V9" s="1552" t="s">
        <v>8</v>
      </c>
      <c r="W9" s="1553">
        <f t="shared" si="2"/>
        <v>100</v>
      </c>
      <c r="X9" s="1554"/>
      <c r="Y9" s="3343"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86"/>
      <c r="Q11" s="1146" t="str">
        <f t="shared" si="6"/>
        <v>容积率</v>
      </c>
      <c r="R11" s="1552" t="s">
        <v>8</v>
      </c>
      <c r="S11" s="1553" t="e">
        <f t="shared" si="0"/>
        <v>#N/A</v>
      </c>
      <c r="T11" s="1552" t="s">
        <v>8</v>
      </c>
      <c r="U11" s="1553" t="e">
        <f t="shared" si="1"/>
        <v>#N/A</v>
      </c>
      <c r="V11" s="1552" t="s">
        <v>8</v>
      </c>
      <c r="W11" s="1553" t="e">
        <f t="shared" si="2"/>
        <v>#N/A</v>
      </c>
      <c r="X11" s="1554"/>
      <c r="Y11" s="3343"/>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8"/>
      <c r="M12" s="2119"/>
      <c r="N12" s="2119"/>
      <c r="O12" s="2119"/>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5"/>
      <c r="M13" s="2117"/>
      <c r="N13" s="2117"/>
      <c r="O13" s="2117"/>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5"/>
      <c r="M14" s="2117"/>
      <c r="N14" s="2117"/>
      <c r="O14" s="2117"/>
      <c r="P14" s="3386"/>
      <c r="Q14" s="1146">
        <f t="shared" si="6"/>
        <v>111</v>
      </c>
      <c r="R14" s="1552" t="s">
        <v>8</v>
      </c>
      <c r="S14" s="1553">
        <f t="shared" si="0"/>
        <v>100</v>
      </c>
      <c r="T14" s="1552" t="s">
        <v>8</v>
      </c>
      <c r="U14" s="1553">
        <f t="shared" si="1"/>
        <v>100</v>
      </c>
      <c r="V14" s="1552" t="s">
        <v>8</v>
      </c>
      <c r="W14" s="1553">
        <f t="shared" si="2"/>
        <v>100</v>
      </c>
      <c r="X14" s="1554"/>
      <c r="Y14" s="3343"/>
      <c r="Z14" s="1145">
        <f t="shared" si="7"/>
        <v>111</v>
      </c>
      <c r="AA14" s="1555">
        <f t="shared" si="3"/>
        <v>1</v>
      </c>
      <c r="AB14" s="1555">
        <f t="shared" si="4"/>
        <v>1</v>
      </c>
      <c r="AC14" s="1555">
        <f t="shared" si="5"/>
        <v>1</v>
      </c>
    </row>
    <row r="15" spans="1:29" ht="15">
      <c r="A15" s="2862"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5"/>
      <c r="M15" s="2117"/>
      <c r="N15" s="2117"/>
      <c r="O15" s="2117"/>
      <c r="P15" s="3388" t="s">
        <v>540</v>
      </c>
      <c r="Q15" s="1556" t="str">
        <f t="shared" si="6"/>
        <v>办公集聚程度</v>
      </c>
      <c r="R15" s="1557" t="s">
        <v>8</v>
      </c>
      <c r="S15" s="1558">
        <f t="shared" si="0"/>
        <v>100</v>
      </c>
      <c r="T15" s="1557" t="s">
        <v>8</v>
      </c>
      <c r="U15" s="1558">
        <f t="shared" si="1"/>
        <v>100</v>
      </c>
      <c r="V15" s="1557" t="s">
        <v>8</v>
      </c>
      <c r="W15" s="1558">
        <f t="shared" si="2"/>
        <v>100</v>
      </c>
      <c r="X15" s="1551"/>
      <c r="Y15" s="3388"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8"/>
      <c r="L16" s="2125"/>
      <c r="M16" s="2117"/>
      <c r="N16" s="2117"/>
      <c r="O16" s="2117"/>
      <c r="P16" s="3389"/>
      <c r="Q16" s="1556"/>
      <c r="R16" s="1557"/>
      <c r="S16" s="1558"/>
      <c r="T16" s="1557"/>
      <c r="U16" s="1558"/>
      <c r="V16" s="1557"/>
      <c r="W16" s="1558"/>
      <c r="X16" s="1551"/>
      <c r="Y16" s="3389"/>
      <c r="Z16" s="1559"/>
      <c r="AA16" s="1560">
        <v>1</v>
      </c>
      <c r="AB16" s="1560">
        <v>1</v>
      </c>
      <c r="AC16" s="1560">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5"/>
      <c r="M17" s="2117"/>
      <c r="N17" s="2117"/>
      <c r="O17" s="2117"/>
      <c r="P17" s="3389"/>
      <c r="Q17" s="1556" t="str">
        <f>B17</f>
        <v>交通便捷度</v>
      </c>
      <c r="R17" s="1557" t="s">
        <v>8</v>
      </c>
      <c r="S17" s="1558">
        <f>F17</f>
        <v>100</v>
      </c>
      <c r="T17" s="1557" t="s">
        <v>8</v>
      </c>
      <c r="U17" s="1558">
        <f>H17</f>
        <v>100</v>
      </c>
      <c r="V17" s="1557" t="s">
        <v>8</v>
      </c>
      <c r="W17" s="1558">
        <f>J17</f>
        <v>100</v>
      </c>
      <c r="X17" s="1551"/>
      <c r="Y17" s="3389"/>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8"/>
      <c r="L18" s="2125"/>
      <c r="M18" s="2117"/>
      <c r="N18" s="2117"/>
      <c r="O18" s="2117"/>
      <c r="P18" s="3389"/>
      <c r="Q18" s="1556"/>
      <c r="R18" s="1557"/>
      <c r="S18" s="1558"/>
      <c r="T18" s="1557"/>
      <c r="U18" s="1558"/>
      <c r="V18" s="1557"/>
      <c r="W18" s="1558"/>
      <c r="X18" s="1551"/>
      <c r="Y18" s="3389"/>
      <c r="Z18" s="1559"/>
      <c r="AA18" s="1560">
        <v>1</v>
      </c>
      <c r="AB18" s="1560">
        <v>1</v>
      </c>
      <c r="AC18" s="1560">
        <v>1</v>
      </c>
    </row>
    <row r="19" spans="1:29" ht="15">
      <c r="A19" s="532"/>
      <c r="B19" s="2565"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5"/>
      <c r="M19" s="2117"/>
      <c r="N19" s="2117"/>
      <c r="O19" s="2117"/>
      <c r="P19" s="3389"/>
      <c r="Q19" s="1556" t="str">
        <f>B19</f>
        <v>公共配套设施</v>
      </c>
      <c r="R19" s="1557" t="s">
        <v>8</v>
      </c>
      <c r="S19" s="1558">
        <f>F19</f>
        <v>100</v>
      </c>
      <c r="T19" s="1557" t="s">
        <v>8</v>
      </c>
      <c r="U19" s="1558">
        <f>H19</f>
        <v>100</v>
      </c>
      <c r="V19" s="1557" t="s">
        <v>8</v>
      </c>
      <c r="W19" s="1558">
        <f>J19</f>
        <v>100</v>
      </c>
      <c r="X19" s="1551"/>
      <c r="Y19" s="3389"/>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8"/>
      <c r="L20" s="2125"/>
      <c r="M20" s="2117"/>
      <c r="N20" s="2117"/>
      <c r="O20" s="2117"/>
      <c r="P20" s="3389"/>
      <c r="Q20" s="1556"/>
      <c r="R20" s="1557"/>
      <c r="S20" s="1558"/>
      <c r="T20" s="1557"/>
      <c r="U20" s="1558"/>
      <c r="V20" s="1557"/>
      <c r="W20" s="1558"/>
      <c r="X20" s="1551"/>
      <c r="Y20" s="3389"/>
      <c r="Z20" s="1559"/>
      <c r="AA20" s="1560">
        <v>1</v>
      </c>
      <c r="AB20" s="1560">
        <v>1</v>
      </c>
      <c r="AC20" s="1560">
        <v>1</v>
      </c>
    </row>
    <row r="21" spans="1:29" ht="15">
      <c r="A21" s="532"/>
      <c r="B21" s="2553"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5"/>
      <c r="M21" s="2117"/>
      <c r="N21" s="2117"/>
      <c r="O21" s="2117"/>
      <c r="P21" s="3389"/>
      <c r="Q21" s="2541" t="str">
        <f>B21</f>
        <v>基础设施水平</v>
      </c>
      <c r="R21" s="1557" t="s">
        <v>8</v>
      </c>
      <c r="S21" s="1558">
        <f>F21</f>
        <v>100</v>
      </c>
      <c r="T21" s="1557" t="s">
        <v>8</v>
      </c>
      <c r="U21" s="1558">
        <f>H21</f>
        <v>100</v>
      </c>
      <c r="V21" s="1557" t="s">
        <v>8</v>
      </c>
      <c r="W21" s="1558">
        <f>J21</f>
        <v>100</v>
      </c>
      <c r="X21" s="2543"/>
      <c r="Y21" s="3389"/>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389"/>
      <c r="Q22" s="2541"/>
      <c r="R22" s="1557"/>
      <c r="S22" s="1558"/>
      <c r="T22" s="1557"/>
      <c r="U22" s="1558"/>
      <c r="V22" s="1557"/>
      <c r="W22" s="1558"/>
      <c r="X22" s="2543"/>
      <c r="Y22" s="3389"/>
      <c r="Z22" s="2542"/>
      <c r="AA22" s="1560">
        <v>1</v>
      </c>
      <c r="AB22" s="1560">
        <v>1</v>
      </c>
      <c r="AC22" s="1560">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5"/>
      <c r="M23" s="2117"/>
      <c r="N23" s="2117"/>
      <c r="O23" s="2117"/>
      <c r="P23" s="3389"/>
      <c r="Q23" s="1556" t="str">
        <f>B23</f>
        <v>环境质量</v>
      </c>
      <c r="R23" s="1557" t="s">
        <v>8</v>
      </c>
      <c r="S23" s="1558">
        <f>F23</f>
        <v>100</v>
      </c>
      <c r="T23" s="1557" t="s">
        <v>8</v>
      </c>
      <c r="U23" s="1558">
        <f>H23</f>
        <v>100</v>
      </c>
      <c r="V23" s="1557" t="s">
        <v>8</v>
      </c>
      <c r="W23" s="1558">
        <f>J23</f>
        <v>100</v>
      </c>
      <c r="X23" s="1551"/>
      <c r="Y23" s="3389"/>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8"/>
      <c r="L24" s="2125"/>
      <c r="M24" s="2117"/>
      <c r="N24" s="2117"/>
      <c r="O24" s="2117"/>
      <c r="P24" s="3389"/>
      <c r="Q24" s="1556"/>
      <c r="R24" s="1557"/>
      <c r="S24" s="1558"/>
      <c r="T24" s="1557"/>
      <c r="U24" s="1558"/>
      <c r="V24" s="1557"/>
      <c r="W24" s="1558"/>
      <c r="X24" s="1551"/>
      <c r="Y24" s="3389"/>
      <c r="Z24" s="1559"/>
      <c r="AA24" s="1560">
        <v>1</v>
      </c>
      <c r="AB24" s="1560">
        <v>1</v>
      </c>
      <c r="AC24" s="1560">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5"/>
      <c r="M25" s="2117"/>
      <c r="N25" s="2117"/>
      <c r="O25" s="2117"/>
      <c r="P25" s="3389"/>
      <c r="Q25" s="1556" t="str">
        <f>B25</f>
        <v>毗邻道路的类型与等级</v>
      </c>
      <c r="R25" s="1557" t="s">
        <v>8</v>
      </c>
      <c r="S25" s="1558">
        <f>F25</f>
        <v>100</v>
      </c>
      <c r="T25" s="1557" t="s">
        <v>8</v>
      </c>
      <c r="U25" s="1558">
        <f>H25</f>
        <v>100</v>
      </c>
      <c r="V25" s="1557" t="s">
        <v>8</v>
      </c>
      <c r="W25" s="1558">
        <f>J25</f>
        <v>100</v>
      </c>
      <c r="X25" s="1551"/>
      <c r="Y25" s="3389"/>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8"/>
      <c r="L26" s="2125"/>
      <c r="M26" s="2117"/>
      <c r="N26" s="2117"/>
      <c r="O26" s="2117"/>
      <c r="P26" s="3389"/>
      <c r="Q26" s="1556"/>
      <c r="R26" s="1557"/>
      <c r="S26" s="1558"/>
      <c r="T26" s="1557"/>
      <c r="U26" s="1558"/>
      <c r="V26" s="1557"/>
      <c r="W26" s="1558"/>
      <c r="X26" s="1551"/>
      <c r="Y26" s="3389"/>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389"/>
      <c r="Q27" s="1556" t="str">
        <f t="shared" ref="Q27:Q47" si="11">B27</f>
        <v>楼层</v>
      </c>
      <c r="R27" s="1557" t="s">
        <v>8</v>
      </c>
      <c r="S27" s="1558">
        <f>F27</f>
        <v>100</v>
      </c>
      <c r="T27" s="1557" t="s">
        <v>8</v>
      </c>
      <c r="U27" s="1558">
        <f>H27</f>
        <v>100</v>
      </c>
      <c r="V27" s="1557" t="s">
        <v>8</v>
      </c>
      <c r="W27" s="1558">
        <f>J27</f>
        <v>100</v>
      </c>
      <c r="X27" s="1551"/>
      <c r="Y27" s="3389"/>
      <c r="Z27" s="1559" t="str">
        <f>Q27</f>
        <v>楼层</v>
      </c>
      <c r="AA27" s="1560">
        <f t="shared" si="3"/>
        <v>1</v>
      </c>
      <c r="AB27" s="1560">
        <f t="shared" si="4"/>
        <v>1</v>
      </c>
      <c r="AC27" s="1560">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8"/>
      <c r="M28" s="2119"/>
      <c r="N28" s="2119"/>
      <c r="O28" s="2119"/>
      <c r="P28" s="3389"/>
      <c r="Q28" s="1146" t="str">
        <f t="shared" si="11"/>
        <v>朝向</v>
      </c>
      <c r="R28" s="1552" t="s">
        <v>8</v>
      </c>
      <c r="S28" s="1553">
        <f>F28</f>
        <v>100</v>
      </c>
      <c r="T28" s="1552" t="s">
        <v>8</v>
      </c>
      <c r="U28" s="1553">
        <f>H28</f>
        <v>100</v>
      </c>
      <c r="V28" s="1552" t="s">
        <v>8</v>
      </c>
      <c r="W28" s="1553">
        <f>J28</f>
        <v>100</v>
      </c>
      <c r="X28" s="1554"/>
      <c r="Y28" s="3389"/>
      <c r="Z28" s="1145" t="str">
        <f>Q28</f>
        <v>朝向</v>
      </c>
      <c r="AA28" s="1560">
        <f>D28/F28</f>
        <v>1</v>
      </c>
      <c r="AB28" s="1560">
        <f>D28/H28</f>
        <v>1</v>
      </c>
      <c r="AC28" s="1560">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5"/>
      <c r="M29" s="2117"/>
      <c r="N29" s="2117"/>
      <c r="O29" s="2117"/>
      <c r="P29" s="3389"/>
      <c r="Q29" s="1556">
        <f t="shared" si="11"/>
        <v>111</v>
      </c>
      <c r="R29" s="1557" t="s">
        <v>8</v>
      </c>
      <c r="S29" s="1558">
        <f t="shared" ref="S29:S47" si="12">F29</f>
        <v>100</v>
      </c>
      <c r="T29" s="1557" t="s">
        <v>8</v>
      </c>
      <c r="U29" s="1558">
        <f t="shared" ref="U29:U47" si="13">H29</f>
        <v>100</v>
      </c>
      <c r="V29" s="1557" t="s">
        <v>8</v>
      </c>
      <c r="W29" s="1558">
        <f t="shared" ref="W29:W47" si="14">J29</f>
        <v>100</v>
      </c>
      <c r="X29" s="1551"/>
      <c r="Y29" s="3389"/>
      <c r="Z29" s="1559">
        <f t="shared" ref="Z29:Z47" si="15">Q29</f>
        <v>111</v>
      </c>
      <c r="AA29" s="1560">
        <f t="shared" si="3"/>
        <v>1</v>
      </c>
      <c r="AB29" s="1560">
        <f t="shared" si="4"/>
        <v>1</v>
      </c>
      <c r="AC29" s="1560">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5"/>
      <c r="M30" s="2117"/>
      <c r="N30" s="2117"/>
      <c r="O30" s="2117"/>
      <c r="P30" s="3389"/>
      <c r="Q30" s="1556">
        <f t="shared" si="11"/>
        <v>111</v>
      </c>
      <c r="R30" s="1557" t="s">
        <v>8</v>
      </c>
      <c r="S30" s="1558">
        <f t="shared" si="12"/>
        <v>100</v>
      </c>
      <c r="T30" s="1557" t="s">
        <v>8</v>
      </c>
      <c r="U30" s="1558">
        <f t="shared" si="13"/>
        <v>100</v>
      </c>
      <c r="V30" s="1557" t="s">
        <v>8</v>
      </c>
      <c r="W30" s="1558">
        <f t="shared" si="14"/>
        <v>100</v>
      </c>
      <c r="X30" s="1551"/>
      <c r="Y30" s="3389"/>
      <c r="Z30" s="1559">
        <f t="shared" si="15"/>
        <v>111</v>
      </c>
      <c r="AA30" s="1560">
        <f t="shared" si="3"/>
        <v>1</v>
      </c>
      <c r="AB30" s="1560">
        <f t="shared" si="4"/>
        <v>1</v>
      </c>
      <c r="AC30" s="1560">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5"/>
      <c r="M31" s="2117"/>
      <c r="N31" s="2117"/>
      <c r="O31" s="2117"/>
      <c r="P31" s="3389"/>
      <c r="Q31" s="1556">
        <f t="shared" si="11"/>
        <v>111</v>
      </c>
      <c r="R31" s="1557" t="s">
        <v>8</v>
      </c>
      <c r="S31" s="1558">
        <f t="shared" si="12"/>
        <v>100</v>
      </c>
      <c r="T31" s="1557" t="s">
        <v>8</v>
      </c>
      <c r="U31" s="1558">
        <f t="shared" si="13"/>
        <v>100</v>
      </c>
      <c r="V31" s="1557" t="s">
        <v>8</v>
      </c>
      <c r="W31" s="1558">
        <f t="shared" si="14"/>
        <v>100</v>
      </c>
      <c r="X31" s="1551"/>
      <c r="Y31" s="3389"/>
      <c r="Z31" s="1559">
        <f t="shared" si="15"/>
        <v>111</v>
      </c>
      <c r="AA31" s="1560">
        <f t="shared" si="3"/>
        <v>1</v>
      </c>
      <c r="AB31" s="1560">
        <f t="shared" si="4"/>
        <v>1</v>
      </c>
      <c r="AC31" s="1560">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5"/>
      <c r="M32" s="2117"/>
      <c r="N32" s="2117"/>
      <c r="O32" s="2117"/>
      <c r="P32" s="3389"/>
      <c r="Q32" s="1556">
        <f t="shared" si="11"/>
        <v>111</v>
      </c>
      <c r="R32" s="1557" t="s">
        <v>8</v>
      </c>
      <c r="S32" s="1558">
        <f t="shared" si="12"/>
        <v>100</v>
      </c>
      <c r="T32" s="1557" t="s">
        <v>8</v>
      </c>
      <c r="U32" s="1558">
        <f t="shared" si="13"/>
        <v>100</v>
      </c>
      <c r="V32" s="1557" t="s">
        <v>8</v>
      </c>
      <c r="W32" s="1558">
        <f t="shared" si="14"/>
        <v>100</v>
      </c>
      <c r="X32" s="1551"/>
      <c r="Y32" s="3389"/>
      <c r="Z32" s="1559">
        <f t="shared" si="15"/>
        <v>111</v>
      </c>
      <c r="AA32" s="1560">
        <f t="shared" si="3"/>
        <v>1</v>
      </c>
      <c r="AB32" s="1560">
        <f t="shared" si="4"/>
        <v>1</v>
      </c>
      <c r="AC32" s="1560">
        <f t="shared" si="5"/>
        <v>1</v>
      </c>
    </row>
    <row r="33" spans="1:29" ht="15">
      <c r="A33" s="2860"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5"/>
      <c r="M33" s="2117"/>
      <c r="N33" s="2117"/>
      <c r="O33" s="2117"/>
      <c r="P33" s="3390" t="s">
        <v>550</v>
      </c>
      <c r="Q33" s="1556" t="str">
        <f t="shared" si="11"/>
        <v>建筑类型</v>
      </c>
      <c r="R33" s="1557" t="s">
        <v>8</v>
      </c>
      <c r="S33" s="1558">
        <f t="shared" si="12"/>
        <v>100</v>
      </c>
      <c r="T33" s="1557" t="s">
        <v>8</v>
      </c>
      <c r="U33" s="1558">
        <f t="shared" si="13"/>
        <v>100</v>
      </c>
      <c r="V33" s="1557" t="s">
        <v>8</v>
      </c>
      <c r="W33" s="1558">
        <f t="shared" si="14"/>
        <v>100</v>
      </c>
      <c r="X33" s="1551"/>
      <c r="Y33" s="3391" t="s">
        <v>550</v>
      </c>
      <c r="Z33" s="1559" t="str">
        <f t="shared" si="15"/>
        <v>建筑类型</v>
      </c>
      <c r="AA33" s="1560">
        <f t="shared" si="3"/>
        <v>1</v>
      </c>
      <c r="AB33" s="1560">
        <f t="shared" si="4"/>
        <v>1</v>
      </c>
      <c r="AC33" s="1560">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391"/>
      <c r="Q34" s="1588" t="str">
        <f t="shared" si="11"/>
        <v>项目建筑规模</v>
      </c>
      <c r="R34" s="1561" t="s">
        <v>8</v>
      </c>
      <c r="S34" s="1562" t="e">
        <f t="shared" si="12"/>
        <v>#N/A</v>
      </c>
      <c r="T34" s="1561" t="s">
        <v>8</v>
      </c>
      <c r="U34" s="1562" t="e">
        <f t="shared" si="13"/>
        <v>#N/A</v>
      </c>
      <c r="V34" s="1561" t="s">
        <v>8</v>
      </c>
      <c r="W34" s="1562" t="e">
        <f t="shared" si="14"/>
        <v>#N/A</v>
      </c>
      <c r="X34" s="1563"/>
      <c r="Y34" s="3391"/>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391"/>
      <c r="Q35" s="1556" t="str">
        <f t="shared" si="11"/>
        <v>建筑结构</v>
      </c>
      <c r="R35" s="1557" t="s">
        <v>8</v>
      </c>
      <c r="S35" s="1558">
        <f t="shared" si="12"/>
        <v>100</v>
      </c>
      <c r="T35" s="1557" t="s">
        <v>8</v>
      </c>
      <c r="U35" s="1558">
        <f t="shared" si="13"/>
        <v>100</v>
      </c>
      <c r="V35" s="1557" t="s">
        <v>8</v>
      </c>
      <c r="W35" s="1558">
        <f t="shared" si="14"/>
        <v>100</v>
      </c>
      <c r="X35" s="1551"/>
      <c r="Y35" s="3391"/>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391"/>
      <c r="Q36" s="1556" t="str">
        <f t="shared" si="11"/>
        <v>公共部分装修</v>
      </c>
      <c r="R36" s="1557" t="s">
        <v>8</v>
      </c>
      <c r="S36" s="1558">
        <f t="shared" si="12"/>
        <v>100</v>
      </c>
      <c r="T36" s="1557" t="s">
        <v>8</v>
      </c>
      <c r="U36" s="1558">
        <f t="shared" si="13"/>
        <v>100</v>
      </c>
      <c r="V36" s="1557" t="s">
        <v>8</v>
      </c>
      <c r="W36" s="1558">
        <f t="shared" si="14"/>
        <v>100</v>
      </c>
      <c r="X36" s="1551"/>
      <c r="Y36" s="3391"/>
      <c r="Z36" s="1559" t="str">
        <f t="shared" si="15"/>
        <v>公共部分装修</v>
      </c>
      <c r="AA36" s="1560">
        <f t="shared" si="3"/>
        <v>1</v>
      </c>
      <c r="AB36" s="1560">
        <f t="shared" si="4"/>
        <v>1</v>
      </c>
      <c r="AC36" s="1560">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5"/>
      <c r="M37" s="2117"/>
      <c r="N37" s="2117"/>
      <c r="O37" s="2117"/>
      <c r="P37" s="3391"/>
      <c r="Q37" s="1556" t="str">
        <f t="shared" si="11"/>
        <v>成新度</v>
      </c>
      <c r="R37" s="1557" t="s">
        <v>8</v>
      </c>
      <c r="S37" s="1558" t="e">
        <f t="shared" si="12"/>
        <v>#N/A</v>
      </c>
      <c r="T37" s="1557" t="s">
        <v>8</v>
      </c>
      <c r="U37" s="1558" t="e">
        <f t="shared" si="13"/>
        <v>#N/A</v>
      </c>
      <c r="V37" s="1557" t="s">
        <v>8</v>
      </c>
      <c r="W37" s="1558" t="e">
        <f t="shared" si="14"/>
        <v>#N/A</v>
      </c>
      <c r="X37" s="1551"/>
      <c r="Y37" s="3391"/>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391"/>
      <c r="Q38" s="1146" t="str">
        <f t="shared" si="11"/>
        <v>写字楼等级</v>
      </c>
      <c r="R38" s="1552" t="s">
        <v>8</v>
      </c>
      <c r="S38" s="1553">
        <f t="shared" si="12"/>
        <v>100</v>
      </c>
      <c r="T38" s="1552" t="s">
        <v>8</v>
      </c>
      <c r="U38" s="1553">
        <f t="shared" si="13"/>
        <v>100</v>
      </c>
      <c r="V38" s="1552" t="s">
        <v>8</v>
      </c>
      <c r="W38" s="1553">
        <f t="shared" si="14"/>
        <v>100</v>
      </c>
      <c r="X38" s="1554"/>
      <c r="Y38" s="3391"/>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391" t="s">
        <v>550</v>
      </c>
      <c r="Q39" s="1556" t="str">
        <f t="shared" si="11"/>
        <v>物业管理</v>
      </c>
      <c r="R39" s="1557" t="s">
        <v>8</v>
      </c>
      <c r="S39" s="1558">
        <f t="shared" si="12"/>
        <v>100</v>
      </c>
      <c r="T39" s="1557" t="s">
        <v>8</v>
      </c>
      <c r="U39" s="1558">
        <f t="shared" si="13"/>
        <v>100</v>
      </c>
      <c r="V39" s="1557" t="s">
        <v>8</v>
      </c>
      <c r="W39" s="1558">
        <f t="shared" si="14"/>
        <v>100</v>
      </c>
      <c r="X39" s="1551"/>
      <c r="Y39" s="3391" t="s">
        <v>550</v>
      </c>
      <c r="Z39" s="1559" t="str">
        <f t="shared" si="15"/>
        <v>物业管理</v>
      </c>
      <c r="AA39" s="1560">
        <f t="shared" si="3"/>
        <v>1</v>
      </c>
      <c r="AB39" s="1560">
        <f t="shared" si="4"/>
        <v>1</v>
      </c>
      <c r="AC39" s="1560">
        <f t="shared" si="5"/>
        <v>1</v>
      </c>
    </row>
    <row r="40" spans="1:29" ht="15">
      <c r="A40" s="594"/>
      <c r="B40" s="1878"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391"/>
      <c r="Q40" s="1556" t="str">
        <f t="shared" si="11"/>
        <v>市政基础设施</v>
      </c>
      <c r="R40" s="1557" t="s">
        <v>8</v>
      </c>
      <c r="S40" s="1558">
        <f t="shared" si="12"/>
        <v>100</v>
      </c>
      <c r="T40" s="1557" t="s">
        <v>8</v>
      </c>
      <c r="U40" s="1558">
        <f t="shared" si="13"/>
        <v>100</v>
      </c>
      <c r="V40" s="1557" t="s">
        <v>8</v>
      </c>
      <c r="W40" s="1558">
        <f t="shared" si="14"/>
        <v>100</v>
      </c>
      <c r="X40" s="1551"/>
      <c r="Y40" s="3391"/>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391"/>
      <c r="Q41" s="1556" t="str">
        <f t="shared" si="11"/>
        <v>层高</v>
      </c>
      <c r="R41" s="1557" t="s">
        <v>8</v>
      </c>
      <c r="S41" s="1558">
        <f t="shared" si="12"/>
        <v>100</v>
      </c>
      <c r="T41" s="1557" t="s">
        <v>8</v>
      </c>
      <c r="U41" s="1558">
        <f t="shared" si="13"/>
        <v>100</v>
      </c>
      <c r="V41" s="1557" t="s">
        <v>8</v>
      </c>
      <c r="W41" s="1558">
        <f t="shared" si="14"/>
        <v>100</v>
      </c>
      <c r="X41" s="1551"/>
      <c r="Y41" s="3391"/>
      <c r="Z41" s="1559" t="str">
        <f t="shared" si="15"/>
        <v>层高</v>
      </c>
      <c r="AA41" s="1560">
        <f t="shared" si="3"/>
        <v>1</v>
      </c>
      <c r="AB41" s="1560">
        <f t="shared" si="4"/>
        <v>1</v>
      </c>
      <c r="AC41" s="1560">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391"/>
      <c r="Q42" s="1588" t="str">
        <f t="shared" si="11"/>
        <v>单套建筑面积</v>
      </c>
      <c r="R42" s="1561" t="s">
        <v>8</v>
      </c>
      <c r="S42" s="1562">
        <f t="shared" si="12"/>
        <v>100</v>
      </c>
      <c r="T42" s="1561" t="s">
        <v>8</v>
      </c>
      <c r="U42" s="1562">
        <f t="shared" si="13"/>
        <v>100</v>
      </c>
      <c r="V42" s="1561" t="s">
        <v>8</v>
      </c>
      <c r="W42" s="1562">
        <f t="shared" si="14"/>
        <v>100</v>
      </c>
      <c r="X42" s="1563"/>
      <c r="Y42" s="3391"/>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391"/>
      <c r="Q43" s="1556" t="str">
        <f t="shared" si="11"/>
        <v>内部装修</v>
      </c>
      <c r="R43" s="1557" t="s">
        <v>8</v>
      </c>
      <c r="S43" s="1558">
        <f t="shared" si="12"/>
        <v>100</v>
      </c>
      <c r="T43" s="1557" t="s">
        <v>8</v>
      </c>
      <c r="U43" s="1558">
        <f t="shared" si="13"/>
        <v>100</v>
      </c>
      <c r="V43" s="1557" t="s">
        <v>8</v>
      </c>
      <c r="W43" s="1558">
        <f t="shared" si="14"/>
        <v>100</v>
      </c>
      <c r="X43" s="1551"/>
      <c r="Y43" s="3391"/>
      <c r="Z43" s="1559" t="str">
        <f t="shared" si="15"/>
        <v>内部装修</v>
      </c>
      <c r="AA43" s="1560">
        <f t="shared" si="3"/>
        <v>1</v>
      </c>
      <c r="AB43" s="1560">
        <f t="shared" si="4"/>
        <v>1</v>
      </c>
      <c r="AC43" s="1560">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391"/>
      <c r="Q44" s="1556" t="str">
        <f t="shared" si="11"/>
        <v>内部装修维护情况</v>
      </c>
      <c r="R44" s="1557" t="s">
        <v>8</v>
      </c>
      <c r="S44" s="1558">
        <f t="shared" si="12"/>
        <v>100</v>
      </c>
      <c r="T44" s="1557" t="s">
        <v>8</v>
      </c>
      <c r="U44" s="1558">
        <f t="shared" si="13"/>
        <v>100</v>
      </c>
      <c r="V44" s="1557" t="s">
        <v>8</v>
      </c>
      <c r="W44" s="1558">
        <f t="shared" si="14"/>
        <v>100</v>
      </c>
      <c r="X44" s="1551"/>
      <c r="Y44" s="3391"/>
      <c r="Z44" s="1559" t="str">
        <f t="shared" si="15"/>
        <v>内部装修维护情况</v>
      </c>
      <c r="AA44" s="1560">
        <f t="shared" si="3"/>
        <v>1</v>
      </c>
      <c r="AB44" s="1560">
        <f t="shared" si="4"/>
        <v>1</v>
      </c>
      <c r="AC44" s="1560">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391"/>
      <c r="Q45" s="1146">
        <f t="shared" si="11"/>
        <v>111</v>
      </c>
      <c r="R45" s="1552" t="s">
        <v>8</v>
      </c>
      <c r="S45" s="1553">
        <f t="shared" si="12"/>
        <v>100</v>
      </c>
      <c r="T45" s="1552" t="s">
        <v>8</v>
      </c>
      <c r="U45" s="1553">
        <f t="shared" si="13"/>
        <v>100</v>
      </c>
      <c r="V45" s="1552" t="s">
        <v>8</v>
      </c>
      <c r="W45" s="1553">
        <f t="shared" si="14"/>
        <v>100</v>
      </c>
      <c r="X45" s="1554"/>
      <c r="Y45" s="3391"/>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391"/>
      <c r="Q46" s="1556">
        <f t="shared" si="11"/>
        <v>111</v>
      </c>
      <c r="R46" s="1557" t="s">
        <v>8</v>
      </c>
      <c r="S46" s="1558">
        <f t="shared" si="12"/>
        <v>100</v>
      </c>
      <c r="T46" s="1557" t="s">
        <v>8</v>
      </c>
      <c r="U46" s="1558">
        <f t="shared" si="13"/>
        <v>100</v>
      </c>
      <c r="V46" s="1557" t="s">
        <v>8</v>
      </c>
      <c r="W46" s="1558">
        <f t="shared" si="14"/>
        <v>100</v>
      </c>
      <c r="X46" s="1551"/>
      <c r="Y46" s="3391"/>
      <c r="Z46" s="1559">
        <f t="shared" si="15"/>
        <v>111</v>
      </c>
      <c r="AA46" s="1560">
        <f t="shared" si="3"/>
        <v>1</v>
      </c>
      <c r="AB46" s="1560">
        <f t="shared" si="4"/>
        <v>1</v>
      </c>
      <c r="AC46" s="1560">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3"/>
      <c r="Q47" s="1556">
        <f t="shared" si="11"/>
        <v>111</v>
      </c>
      <c r="R47" s="1557" t="s">
        <v>8</v>
      </c>
      <c r="S47" s="1558">
        <f t="shared" si="12"/>
        <v>100</v>
      </c>
      <c r="T47" s="1557" t="s">
        <v>8</v>
      </c>
      <c r="U47" s="1558">
        <f t="shared" si="13"/>
        <v>100</v>
      </c>
      <c r="V47" s="1557" t="s">
        <v>8</v>
      </c>
      <c r="W47" s="1558">
        <f t="shared" si="14"/>
        <v>100</v>
      </c>
      <c r="X47" s="1551"/>
      <c r="Y47" s="3493"/>
      <c r="Z47" s="1559">
        <f t="shared" si="15"/>
        <v>111</v>
      </c>
      <c r="AA47" s="1560">
        <f t="shared" si="3"/>
        <v>1</v>
      </c>
      <c r="AB47" s="1560">
        <f t="shared" si="4"/>
        <v>1</v>
      </c>
      <c r="AC47" s="1560">
        <f t="shared" si="5"/>
        <v>1</v>
      </c>
    </row>
    <row r="48" spans="1:29" ht="15">
      <c r="A48" s="607" t="s">
        <v>736</v>
      </c>
      <c r="B48" s="886"/>
      <c r="C48" s="2589" t="s">
        <v>1</v>
      </c>
      <c r="D48" s="2590"/>
      <c r="E48" s="2591"/>
      <c r="F48" s="2592"/>
      <c r="G48" s="2593"/>
      <c r="H48" s="2594"/>
      <c r="I48" s="2591"/>
      <c r="J48" s="2594"/>
      <c r="K48" s="1594"/>
      <c r="L48" s="2127"/>
      <c r="M48" s="2117"/>
      <c r="N48" s="2117"/>
      <c r="O48" s="2117"/>
      <c r="P48" s="3409" t="str">
        <f>A48</f>
        <v>成交单价（元/平方米）</v>
      </c>
      <c r="Q48" s="3386"/>
      <c r="R48" s="3492">
        <f>E48</f>
        <v>0</v>
      </c>
      <c r="S48" s="3492"/>
      <c r="T48" s="3492">
        <f>G48</f>
        <v>0</v>
      </c>
      <c r="U48" s="3492"/>
      <c r="V48" s="3492">
        <f>I48</f>
        <v>0</v>
      </c>
      <c r="W48" s="3492"/>
      <c r="X48" s="1543"/>
      <c r="Y48" s="1565"/>
      <c r="Z48" s="1543"/>
      <c r="AA48" s="1543"/>
      <c r="AB48" s="1543"/>
      <c r="AC48" s="1543"/>
    </row>
    <row r="49" spans="1:29" ht="15.75" thickBot="1">
      <c r="A49" s="615" t="s">
        <v>2757</v>
      </c>
      <c r="B49" s="887"/>
      <c r="C49" s="2595" t="e">
        <f>R50</f>
        <v>#DIV/0!</v>
      </c>
      <c r="D49" s="2596"/>
      <c r="E49" s="2597" t="e">
        <f>R49</f>
        <v>#DIV/0!</v>
      </c>
      <c r="F49" s="2597"/>
      <c r="G49" s="2595" t="e">
        <f>T49</f>
        <v>#DIV/0!</v>
      </c>
      <c r="H49" s="2596"/>
      <c r="I49" s="2597" t="e">
        <f>V49</f>
        <v>#DIV/0!</v>
      </c>
      <c r="J49" s="2596"/>
      <c r="K49" s="1595"/>
      <c r="L49" s="2127"/>
      <c r="M49" s="2117"/>
      <c r="N49" s="2117"/>
      <c r="O49" s="2117"/>
      <c r="P49" s="3409" t="str">
        <f>A49</f>
        <v>比较价格（元/平方米）</v>
      </c>
      <c r="Q49" s="3386"/>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3"/>
      <c r="Y49" s="1543"/>
      <c r="Z49" s="1543"/>
      <c r="AA49" s="1543"/>
      <c r="AB49" s="1543"/>
      <c r="AC49" s="1543"/>
    </row>
    <row r="50" spans="1:29" ht="15.75" thickBot="1">
      <c r="A50" s="621" t="s">
        <v>2924</v>
      </c>
      <c r="B50" s="622"/>
      <c r="C50" s="2598" t="e">
        <f>R50</f>
        <v>#DIV/0!</v>
      </c>
      <c r="D50" s="2598"/>
      <c r="E50" s="2598"/>
      <c r="F50" s="2598"/>
      <c r="G50" s="2598"/>
      <c r="H50" s="2598"/>
      <c r="I50" s="2598"/>
      <c r="J50" s="2598"/>
      <c r="K50" s="1596"/>
      <c r="L50" s="2127"/>
      <c r="M50" s="2117"/>
      <c r="N50" s="2117"/>
      <c r="O50" s="2117"/>
      <c r="P50" s="3497" t="str">
        <f>A50</f>
        <v>估价对象XX用房的比较价格（楼面单价，元/平方米）</v>
      </c>
      <c r="Q50" s="3409"/>
      <c r="R50" s="3491" t="e">
        <f>IF(F1="售价",ROUND(AVERAGE(R49:V49),0),ROUND(AVERAGE(R49:V49),1))</f>
        <v>#DIV/0!</v>
      </c>
      <c r="S50" s="3491"/>
      <c r="T50" s="3491"/>
      <c r="U50" s="3491"/>
      <c r="V50" s="3491"/>
      <c r="W50" s="3491"/>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5" t="s">
        <v>529</v>
      </c>
      <c r="B59" s="646"/>
      <c r="C59" s="2755" t="str">
        <f>YEAR(C7)&amp;"-"&amp;MONTH(C7)</f>
        <v>2020-5</v>
      </c>
      <c r="D59" s="2757">
        <f>EDATE(C59,-1)</f>
        <v>43922</v>
      </c>
      <c r="E59" s="2757">
        <f t="shared" ref="E59:O59" si="16">EDATE(D59,-1)</f>
        <v>43891</v>
      </c>
      <c r="F59" s="2757">
        <f t="shared" si="16"/>
        <v>43862</v>
      </c>
      <c r="G59" s="2757">
        <f t="shared" si="16"/>
        <v>43831</v>
      </c>
      <c r="H59" s="2757">
        <f t="shared" si="16"/>
        <v>43800</v>
      </c>
      <c r="I59" s="2757">
        <f t="shared" si="16"/>
        <v>43770</v>
      </c>
      <c r="J59" s="2757">
        <f t="shared" si="16"/>
        <v>43739</v>
      </c>
      <c r="K59" s="2757">
        <f t="shared" si="16"/>
        <v>43709</v>
      </c>
      <c r="L59" s="2757">
        <f t="shared" si="16"/>
        <v>43678</v>
      </c>
      <c r="M59" s="2757">
        <f t="shared" si="16"/>
        <v>43647</v>
      </c>
      <c r="N59" s="2757">
        <f t="shared" si="16"/>
        <v>43617</v>
      </c>
      <c r="O59" s="2757">
        <f t="shared" si="16"/>
        <v>43586</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8">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2555</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2556</v>
      </c>
      <c r="C83" s="2560" t="s">
        <v>2557</v>
      </c>
      <c r="D83" s="2560" t="s">
        <v>2558</v>
      </c>
      <c r="E83" s="2560" t="s">
        <v>2559</v>
      </c>
      <c r="F83" s="2560" t="s">
        <v>2560</v>
      </c>
      <c r="G83" s="2560" t="s">
        <v>2561</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785</v>
      </c>
      <c r="C87" s="688"/>
      <c r="D87" s="688"/>
      <c r="E87" s="688"/>
      <c r="F87" s="688"/>
      <c r="G87" s="688"/>
      <c r="H87" s="688"/>
      <c r="I87" s="688"/>
      <c r="J87" s="688"/>
      <c r="K87" s="688"/>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1"/>
      <c r="G89" s="688"/>
      <c r="H89" s="688"/>
      <c r="I89" s="688"/>
      <c r="J89" s="688"/>
      <c r="K89" s="688"/>
      <c r="L89" s="688"/>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2"/>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2554</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6" t="s">
        <v>787</v>
      </c>
      <c r="C119" s="718"/>
      <c r="D119" s="718"/>
      <c r="E119" s="718"/>
      <c r="F119" s="718"/>
      <c r="G119" s="718"/>
      <c r="H119" s="718"/>
      <c r="I119" s="718"/>
      <c r="J119" s="718"/>
      <c r="K119" s="718"/>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521</v>
      </c>
      <c r="B4" s="513"/>
      <c r="C4" s="3392" t="s">
        <v>522</v>
      </c>
      <c r="D4" s="3393"/>
      <c r="E4" s="3417" t="s">
        <v>523</v>
      </c>
      <c r="F4" s="3418"/>
      <c r="G4" s="3392" t="s">
        <v>524</v>
      </c>
      <c r="H4" s="3393"/>
      <c r="I4" s="3392" t="s">
        <v>525</v>
      </c>
      <c r="J4" s="3393"/>
      <c r="K4" s="514" t="s">
        <v>526</v>
      </c>
      <c r="L4" s="2116"/>
      <c r="M4" s="2117"/>
      <c r="N4" s="2117"/>
      <c r="O4" s="2117"/>
      <c r="P4" s="3394" t="s">
        <v>527</v>
      </c>
      <c r="Q4" s="3395"/>
      <c r="R4" s="3380" t="s">
        <v>523</v>
      </c>
      <c r="S4" s="3381"/>
      <c r="T4" s="3380" t="s">
        <v>524</v>
      </c>
      <c r="U4" s="3381"/>
      <c r="V4" s="3400" t="s">
        <v>525</v>
      </c>
      <c r="W4" s="3400"/>
      <c r="X4" s="1551"/>
      <c r="Y4" s="3380" t="s">
        <v>527</v>
      </c>
      <c r="Z4" s="3381"/>
      <c r="AA4" s="3375" t="s">
        <v>523</v>
      </c>
      <c r="AB4" s="3376" t="s">
        <v>524</v>
      </c>
      <c r="AC4" s="3375" t="s">
        <v>525</v>
      </c>
    </row>
    <row r="5" spans="1:29" ht="15">
      <c r="A5" s="515"/>
      <c r="B5" s="516"/>
      <c r="C5" s="3405" t="s">
        <v>2918</v>
      </c>
      <c r="D5" s="3404"/>
      <c r="E5" s="3419" t="s">
        <v>2919</v>
      </c>
      <c r="F5" s="3420"/>
      <c r="G5" s="3405" t="s">
        <v>2920</v>
      </c>
      <c r="H5" s="3404"/>
      <c r="I5" s="3405" t="s">
        <v>2921</v>
      </c>
      <c r="J5" s="3404"/>
      <c r="K5" s="514"/>
      <c r="L5" s="2116"/>
      <c r="M5" s="2117"/>
      <c r="N5" s="2117"/>
      <c r="O5" s="2117"/>
      <c r="P5" s="3396"/>
      <c r="Q5" s="3397"/>
      <c r="R5" s="3382"/>
      <c r="S5" s="3383"/>
      <c r="T5" s="3382"/>
      <c r="U5" s="3383"/>
      <c r="V5" s="3400"/>
      <c r="W5" s="3400"/>
      <c r="X5" s="1551"/>
      <c r="Y5" s="3382"/>
      <c r="Z5" s="3383"/>
      <c r="AA5" s="3376"/>
      <c r="AB5" s="3376"/>
      <c r="AC5" s="3376"/>
    </row>
    <row r="6" spans="1:29" ht="15.75" thickBot="1">
      <c r="A6" s="517"/>
      <c r="B6" s="518"/>
      <c r="C6" s="3401" t="s">
        <v>2922</v>
      </c>
      <c r="D6" s="3402"/>
      <c r="E6" s="3421" t="s">
        <v>2922</v>
      </c>
      <c r="F6" s="3422"/>
      <c r="G6" s="3401" t="s">
        <v>2922</v>
      </c>
      <c r="H6" s="3402"/>
      <c r="I6" s="3401" t="s">
        <v>2922</v>
      </c>
      <c r="J6" s="3402"/>
      <c r="K6" s="514" t="s">
        <v>528</v>
      </c>
      <c r="L6" s="2116"/>
      <c r="M6" s="2117"/>
      <c r="N6" s="2117"/>
      <c r="O6" s="2117"/>
      <c r="P6" s="3398"/>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78" t="s">
        <v>530</v>
      </c>
      <c r="Q7" s="3387"/>
      <c r="R7" s="1552" t="s">
        <v>8</v>
      </c>
      <c r="S7" s="1553">
        <f t="shared" ref="S7:S15" si="0">F7</f>
        <v>0</v>
      </c>
      <c r="T7" s="1552" t="s">
        <v>8</v>
      </c>
      <c r="U7" s="1553">
        <f t="shared" ref="U7:U15" si="1">H7</f>
        <v>0</v>
      </c>
      <c r="V7" s="1552" t="s">
        <v>8</v>
      </c>
      <c r="W7" s="1553">
        <f t="shared" ref="W7:W15"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78" t="s">
        <v>533</v>
      </c>
      <c r="Q8" s="3379"/>
      <c r="R8" s="1552" t="s">
        <v>8</v>
      </c>
      <c r="S8" s="1553">
        <f t="shared" si="0"/>
        <v>0</v>
      </c>
      <c r="T8" s="1552" t="s">
        <v>8</v>
      </c>
      <c r="U8" s="1553">
        <f t="shared" si="1"/>
        <v>0</v>
      </c>
      <c r="V8" s="1552" t="s">
        <v>8</v>
      </c>
      <c r="W8" s="1553">
        <f t="shared" si="2"/>
        <v>0</v>
      </c>
      <c r="X8" s="1554"/>
      <c r="Y8" s="3378" t="s">
        <v>533</v>
      </c>
      <c r="Z8" s="3379"/>
      <c r="AA8" s="1555" t="e">
        <f t="shared" ref="AA8:AA40" si="3">D8/F8</f>
        <v>#DIV/0!</v>
      </c>
      <c r="AB8" s="1555" t="e">
        <f t="shared" ref="AB8:AB40" si="4">D8/H8</f>
        <v>#DIV/0!</v>
      </c>
      <c r="AC8" s="1555" t="e">
        <f t="shared" ref="AC8:AC40" si="5">D8/J8</f>
        <v>#DIV/0!</v>
      </c>
    </row>
    <row r="9" spans="1:29" s="1215" customFormat="1" ht="15">
      <c r="A9" s="2866"/>
      <c r="B9" s="2873"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86" t="s">
        <v>535</v>
      </c>
      <c r="Q9" s="1146" t="str">
        <f t="shared" ref="Q9:Q15" si="6">B9</f>
        <v>用途</v>
      </c>
      <c r="R9" s="1552" t="s">
        <v>8</v>
      </c>
      <c r="S9" s="1553">
        <f t="shared" si="0"/>
        <v>100</v>
      </c>
      <c r="T9" s="1552" t="s">
        <v>8</v>
      </c>
      <c r="U9" s="1553">
        <f t="shared" si="1"/>
        <v>100</v>
      </c>
      <c r="V9" s="1552" t="s">
        <v>8</v>
      </c>
      <c r="W9" s="1553">
        <f t="shared" si="2"/>
        <v>100</v>
      </c>
      <c r="X9" s="1554"/>
      <c r="Y9" s="3343" t="s">
        <v>536</v>
      </c>
      <c r="Z9" s="1145" t="str">
        <f t="shared" ref="Z9:Z15" si="7">Q9</f>
        <v>用途</v>
      </c>
      <c r="AA9" s="1555">
        <f t="shared" si="3"/>
        <v>1</v>
      </c>
      <c r="AB9" s="1555">
        <f t="shared" si="4"/>
        <v>1</v>
      </c>
      <c r="AC9" s="1555">
        <f t="shared" si="5"/>
        <v>1</v>
      </c>
    </row>
    <row r="10" spans="1:29" s="1333" customFormat="1" ht="27">
      <c r="A10" s="2867"/>
      <c r="B10" s="2872"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86"/>
      <c r="Q11" s="1146" t="str">
        <f t="shared" si="6"/>
        <v>容积率</v>
      </c>
      <c r="R11" s="1552" t="s">
        <v>8</v>
      </c>
      <c r="S11" s="1553" t="e">
        <f t="shared" si="0"/>
        <v>#N/A</v>
      </c>
      <c r="T11" s="1552" t="s">
        <v>8</v>
      </c>
      <c r="U11" s="1553" t="e">
        <f t="shared" si="1"/>
        <v>#N/A</v>
      </c>
      <c r="V11" s="1552" t="s">
        <v>8</v>
      </c>
      <c r="W11" s="1553" t="e">
        <f t="shared" si="2"/>
        <v>#N/A</v>
      </c>
      <c r="X11" s="1554"/>
      <c r="Y11" s="3343"/>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8"/>
      <c r="M12" s="2119"/>
      <c r="N12" s="2119"/>
      <c r="O12" s="2120"/>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5"/>
      <c r="M13" s="2117"/>
      <c r="N13" s="2117"/>
      <c r="O13" s="2124"/>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5"/>
      <c r="M14" s="2117"/>
      <c r="N14" s="2117"/>
      <c r="O14" s="2124"/>
      <c r="P14" s="3386"/>
      <c r="Q14" s="1146">
        <f t="shared" si="6"/>
        <v>111</v>
      </c>
      <c r="R14" s="1552" t="s">
        <v>8</v>
      </c>
      <c r="S14" s="1553">
        <f t="shared" si="0"/>
        <v>100</v>
      </c>
      <c r="T14" s="1552" t="s">
        <v>8</v>
      </c>
      <c r="U14" s="1553">
        <f t="shared" si="1"/>
        <v>100</v>
      </c>
      <c r="V14" s="1552" t="s">
        <v>8</v>
      </c>
      <c r="W14" s="1553">
        <f t="shared" si="2"/>
        <v>100</v>
      </c>
      <c r="X14" s="1554"/>
      <c r="Y14" s="3343"/>
      <c r="Z14" s="1145">
        <f t="shared" si="7"/>
        <v>111</v>
      </c>
      <c r="AA14" s="1555">
        <f t="shared" si="3"/>
        <v>1</v>
      </c>
      <c r="AB14" s="1555">
        <f t="shared" si="4"/>
        <v>1</v>
      </c>
      <c r="AC14" s="1555">
        <f t="shared" si="5"/>
        <v>1</v>
      </c>
    </row>
    <row r="15" spans="1:29" ht="15">
      <c r="A15" s="2862" t="s">
        <v>2751</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5"/>
      <c r="M15" s="2117"/>
      <c r="N15" s="2117"/>
      <c r="O15" s="2124"/>
      <c r="P15" s="3388" t="s">
        <v>540</v>
      </c>
      <c r="Q15" s="1556" t="str">
        <f t="shared" si="6"/>
        <v>产业集聚程度</v>
      </c>
      <c r="R15" s="1557" t="s">
        <v>8</v>
      </c>
      <c r="S15" s="1558">
        <f t="shared" si="0"/>
        <v>100</v>
      </c>
      <c r="T15" s="1557" t="s">
        <v>8</v>
      </c>
      <c r="U15" s="1558">
        <f t="shared" si="1"/>
        <v>100</v>
      </c>
      <c r="V15" s="1557" t="s">
        <v>8</v>
      </c>
      <c r="W15" s="1558">
        <f t="shared" si="2"/>
        <v>100</v>
      </c>
      <c r="X15" s="1551"/>
      <c r="Y15" s="3388"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389"/>
      <c r="Q16" s="1556"/>
      <c r="R16" s="1557"/>
      <c r="S16" s="1558"/>
      <c r="T16" s="1557"/>
      <c r="U16" s="1558"/>
      <c r="V16" s="1557"/>
      <c r="W16" s="1558"/>
      <c r="X16" s="1551"/>
      <c r="Y16" s="3389"/>
      <c r="Z16" s="1559"/>
      <c r="AA16" s="1560">
        <v>1</v>
      </c>
      <c r="AB16" s="1560">
        <v>1</v>
      </c>
      <c r="AC16" s="1560">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5"/>
      <c r="M17" s="2117"/>
      <c r="N17" s="2117"/>
      <c r="O17" s="2124"/>
      <c r="P17" s="3389"/>
      <c r="Q17" s="1556" t="str">
        <f>B17</f>
        <v>交通便捷度</v>
      </c>
      <c r="R17" s="1557" t="s">
        <v>8</v>
      </c>
      <c r="S17" s="1558">
        <f>F17</f>
        <v>100</v>
      </c>
      <c r="T17" s="1557" t="s">
        <v>8</v>
      </c>
      <c r="U17" s="1558">
        <f>H17</f>
        <v>100</v>
      </c>
      <c r="V17" s="1557" t="s">
        <v>8</v>
      </c>
      <c r="W17" s="1558">
        <f>J17</f>
        <v>100</v>
      </c>
      <c r="X17" s="1551"/>
      <c r="Y17" s="3389"/>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389"/>
      <c r="Q18" s="1556"/>
      <c r="R18" s="1557"/>
      <c r="S18" s="1558"/>
      <c r="T18" s="1557"/>
      <c r="U18" s="1558"/>
      <c r="V18" s="1557"/>
      <c r="W18" s="1558"/>
      <c r="X18" s="1551"/>
      <c r="Y18" s="3389"/>
      <c r="Z18" s="1559"/>
      <c r="AA18" s="1560">
        <v>1</v>
      </c>
      <c r="AB18" s="1560">
        <v>1</v>
      </c>
      <c r="AC18" s="1560">
        <v>1</v>
      </c>
    </row>
    <row r="19" spans="1:29" ht="15">
      <c r="A19" s="532"/>
      <c r="B19" s="2565"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5"/>
      <c r="M19" s="2117"/>
      <c r="N19" s="2117"/>
      <c r="O19" s="2124"/>
      <c r="P19" s="3389"/>
      <c r="Q19" s="1556" t="str">
        <f>B19</f>
        <v>公共配套设施</v>
      </c>
      <c r="R19" s="1557" t="s">
        <v>8</v>
      </c>
      <c r="S19" s="1558">
        <f>F19</f>
        <v>100</v>
      </c>
      <c r="T19" s="1557" t="s">
        <v>8</v>
      </c>
      <c r="U19" s="1558">
        <f>H19</f>
        <v>100</v>
      </c>
      <c r="V19" s="1557" t="s">
        <v>8</v>
      </c>
      <c r="W19" s="1558">
        <f>J19</f>
        <v>100</v>
      </c>
      <c r="X19" s="1551"/>
      <c r="Y19" s="3389"/>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8"/>
      <c r="L20" s="2125"/>
      <c r="M20" s="2117"/>
      <c r="N20" s="2117"/>
      <c r="O20" s="2124"/>
      <c r="P20" s="3389"/>
      <c r="Q20" s="1556"/>
      <c r="R20" s="1557"/>
      <c r="S20" s="1558"/>
      <c r="T20" s="1557"/>
      <c r="U20" s="1558"/>
      <c r="V20" s="1557"/>
      <c r="W20" s="1558"/>
      <c r="X20" s="1551"/>
      <c r="Y20" s="3389"/>
      <c r="Z20" s="1559"/>
      <c r="AA20" s="1560">
        <v>1</v>
      </c>
      <c r="AB20" s="1560">
        <v>1</v>
      </c>
      <c r="AC20" s="1560">
        <v>1</v>
      </c>
    </row>
    <row r="21" spans="1:29" ht="15">
      <c r="A21" s="532"/>
      <c r="B21" s="2553"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5"/>
      <c r="M21" s="2117"/>
      <c r="N21" s="2117"/>
      <c r="O21" s="2124"/>
      <c r="P21" s="3389"/>
      <c r="Q21" s="2541" t="str">
        <f>B21</f>
        <v>基础设施水平</v>
      </c>
      <c r="R21" s="1557" t="s">
        <v>8</v>
      </c>
      <c r="S21" s="1558">
        <f>F21</f>
        <v>100</v>
      </c>
      <c r="T21" s="1557" t="s">
        <v>8</v>
      </c>
      <c r="U21" s="1558">
        <f>H21</f>
        <v>100</v>
      </c>
      <c r="V21" s="1557" t="s">
        <v>8</v>
      </c>
      <c r="W21" s="1558">
        <f>J21</f>
        <v>100</v>
      </c>
      <c r="X21" s="2543"/>
      <c r="Y21" s="3389"/>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389"/>
      <c r="Q22" s="2541"/>
      <c r="R22" s="1557"/>
      <c r="S22" s="1558"/>
      <c r="T22" s="1557"/>
      <c r="U22" s="1558"/>
      <c r="V22" s="1557"/>
      <c r="W22" s="1558"/>
      <c r="X22" s="2543"/>
      <c r="Y22" s="3389"/>
      <c r="Z22" s="2542"/>
      <c r="AA22" s="1560">
        <v>1</v>
      </c>
      <c r="AB22" s="1560">
        <v>1</v>
      </c>
      <c r="AC22" s="1560">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5"/>
      <c r="M23" s="2117"/>
      <c r="N23" s="2117"/>
      <c r="O23" s="2124"/>
      <c r="P23" s="3389"/>
      <c r="Q23" s="1556" t="str">
        <f>B23</f>
        <v>环境质量</v>
      </c>
      <c r="R23" s="1557" t="s">
        <v>8</v>
      </c>
      <c r="S23" s="1558">
        <f>F23</f>
        <v>100</v>
      </c>
      <c r="T23" s="1557" t="s">
        <v>8</v>
      </c>
      <c r="U23" s="1558">
        <f>H23</f>
        <v>100</v>
      </c>
      <c r="V23" s="1557" t="s">
        <v>8</v>
      </c>
      <c r="W23" s="1558">
        <f>J23</f>
        <v>100</v>
      </c>
      <c r="X23" s="1551"/>
      <c r="Y23" s="3389"/>
      <c r="Z23" s="1559" t="str">
        <f>Q23</f>
        <v>环境质量</v>
      </c>
      <c r="AA23" s="1560">
        <f t="shared" si="3"/>
        <v>1</v>
      </c>
      <c r="AB23" s="1560">
        <f t="shared" si="4"/>
        <v>1</v>
      </c>
      <c r="AC23" s="1560">
        <f t="shared" si="5"/>
        <v>1</v>
      </c>
    </row>
    <row r="24" spans="1:29" ht="15">
      <c r="A24" s="532"/>
      <c r="B24" s="921"/>
      <c r="C24" s="576"/>
      <c r="D24" s="555"/>
      <c r="E24" s="556"/>
      <c r="F24" s="557"/>
      <c r="G24" s="558"/>
      <c r="H24" s="555"/>
      <c r="I24" s="556"/>
      <c r="J24" s="555"/>
      <c r="K24" s="898"/>
      <c r="L24" s="2125"/>
      <c r="M24" s="2117"/>
      <c r="N24" s="2117"/>
      <c r="O24" s="2124"/>
      <c r="P24" s="3389"/>
      <c r="Q24" s="1556"/>
      <c r="R24" s="1557"/>
      <c r="S24" s="1558"/>
      <c r="T24" s="1557"/>
      <c r="U24" s="1558"/>
      <c r="V24" s="1557"/>
      <c r="W24" s="1558"/>
      <c r="X24" s="1551"/>
      <c r="Y24" s="3389"/>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389"/>
      <c r="Q25" s="1556">
        <f>B25</f>
        <v>111</v>
      </c>
      <c r="R25" s="1557" t="s">
        <v>8</v>
      </c>
      <c r="S25" s="1558">
        <f>F25</f>
        <v>100</v>
      </c>
      <c r="T25" s="1557" t="s">
        <v>8</v>
      </c>
      <c r="U25" s="1558">
        <f>H25</f>
        <v>100</v>
      </c>
      <c r="V25" s="1557" t="s">
        <v>8</v>
      </c>
      <c r="W25" s="1558">
        <f>J25</f>
        <v>100</v>
      </c>
      <c r="X25" s="1551"/>
      <c r="Y25" s="3389"/>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389"/>
      <c r="Q26" s="1556">
        <f t="shared" ref="Q26:Q40" si="11">B26</f>
        <v>111</v>
      </c>
      <c r="R26" s="1557" t="s">
        <v>8</v>
      </c>
      <c r="S26" s="1558">
        <f>F26</f>
        <v>100</v>
      </c>
      <c r="T26" s="1557" t="s">
        <v>8</v>
      </c>
      <c r="U26" s="1558">
        <f>H26</f>
        <v>100</v>
      </c>
      <c r="V26" s="1557" t="s">
        <v>8</v>
      </c>
      <c r="W26" s="1558">
        <f>J26</f>
        <v>100</v>
      </c>
      <c r="X26" s="1551"/>
      <c r="Y26" s="3389"/>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389"/>
      <c r="Q27" s="1146">
        <f t="shared" si="11"/>
        <v>111</v>
      </c>
      <c r="R27" s="1552" t="s">
        <v>8</v>
      </c>
      <c r="S27" s="1553">
        <f>F27</f>
        <v>100</v>
      </c>
      <c r="T27" s="1552" t="s">
        <v>8</v>
      </c>
      <c r="U27" s="1553">
        <f>H27</f>
        <v>100</v>
      </c>
      <c r="V27" s="1552" t="s">
        <v>8</v>
      </c>
      <c r="W27" s="1553">
        <f>J27</f>
        <v>100</v>
      </c>
      <c r="X27" s="1554"/>
      <c r="Y27" s="3389"/>
      <c r="Z27" s="1145">
        <f>Q27</f>
        <v>111</v>
      </c>
      <c r="AA27" s="1560">
        <f>D27/F27</f>
        <v>1</v>
      </c>
      <c r="AB27" s="1560">
        <f>D27/H27</f>
        <v>1</v>
      </c>
      <c r="AC27" s="1560">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5"/>
      <c r="M28" s="2117"/>
      <c r="N28" s="2117"/>
      <c r="O28" s="2124"/>
      <c r="P28" s="3389"/>
      <c r="Q28" s="1556">
        <f t="shared" si="11"/>
        <v>111</v>
      </c>
      <c r="R28" s="1557" t="s">
        <v>8</v>
      </c>
      <c r="S28" s="1558">
        <f t="shared" ref="S28:S40" si="12">F28</f>
        <v>100</v>
      </c>
      <c r="T28" s="1557" t="s">
        <v>8</v>
      </c>
      <c r="U28" s="1558">
        <f t="shared" ref="U28:U40" si="13">H28</f>
        <v>100</v>
      </c>
      <c r="V28" s="1557" t="s">
        <v>8</v>
      </c>
      <c r="W28" s="1558">
        <f t="shared" ref="W28:W40" si="14">J28</f>
        <v>100</v>
      </c>
      <c r="X28" s="1551"/>
      <c r="Y28" s="3389"/>
      <c r="Z28" s="1559">
        <f t="shared" ref="Z28:Z40" si="15">Q28</f>
        <v>111</v>
      </c>
      <c r="AA28" s="1560">
        <f t="shared" si="3"/>
        <v>1</v>
      </c>
      <c r="AB28" s="1560">
        <f t="shared" si="4"/>
        <v>1</v>
      </c>
      <c r="AC28" s="1560">
        <f t="shared" si="5"/>
        <v>1</v>
      </c>
    </row>
    <row r="29" spans="1:29" ht="15">
      <c r="A29" s="2860"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5"/>
      <c r="M29" s="2117"/>
      <c r="N29" s="2117"/>
      <c r="O29" s="2124"/>
      <c r="P29" s="3390" t="s">
        <v>550</v>
      </c>
      <c r="Q29" s="1556" t="str">
        <f t="shared" si="11"/>
        <v>建筑类型</v>
      </c>
      <c r="R29" s="1557" t="s">
        <v>8</v>
      </c>
      <c r="S29" s="1558">
        <f t="shared" si="12"/>
        <v>100</v>
      </c>
      <c r="T29" s="1557" t="s">
        <v>8</v>
      </c>
      <c r="U29" s="1558">
        <f t="shared" si="13"/>
        <v>100</v>
      </c>
      <c r="V29" s="1557" t="s">
        <v>8</v>
      </c>
      <c r="W29" s="1558">
        <f t="shared" si="14"/>
        <v>100</v>
      </c>
      <c r="X29" s="1551"/>
      <c r="Y29" s="3391" t="s">
        <v>550</v>
      </c>
      <c r="Z29" s="1559" t="str">
        <f t="shared" si="15"/>
        <v>建筑类型</v>
      </c>
      <c r="AA29" s="1560">
        <f t="shared" si="3"/>
        <v>1</v>
      </c>
      <c r="AB29" s="1560">
        <f t="shared" si="4"/>
        <v>1</v>
      </c>
      <c r="AC29" s="1560">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391"/>
      <c r="Q30" s="1588" t="str">
        <f t="shared" si="11"/>
        <v>项目建筑规模</v>
      </c>
      <c r="R30" s="1561" t="s">
        <v>8</v>
      </c>
      <c r="S30" s="1562" t="e">
        <f t="shared" si="12"/>
        <v>#N/A</v>
      </c>
      <c r="T30" s="1561" t="s">
        <v>8</v>
      </c>
      <c r="U30" s="1562" t="e">
        <f t="shared" si="13"/>
        <v>#N/A</v>
      </c>
      <c r="V30" s="1561" t="s">
        <v>8</v>
      </c>
      <c r="W30" s="1562" t="e">
        <f t="shared" si="14"/>
        <v>#N/A</v>
      </c>
      <c r="X30" s="1563"/>
      <c r="Y30" s="3391"/>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391"/>
      <c r="Q31" s="1556" t="str">
        <f t="shared" si="11"/>
        <v>建筑结构</v>
      </c>
      <c r="R31" s="1557" t="s">
        <v>8</v>
      </c>
      <c r="S31" s="1558">
        <f t="shared" si="12"/>
        <v>100</v>
      </c>
      <c r="T31" s="1557" t="s">
        <v>8</v>
      </c>
      <c r="U31" s="1558">
        <f t="shared" si="13"/>
        <v>100</v>
      </c>
      <c r="V31" s="1557" t="s">
        <v>8</v>
      </c>
      <c r="W31" s="1558">
        <f t="shared" si="14"/>
        <v>100</v>
      </c>
      <c r="X31" s="1551"/>
      <c r="Y31" s="3391"/>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391"/>
      <c r="Q32" s="1556" t="str">
        <f t="shared" si="11"/>
        <v>公共部分装修</v>
      </c>
      <c r="R32" s="1557" t="s">
        <v>8</v>
      </c>
      <c r="S32" s="1558">
        <f t="shared" si="12"/>
        <v>100</v>
      </c>
      <c r="T32" s="1557" t="s">
        <v>8</v>
      </c>
      <c r="U32" s="1558">
        <f t="shared" si="13"/>
        <v>100</v>
      </c>
      <c r="V32" s="1557" t="s">
        <v>8</v>
      </c>
      <c r="W32" s="1558">
        <f t="shared" si="14"/>
        <v>100</v>
      </c>
      <c r="X32" s="1551"/>
      <c r="Y32" s="3391"/>
      <c r="Z32" s="1559" t="str">
        <f t="shared" si="15"/>
        <v>公共部分装修</v>
      </c>
      <c r="AA32" s="1560">
        <f t="shared" si="3"/>
        <v>1</v>
      </c>
      <c r="AB32" s="1560">
        <f t="shared" si="4"/>
        <v>1</v>
      </c>
      <c r="AC32" s="1560">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5"/>
      <c r="M33" s="2117"/>
      <c r="N33" s="2117"/>
      <c r="O33" s="2124"/>
      <c r="P33" s="3391"/>
      <c r="Q33" s="1556" t="str">
        <f t="shared" si="11"/>
        <v>成新度</v>
      </c>
      <c r="R33" s="1557" t="s">
        <v>8</v>
      </c>
      <c r="S33" s="1558" t="e">
        <f t="shared" si="12"/>
        <v>#N/A</v>
      </c>
      <c r="T33" s="1557" t="s">
        <v>8</v>
      </c>
      <c r="U33" s="1558" t="e">
        <f t="shared" si="13"/>
        <v>#N/A</v>
      </c>
      <c r="V33" s="1557" t="s">
        <v>8</v>
      </c>
      <c r="W33" s="1558" t="e">
        <f t="shared" si="14"/>
        <v>#N/A</v>
      </c>
      <c r="X33" s="1551"/>
      <c r="Y33" s="3391"/>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391"/>
      <c r="Q34" s="1146" t="str">
        <f t="shared" si="11"/>
        <v>物业管理</v>
      </c>
      <c r="R34" s="1552" t="s">
        <v>8</v>
      </c>
      <c r="S34" s="1553">
        <f t="shared" si="12"/>
        <v>100</v>
      </c>
      <c r="T34" s="1552" t="s">
        <v>8</v>
      </c>
      <c r="U34" s="1553">
        <f t="shared" si="13"/>
        <v>100</v>
      </c>
      <c r="V34" s="1552" t="s">
        <v>8</v>
      </c>
      <c r="W34" s="1553">
        <f t="shared" si="14"/>
        <v>100</v>
      </c>
      <c r="X34" s="1554"/>
      <c r="Y34" s="3391"/>
      <c r="Z34" s="1145" t="str">
        <f t="shared" si="15"/>
        <v>物业管理</v>
      </c>
      <c r="AA34" s="1555">
        <f t="shared" si="3"/>
        <v>1</v>
      </c>
      <c r="AB34" s="1555">
        <f t="shared" si="4"/>
        <v>1</v>
      </c>
      <c r="AC34" s="1555">
        <f t="shared" si="5"/>
        <v>1</v>
      </c>
    </row>
    <row r="35" spans="1:29" ht="15">
      <c r="A35" s="594"/>
      <c r="B35" s="1878"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391" t="s">
        <v>550</v>
      </c>
      <c r="Q35" s="1556" t="str">
        <f t="shared" si="11"/>
        <v>市政基础设施</v>
      </c>
      <c r="R35" s="1557" t="s">
        <v>8</v>
      </c>
      <c r="S35" s="1558">
        <f t="shared" si="12"/>
        <v>100</v>
      </c>
      <c r="T35" s="1557" t="s">
        <v>8</v>
      </c>
      <c r="U35" s="1558">
        <f t="shared" si="13"/>
        <v>100</v>
      </c>
      <c r="V35" s="1557" t="s">
        <v>8</v>
      </c>
      <c r="W35" s="1558">
        <f t="shared" si="14"/>
        <v>100</v>
      </c>
      <c r="X35" s="1551"/>
      <c r="Y35" s="3391"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391"/>
      <c r="Q36" s="1556" t="str">
        <f t="shared" si="11"/>
        <v>内部装修</v>
      </c>
      <c r="R36" s="1557" t="s">
        <v>8</v>
      </c>
      <c r="S36" s="1558">
        <f t="shared" si="12"/>
        <v>100</v>
      </c>
      <c r="T36" s="1557" t="s">
        <v>8</v>
      </c>
      <c r="U36" s="1558">
        <f t="shared" si="13"/>
        <v>100</v>
      </c>
      <c r="V36" s="1557" t="s">
        <v>8</v>
      </c>
      <c r="W36" s="1558">
        <f t="shared" si="14"/>
        <v>100</v>
      </c>
      <c r="X36" s="1551"/>
      <c r="Y36" s="3391"/>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391"/>
      <c r="Q37" s="1556" t="str">
        <f t="shared" si="11"/>
        <v>内部装修状况</v>
      </c>
      <c r="R37" s="1557" t="s">
        <v>8</v>
      </c>
      <c r="S37" s="1558">
        <f t="shared" si="12"/>
        <v>100</v>
      </c>
      <c r="T37" s="1557" t="s">
        <v>8</v>
      </c>
      <c r="U37" s="1558">
        <f t="shared" si="13"/>
        <v>100</v>
      </c>
      <c r="V37" s="1557" t="s">
        <v>8</v>
      </c>
      <c r="W37" s="1558">
        <f t="shared" si="14"/>
        <v>100</v>
      </c>
      <c r="X37" s="1551"/>
      <c r="Y37" s="3391"/>
      <c r="Z37" s="1559" t="str">
        <f t="shared" si="15"/>
        <v>内部装修状况</v>
      </c>
      <c r="AA37" s="1560">
        <f t="shared" si="3"/>
        <v>1</v>
      </c>
      <c r="AB37" s="1560">
        <f t="shared" si="4"/>
        <v>1</v>
      </c>
      <c r="AC37" s="1560">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3"/>
      <c r="M38" s="2154"/>
      <c r="N38" s="2154"/>
      <c r="O38" s="2126"/>
      <c r="P38" s="3391"/>
      <c r="Q38" s="1588">
        <f t="shared" si="11"/>
        <v>111</v>
      </c>
      <c r="R38" s="1561" t="s">
        <v>8</v>
      </c>
      <c r="S38" s="1562">
        <f t="shared" si="12"/>
        <v>100</v>
      </c>
      <c r="T38" s="1561" t="s">
        <v>8</v>
      </c>
      <c r="U38" s="1562">
        <f t="shared" si="13"/>
        <v>100</v>
      </c>
      <c r="V38" s="1561" t="s">
        <v>8</v>
      </c>
      <c r="W38" s="1562">
        <f t="shared" si="14"/>
        <v>100</v>
      </c>
      <c r="X38" s="1563"/>
      <c r="Y38" s="3391"/>
      <c r="Z38" s="1564">
        <f t="shared" si="15"/>
        <v>111</v>
      </c>
      <c r="AA38" s="1560">
        <f t="shared" si="3"/>
        <v>1</v>
      </c>
      <c r="AB38" s="1560">
        <f t="shared" si="4"/>
        <v>1</v>
      </c>
      <c r="AC38" s="1560">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5"/>
      <c r="M39" s="2117"/>
      <c r="N39" s="2117"/>
      <c r="O39" s="2124"/>
      <c r="P39" s="3391"/>
      <c r="Q39" s="1556">
        <f t="shared" si="11"/>
        <v>111</v>
      </c>
      <c r="R39" s="1557" t="s">
        <v>8</v>
      </c>
      <c r="S39" s="1558">
        <f t="shared" si="12"/>
        <v>100</v>
      </c>
      <c r="T39" s="1557" t="s">
        <v>8</v>
      </c>
      <c r="U39" s="1558">
        <f t="shared" si="13"/>
        <v>100</v>
      </c>
      <c r="V39" s="1557" t="s">
        <v>8</v>
      </c>
      <c r="W39" s="1558">
        <f t="shared" si="14"/>
        <v>100</v>
      </c>
      <c r="X39" s="1551"/>
      <c r="Y39" s="3391"/>
      <c r="Z39" s="1559">
        <f t="shared" si="15"/>
        <v>111</v>
      </c>
      <c r="AA39" s="1560">
        <f t="shared" si="3"/>
        <v>1</v>
      </c>
      <c r="AB39" s="1560">
        <f t="shared" si="4"/>
        <v>1</v>
      </c>
      <c r="AC39" s="1560">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5"/>
      <c r="M40" s="2117"/>
      <c r="N40" s="2117"/>
      <c r="O40" s="2124"/>
      <c r="P40" s="3493"/>
      <c r="Q40" s="1556">
        <f t="shared" si="11"/>
        <v>111</v>
      </c>
      <c r="R40" s="1557" t="s">
        <v>8</v>
      </c>
      <c r="S40" s="1558">
        <f t="shared" si="12"/>
        <v>100</v>
      </c>
      <c r="T40" s="1557" t="s">
        <v>8</v>
      </c>
      <c r="U40" s="1558">
        <f t="shared" si="13"/>
        <v>100</v>
      </c>
      <c r="V40" s="1557" t="s">
        <v>8</v>
      </c>
      <c r="W40" s="1558">
        <f t="shared" si="14"/>
        <v>100</v>
      </c>
      <c r="X40" s="1551"/>
      <c r="Y40" s="3493"/>
      <c r="Z40" s="1559">
        <f t="shared" si="15"/>
        <v>111</v>
      </c>
      <c r="AA40" s="1560">
        <f t="shared" si="3"/>
        <v>1</v>
      </c>
      <c r="AB40" s="1560">
        <f t="shared" si="4"/>
        <v>1</v>
      </c>
      <c r="AC40" s="1560">
        <f t="shared" si="5"/>
        <v>1</v>
      </c>
    </row>
    <row r="41" spans="1:29" ht="15">
      <c r="A41" s="607" t="s">
        <v>736</v>
      </c>
      <c r="B41" s="886"/>
      <c r="C41" s="2589" t="s">
        <v>1</v>
      </c>
      <c r="D41" s="2590"/>
      <c r="E41" s="2591"/>
      <c r="F41" s="2592"/>
      <c r="G41" s="2593"/>
      <c r="H41" s="2594"/>
      <c r="I41" s="2591"/>
      <c r="J41" s="2594"/>
      <c r="K41" s="1594"/>
      <c r="L41" s="2127"/>
      <c r="M41" s="2128"/>
      <c r="N41" s="2117"/>
      <c r="O41" s="2128"/>
      <c r="P41" s="3386" t="str">
        <f>A41</f>
        <v>成交单价（元/平方米）</v>
      </c>
      <c r="Q41" s="3386"/>
      <c r="R41" s="3492">
        <f>E41</f>
        <v>0</v>
      </c>
      <c r="S41" s="3492"/>
      <c r="T41" s="3492">
        <f>G41</f>
        <v>0</v>
      </c>
      <c r="U41" s="3492"/>
      <c r="V41" s="3492">
        <f>I41</f>
        <v>0</v>
      </c>
      <c r="W41" s="3492"/>
      <c r="X41" s="1543"/>
      <c r="Y41" s="1565"/>
      <c r="Z41" s="1543"/>
      <c r="AA41" s="1543"/>
      <c r="AB41" s="1543"/>
      <c r="AC41" s="1543"/>
    </row>
    <row r="42" spans="1:29" ht="15.75" thickBot="1">
      <c r="A42" s="615" t="s">
        <v>2757</v>
      </c>
      <c r="B42" s="887"/>
      <c r="C42" s="2595" t="e">
        <f>R43</f>
        <v>#DIV/0!</v>
      </c>
      <c r="D42" s="2596"/>
      <c r="E42" s="2597" t="e">
        <f>R42</f>
        <v>#DIV/0!</v>
      </c>
      <c r="F42" s="2597"/>
      <c r="G42" s="2595" t="e">
        <f>T42</f>
        <v>#DIV/0!</v>
      </c>
      <c r="H42" s="2596"/>
      <c r="I42" s="2597" t="e">
        <f>V42</f>
        <v>#DIV/0!</v>
      </c>
      <c r="J42" s="2596"/>
      <c r="K42" s="1595"/>
      <c r="L42" s="2127"/>
      <c r="M42" s="2128"/>
      <c r="N42" s="2117"/>
      <c r="O42" s="2128"/>
      <c r="P42" s="3386" t="str">
        <f>A42</f>
        <v>比较价格（元/平方米）</v>
      </c>
      <c r="Q42" s="3386"/>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3"/>
      <c r="Y42" s="1543"/>
      <c r="Z42" s="1543"/>
      <c r="AA42" s="1543"/>
      <c r="AB42" s="1543"/>
      <c r="AC42" s="1543"/>
    </row>
    <row r="43" spans="1:29" ht="15.75" thickBot="1">
      <c r="A43" s="621" t="s">
        <v>2924</v>
      </c>
      <c r="B43" s="622"/>
      <c r="C43" s="2598" t="e">
        <f>R43</f>
        <v>#DIV/0!</v>
      </c>
      <c r="D43" s="2598"/>
      <c r="E43" s="2598"/>
      <c r="F43" s="2598"/>
      <c r="G43" s="2598"/>
      <c r="H43" s="2598"/>
      <c r="I43" s="2598"/>
      <c r="J43" s="2598"/>
      <c r="K43" s="1596"/>
      <c r="L43" s="2127"/>
      <c r="M43" s="2128"/>
      <c r="N43" s="2128"/>
      <c r="O43" s="2128"/>
      <c r="P43" s="3408" t="str">
        <f>A43</f>
        <v>估价对象XX用房的比较价格（楼面单价，元/平方米）</v>
      </c>
      <c r="Q43" s="3409"/>
      <c r="R43" s="3491" t="e">
        <f>IF(F1="售价",ROUND(AVERAGE(R42:V42),0),ROUND(AVERAGE(R42:V42),1))</f>
        <v>#DIV/0!</v>
      </c>
      <c r="S43" s="3491"/>
      <c r="T43" s="3491"/>
      <c r="U43" s="3491"/>
      <c r="V43" s="3491"/>
      <c r="W43" s="3491"/>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5" t="s">
        <v>529</v>
      </c>
      <c r="B52" s="646"/>
      <c r="C52" s="2755" t="str">
        <f>YEAR(C7)&amp;"-"&amp;MONTH(C7)</f>
        <v>2020-5</v>
      </c>
      <c r="D52" s="2757">
        <f>EDATE(C52,-1)</f>
        <v>43922</v>
      </c>
      <c r="E52" s="2757">
        <f t="shared" ref="E52:O52" si="16">EDATE(D52,-1)</f>
        <v>43891</v>
      </c>
      <c r="F52" s="2757">
        <f t="shared" si="16"/>
        <v>43862</v>
      </c>
      <c r="G52" s="2757">
        <f t="shared" si="16"/>
        <v>43831</v>
      </c>
      <c r="H52" s="2757">
        <f t="shared" si="16"/>
        <v>43800</v>
      </c>
      <c r="I52" s="2757">
        <f t="shared" si="16"/>
        <v>43770</v>
      </c>
      <c r="J52" s="2757">
        <f t="shared" si="16"/>
        <v>43739</v>
      </c>
      <c r="K52" s="2757">
        <f t="shared" si="16"/>
        <v>43709</v>
      </c>
      <c r="L52" s="2757">
        <f t="shared" si="16"/>
        <v>43678</v>
      </c>
      <c r="M52" s="2757">
        <f t="shared" si="16"/>
        <v>43647</v>
      </c>
      <c r="N52" s="2757">
        <f t="shared" si="16"/>
        <v>43617</v>
      </c>
      <c r="O52" s="2757">
        <f t="shared" si="16"/>
        <v>43586</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2555</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2556</v>
      </c>
      <c r="C76" s="2560" t="s">
        <v>2557</v>
      </c>
      <c r="D76" s="2560" t="s">
        <v>2558</v>
      </c>
      <c r="E76" s="2560" t="s">
        <v>2559</v>
      </c>
      <c r="F76" s="2560" t="s">
        <v>2560</v>
      </c>
      <c r="G76" s="2560" t="s">
        <v>2561</v>
      </c>
      <c r="H76" s="934"/>
      <c r="I76" s="934"/>
      <c r="J76" s="934"/>
      <c r="K76" s="934"/>
      <c r="L76" s="934"/>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2"/>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2554</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2074</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392" t="s">
        <v>798</v>
      </c>
      <c r="D4" s="3393"/>
      <c r="E4" s="3392" t="s">
        <v>799</v>
      </c>
      <c r="F4" s="3393"/>
      <c r="G4" s="3392" t="s">
        <v>800</v>
      </c>
      <c r="H4" s="3393"/>
      <c r="I4" s="3392" t="s">
        <v>801</v>
      </c>
      <c r="J4" s="3393"/>
      <c r="K4" s="514" t="s">
        <v>802</v>
      </c>
      <c r="L4" s="2116"/>
      <c r="M4" s="2117"/>
      <c r="N4" s="2117"/>
      <c r="O4" s="2117"/>
      <c r="P4" s="3394" t="s">
        <v>803</v>
      </c>
      <c r="Q4" s="3395"/>
      <c r="R4" s="3380" t="s">
        <v>799</v>
      </c>
      <c r="S4" s="3381"/>
      <c r="T4" s="3380" t="s">
        <v>800</v>
      </c>
      <c r="U4" s="3381"/>
      <c r="V4" s="3400" t="s">
        <v>801</v>
      </c>
      <c r="W4" s="3400"/>
      <c r="X4" s="1551"/>
      <c r="Y4" s="3380" t="s">
        <v>803</v>
      </c>
      <c r="Z4" s="3381"/>
      <c r="AA4" s="3375" t="s">
        <v>799</v>
      </c>
      <c r="AB4" s="3376" t="s">
        <v>800</v>
      </c>
      <c r="AC4" s="3375" t="s">
        <v>801</v>
      </c>
    </row>
    <row r="5" spans="1:29" ht="15">
      <c r="A5" s="515"/>
      <c r="B5" s="516"/>
      <c r="C5" s="3405" t="s">
        <v>2918</v>
      </c>
      <c r="D5" s="3404"/>
      <c r="E5" s="3405" t="s">
        <v>2919</v>
      </c>
      <c r="F5" s="3404"/>
      <c r="G5" s="3405" t="s">
        <v>2920</v>
      </c>
      <c r="H5" s="3404"/>
      <c r="I5" s="3405" t="s">
        <v>2921</v>
      </c>
      <c r="J5" s="3404"/>
      <c r="K5" s="514"/>
      <c r="L5" s="2116"/>
      <c r="M5" s="2117"/>
      <c r="N5" s="2117"/>
      <c r="O5" s="2117"/>
      <c r="P5" s="3396"/>
      <c r="Q5" s="3397"/>
      <c r="R5" s="3382"/>
      <c r="S5" s="3383"/>
      <c r="T5" s="3382"/>
      <c r="U5" s="3383"/>
      <c r="V5" s="3400"/>
      <c r="W5" s="3400"/>
      <c r="X5" s="1551"/>
      <c r="Y5" s="3382"/>
      <c r="Z5" s="3383"/>
      <c r="AA5" s="3376"/>
      <c r="AB5" s="3376"/>
      <c r="AC5" s="3376"/>
    </row>
    <row r="6" spans="1:29" ht="15.75" thickBot="1">
      <c r="A6" s="517"/>
      <c r="B6" s="518"/>
      <c r="C6" s="3401" t="s">
        <v>2922</v>
      </c>
      <c r="D6" s="3402"/>
      <c r="E6" s="3406" t="s">
        <v>2922</v>
      </c>
      <c r="F6" s="3407"/>
      <c r="G6" s="3401" t="s">
        <v>2922</v>
      </c>
      <c r="H6" s="3402"/>
      <c r="I6" s="3401" t="s">
        <v>2922</v>
      </c>
      <c r="J6" s="3402"/>
      <c r="K6" s="514" t="s">
        <v>528</v>
      </c>
      <c r="L6" s="2116"/>
      <c r="M6" s="2117"/>
      <c r="N6" s="2117"/>
      <c r="O6" s="2117"/>
      <c r="P6" s="3398"/>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78" t="s">
        <v>530</v>
      </c>
      <c r="Q7" s="3387"/>
      <c r="R7" s="1552" t="s">
        <v>8</v>
      </c>
      <c r="S7" s="1553">
        <f t="shared" ref="S7:S14" si="0">F7</f>
        <v>0</v>
      </c>
      <c r="T7" s="1552" t="s">
        <v>8</v>
      </c>
      <c r="U7" s="1553">
        <f t="shared" ref="U7:U14" si="1">H7</f>
        <v>0</v>
      </c>
      <c r="V7" s="1552" t="s">
        <v>8</v>
      </c>
      <c r="W7" s="1553">
        <f t="shared" ref="W7:W14"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78" t="s">
        <v>533</v>
      </c>
      <c r="Q8" s="3379"/>
      <c r="R8" s="1552" t="s">
        <v>8</v>
      </c>
      <c r="S8" s="1553">
        <f t="shared" si="0"/>
        <v>0</v>
      </c>
      <c r="T8" s="1552" t="s">
        <v>8</v>
      </c>
      <c r="U8" s="1553">
        <f t="shared" si="1"/>
        <v>0</v>
      </c>
      <c r="V8" s="1552" t="s">
        <v>8</v>
      </c>
      <c r="W8" s="1553">
        <f t="shared" si="2"/>
        <v>0</v>
      </c>
      <c r="X8" s="1554"/>
      <c r="Y8" s="3378" t="s">
        <v>533</v>
      </c>
      <c r="Z8" s="3379"/>
      <c r="AA8" s="1555" t="e">
        <f t="shared" ref="AA8:AA36" si="3">D8/F8</f>
        <v>#DIV/0!</v>
      </c>
      <c r="AB8" s="1555" t="e">
        <f t="shared" ref="AB8:AB36" si="4">D8/H8</f>
        <v>#DIV/0!</v>
      </c>
      <c r="AC8" s="1555" t="e">
        <f t="shared" ref="AC8:AC36" si="5">D8/J8</f>
        <v>#DIV/0!</v>
      </c>
    </row>
    <row r="9" spans="1:29" s="1215" customFormat="1" ht="15">
      <c r="A9" s="2866"/>
      <c r="B9" s="2873"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86" t="s">
        <v>535</v>
      </c>
      <c r="Q9" s="1146" t="str">
        <f t="shared" ref="Q9:Q14" si="6">B9</f>
        <v>用途</v>
      </c>
      <c r="R9" s="1552" t="s">
        <v>8</v>
      </c>
      <c r="S9" s="1553">
        <f t="shared" si="0"/>
        <v>100</v>
      </c>
      <c r="T9" s="1552" t="s">
        <v>8</v>
      </c>
      <c r="U9" s="1553">
        <f t="shared" si="1"/>
        <v>100</v>
      </c>
      <c r="V9" s="1552" t="s">
        <v>8</v>
      </c>
      <c r="W9" s="1553">
        <f t="shared" si="2"/>
        <v>100</v>
      </c>
      <c r="X9" s="1554"/>
      <c r="Y9" s="3343" t="s">
        <v>536</v>
      </c>
      <c r="Z9" s="1145" t="str">
        <f t="shared" ref="Z9:Z14" si="7">Q9</f>
        <v>用途</v>
      </c>
      <c r="AA9" s="1555">
        <f t="shared" si="3"/>
        <v>1</v>
      </c>
      <c r="AB9" s="1555">
        <f t="shared" si="4"/>
        <v>1</v>
      </c>
      <c r="AC9" s="1555">
        <f t="shared" si="5"/>
        <v>1</v>
      </c>
    </row>
    <row r="10" spans="1:29" s="1333" customFormat="1" ht="27">
      <c r="A10" s="2867"/>
      <c r="B10" s="2872"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86"/>
      <c r="Q11" s="1146">
        <f t="shared" si="6"/>
        <v>111</v>
      </c>
      <c r="R11" s="1552" t="s">
        <v>8</v>
      </c>
      <c r="S11" s="1553">
        <f t="shared" si="0"/>
        <v>100</v>
      </c>
      <c r="T11" s="1552" t="s">
        <v>8</v>
      </c>
      <c r="U11" s="1553">
        <f t="shared" si="1"/>
        <v>100</v>
      </c>
      <c r="V11" s="1552" t="s">
        <v>8</v>
      </c>
      <c r="W11" s="1553">
        <f t="shared" si="2"/>
        <v>100</v>
      </c>
      <c r="X11" s="1554"/>
      <c r="Y11" s="3343"/>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
      <c r="A14" s="2862" t="s">
        <v>2751</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5"/>
      <c r="M14" s="2117"/>
      <c r="N14" s="2117"/>
      <c r="O14" s="2124"/>
      <c r="P14" s="3388" t="s">
        <v>540</v>
      </c>
      <c r="Q14" s="1556" t="str">
        <f t="shared" si="6"/>
        <v>交通便捷度</v>
      </c>
      <c r="R14" s="1557" t="s">
        <v>8</v>
      </c>
      <c r="S14" s="1558">
        <f t="shared" si="0"/>
        <v>100</v>
      </c>
      <c r="T14" s="1557" t="s">
        <v>8</v>
      </c>
      <c r="U14" s="1558">
        <f t="shared" si="1"/>
        <v>100</v>
      </c>
      <c r="V14" s="1557" t="s">
        <v>8</v>
      </c>
      <c r="W14" s="1558">
        <f t="shared" si="2"/>
        <v>100</v>
      </c>
      <c r="X14" s="1551"/>
      <c r="Y14" s="3388" t="s">
        <v>540</v>
      </c>
      <c r="Z14" s="1559" t="str">
        <f t="shared" si="7"/>
        <v>交通便捷度</v>
      </c>
      <c r="AA14" s="1560">
        <f t="shared" si="3"/>
        <v>1</v>
      </c>
      <c r="AB14" s="1560">
        <f t="shared" si="4"/>
        <v>1</v>
      </c>
      <c r="AC14" s="1560">
        <f t="shared" si="5"/>
        <v>1</v>
      </c>
    </row>
    <row r="15" spans="1:29" ht="15">
      <c r="A15" s="515"/>
      <c r="B15" s="923"/>
      <c r="C15" s="576"/>
      <c r="D15" s="555"/>
      <c r="E15" s="576"/>
      <c r="F15" s="557"/>
      <c r="G15" s="576"/>
      <c r="H15" s="559"/>
      <c r="I15" s="576"/>
      <c r="J15" s="555"/>
      <c r="K15" s="898"/>
      <c r="L15" s="2125"/>
      <c r="M15" s="2117"/>
      <c r="N15" s="2117"/>
      <c r="O15" s="2124"/>
      <c r="P15" s="3389"/>
      <c r="Q15" s="1556"/>
      <c r="R15" s="1557"/>
      <c r="S15" s="1558"/>
      <c r="T15" s="1557"/>
      <c r="U15" s="1558"/>
      <c r="V15" s="1557"/>
      <c r="W15" s="1558"/>
      <c r="X15" s="1551"/>
      <c r="Y15" s="3389"/>
      <c r="Z15" s="1559"/>
      <c r="AA15" s="1560">
        <v>1</v>
      </c>
      <c r="AB15" s="1560">
        <v>1</v>
      </c>
      <c r="AC15" s="1560">
        <v>1</v>
      </c>
    </row>
    <row r="16" spans="1:29" ht="15">
      <c r="A16" s="515"/>
      <c r="B16" s="2565"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5"/>
      <c r="M16" s="2117"/>
      <c r="N16" s="2117"/>
      <c r="O16" s="2124"/>
      <c r="P16" s="3389"/>
      <c r="Q16" s="1556" t="str">
        <f>B16</f>
        <v>公共配套设施</v>
      </c>
      <c r="R16" s="1557" t="s">
        <v>8</v>
      </c>
      <c r="S16" s="1558">
        <f>F16</f>
        <v>100</v>
      </c>
      <c r="T16" s="1557" t="s">
        <v>8</v>
      </c>
      <c r="U16" s="1558">
        <f>H16</f>
        <v>100</v>
      </c>
      <c r="V16" s="1557" t="s">
        <v>8</v>
      </c>
      <c r="W16" s="1558">
        <f>J16</f>
        <v>100</v>
      </c>
      <c r="X16" s="1551"/>
      <c r="Y16" s="3389"/>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8"/>
      <c r="L17" s="2125"/>
      <c r="M17" s="2117"/>
      <c r="N17" s="2117"/>
      <c r="O17" s="2124"/>
      <c r="P17" s="3389"/>
      <c r="Q17" s="1556"/>
      <c r="R17" s="1557"/>
      <c r="S17" s="1558"/>
      <c r="T17" s="1557"/>
      <c r="U17" s="1558"/>
      <c r="V17" s="1557"/>
      <c r="W17" s="1558"/>
      <c r="X17" s="1551"/>
      <c r="Y17" s="3389"/>
      <c r="Z17" s="1559"/>
      <c r="AA17" s="1560">
        <v>1</v>
      </c>
      <c r="AB17" s="1560">
        <v>1</v>
      </c>
      <c r="AC17" s="1560">
        <v>1</v>
      </c>
    </row>
    <row r="18" spans="1:29" ht="15">
      <c r="A18" s="515"/>
      <c r="B18" s="2553"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5"/>
      <c r="M18" s="2117"/>
      <c r="N18" s="2117"/>
      <c r="O18" s="2124"/>
      <c r="P18" s="3389"/>
      <c r="Q18" s="2541" t="str">
        <f>B18</f>
        <v>基础设施水平</v>
      </c>
      <c r="R18" s="1557" t="s">
        <v>8</v>
      </c>
      <c r="S18" s="1558">
        <f>F18</f>
        <v>100</v>
      </c>
      <c r="T18" s="1557" t="s">
        <v>8</v>
      </c>
      <c r="U18" s="1558">
        <f>H18</f>
        <v>100</v>
      </c>
      <c r="V18" s="1557" t="s">
        <v>8</v>
      </c>
      <c r="W18" s="1558">
        <f>J18</f>
        <v>100</v>
      </c>
      <c r="X18" s="2543"/>
      <c r="Y18" s="3389"/>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389"/>
      <c r="Q19" s="2541"/>
      <c r="R19" s="1557"/>
      <c r="S19" s="1558"/>
      <c r="T19" s="1557"/>
      <c r="U19" s="1558"/>
      <c r="V19" s="1557"/>
      <c r="W19" s="1558"/>
      <c r="X19" s="2543"/>
      <c r="Y19" s="3389"/>
      <c r="Z19" s="2542"/>
      <c r="AA19" s="1560">
        <v>1</v>
      </c>
      <c r="AB19" s="1560">
        <v>1</v>
      </c>
      <c r="AC19" s="1560">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5"/>
      <c r="M20" s="2117"/>
      <c r="N20" s="2117"/>
      <c r="O20" s="2124"/>
      <c r="P20" s="3389"/>
      <c r="Q20" s="1556" t="str">
        <f>B20</f>
        <v>自然及人文环境</v>
      </c>
      <c r="R20" s="1557" t="s">
        <v>8</v>
      </c>
      <c r="S20" s="1558">
        <f>F20</f>
        <v>100</v>
      </c>
      <c r="T20" s="1557" t="s">
        <v>8</v>
      </c>
      <c r="U20" s="1558">
        <f>H20</f>
        <v>100</v>
      </c>
      <c r="V20" s="1557" t="s">
        <v>8</v>
      </c>
      <c r="W20" s="1558">
        <f>J20</f>
        <v>100</v>
      </c>
      <c r="X20" s="1551"/>
      <c r="Y20" s="3389"/>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8"/>
      <c r="L21" s="2125"/>
      <c r="M21" s="2117"/>
      <c r="N21" s="2117"/>
      <c r="O21" s="2124"/>
      <c r="P21" s="3389"/>
      <c r="Q21" s="1556"/>
      <c r="R21" s="1557"/>
      <c r="S21" s="1558"/>
      <c r="T21" s="1557"/>
      <c r="U21" s="1558"/>
      <c r="V21" s="1557"/>
      <c r="W21" s="1558"/>
      <c r="X21" s="1551"/>
      <c r="Y21" s="3389"/>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389"/>
      <c r="Q22" s="1556" t="str">
        <f>B22</f>
        <v>楼层</v>
      </c>
      <c r="R22" s="1557" t="s">
        <v>8</v>
      </c>
      <c r="S22" s="1558">
        <f>F22</f>
        <v>100</v>
      </c>
      <c r="T22" s="1557" t="s">
        <v>8</v>
      </c>
      <c r="U22" s="1558">
        <f>H22</f>
        <v>100</v>
      </c>
      <c r="V22" s="1557" t="s">
        <v>8</v>
      </c>
      <c r="W22" s="1558">
        <f>J22</f>
        <v>100</v>
      </c>
      <c r="X22" s="1551"/>
      <c r="Y22" s="3389"/>
      <c r="Z22" s="1559" t="str">
        <f>Q22</f>
        <v>楼层</v>
      </c>
      <c r="AA22" s="1560">
        <f t="shared" si="3"/>
        <v>1</v>
      </c>
      <c r="AB22" s="1560">
        <f t="shared" si="4"/>
        <v>1</v>
      </c>
      <c r="AC22" s="1560">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389"/>
      <c r="Q23" s="1556">
        <f>B23</f>
        <v>111</v>
      </c>
      <c r="R23" s="1557" t="s">
        <v>8</v>
      </c>
      <c r="S23" s="1558">
        <f>F23</f>
        <v>100</v>
      </c>
      <c r="T23" s="1557" t="s">
        <v>8</v>
      </c>
      <c r="U23" s="1558">
        <f>H23</f>
        <v>100</v>
      </c>
      <c r="V23" s="1557" t="s">
        <v>8</v>
      </c>
      <c r="W23" s="1558">
        <f>J23</f>
        <v>100</v>
      </c>
      <c r="X23" s="1551"/>
      <c r="Y23" s="3389"/>
      <c r="Z23" s="1559">
        <f>Q23</f>
        <v>111</v>
      </c>
      <c r="AA23" s="1560">
        <f t="shared" si="3"/>
        <v>1</v>
      </c>
      <c r="AB23" s="1560">
        <f t="shared" si="4"/>
        <v>1</v>
      </c>
      <c r="AC23" s="1560">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389"/>
      <c r="Q24" s="1556">
        <f t="shared" ref="Q24:Q36" si="11">B24</f>
        <v>111</v>
      </c>
      <c r="R24" s="1557" t="s">
        <v>8</v>
      </c>
      <c r="S24" s="1558">
        <f>F24</f>
        <v>100</v>
      </c>
      <c r="T24" s="1557" t="s">
        <v>8</v>
      </c>
      <c r="U24" s="1558">
        <f>H24</f>
        <v>100</v>
      </c>
      <c r="V24" s="1557" t="s">
        <v>8</v>
      </c>
      <c r="W24" s="1558">
        <f>J24</f>
        <v>100</v>
      </c>
      <c r="X24" s="1551"/>
      <c r="Y24" s="3389"/>
      <c r="Z24" s="1559">
        <f>Q24</f>
        <v>111</v>
      </c>
      <c r="AA24" s="1560">
        <f t="shared" si="3"/>
        <v>1</v>
      </c>
      <c r="AB24" s="1560">
        <f t="shared" si="4"/>
        <v>1</v>
      </c>
      <c r="AC24" s="1560">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8"/>
      <c r="M25" s="2119"/>
      <c r="N25" s="2119"/>
      <c r="O25" s="2120"/>
      <c r="P25" s="3389"/>
      <c r="Q25" s="1146">
        <f t="shared" si="11"/>
        <v>111</v>
      </c>
      <c r="R25" s="1552" t="s">
        <v>8</v>
      </c>
      <c r="S25" s="1553">
        <f>F25</f>
        <v>100</v>
      </c>
      <c r="T25" s="1552" t="s">
        <v>8</v>
      </c>
      <c r="U25" s="1553">
        <f>H25</f>
        <v>100</v>
      </c>
      <c r="V25" s="1552" t="s">
        <v>8</v>
      </c>
      <c r="W25" s="1553">
        <f>J25</f>
        <v>100</v>
      </c>
      <c r="X25" s="1554"/>
      <c r="Y25" s="3389"/>
      <c r="Z25" s="1145">
        <f>Q25</f>
        <v>111</v>
      </c>
      <c r="AA25" s="1560">
        <f>D25/F25</f>
        <v>1</v>
      </c>
      <c r="AB25" s="1560">
        <f>D25/H25</f>
        <v>1</v>
      </c>
      <c r="AC25" s="1560">
        <f>D25/J25</f>
        <v>1</v>
      </c>
    </row>
    <row r="26" spans="1:29" ht="15">
      <c r="A26" s="2860"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390"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391" t="s">
        <v>550</v>
      </c>
      <c r="Z26" s="1559" t="str">
        <f t="shared" ref="Z26:Z36" si="15">Q26</f>
        <v>配套类型</v>
      </c>
      <c r="AA26" s="1560">
        <f t="shared" si="3"/>
        <v>1</v>
      </c>
      <c r="AB26" s="1560">
        <f t="shared" si="4"/>
        <v>1</v>
      </c>
      <c r="AC26" s="1560">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3"/>
      <c r="M27" s="2154"/>
      <c r="N27" s="2154"/>
      <c r="O27" s="2126"/>
      <c r="P27" s="3391"/>
      <c r="Q27" s="1588" t="str">
        <f t="shared" si="11"/>
        <v>项目停车位配比</v>
      </c>
      <c r="R27" s="1561" t="s">
        <v>8</v>
      </c>
      <c r="S27" s="1562">
        <f t="shared" si="12"/>
        <v>100</v>
      </c>
      <c r="T27" s="1561" t="s">
        <v>8</v>
      </c>
      <c r="U27" s="1562">
        <f t="shared" si="13"/>
        <v>100</v>
      </c>
      <c r="V27" s="1561" t="s">
        <v>8</v>
      </c>
      <c r="W27" s="1562">
        <f t="shared" si="14"/>
        <v>100</v>
      </c>
      <c r="X27" s="1563"/>
      <c r="Y27" s="3391"/>
      <c r="Z27" s="1564" t="str">
        <f t="shared" si="15"/>
        <v>项目停车位配比</v>
      </c>
      <c r="AA27" s="1560">
        <f t="shared" si="3"/>
        <v>1</v>
      </c>
      <c r="AB27" s="1560">
        <f t="shared" si="4"/>
        <v>1</v>
      </c>
      <c r="AC27" s="1560">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391"/>
      <c r="Q28" s="1556" t="str">
        <f t="shared" si="11"/>
        <v>公共部分装修</v>
      </c>
      <c r="R28" s="1557" t="s">
        <v>8</v>
      </c>
      <c r="S28" s="1558">
        <f t="shared" si="12"/>
        <v>100</v>
      </c>
      <c r="T28" s="1557" t="s">
        <v>8</v>
      </c>
      <c r="U28" s="1558">
        <f t="shared" si="13"/>
        <v>100</v>
      </c>
      <c r="V28" s="1557" t="s">
        <v>8</v>
      </c>
      <c r="W28" s="1558">
        <f t="shared" si="14"/>
        <v>100</v>
      </c>
      <c r="X28" s="1551"/>
      <c r="Y28" s="3391"/>
      <c r="Z28" s="1559" t="str">
        <f t="shared" si="15"/>
        <v>公共部分装修</v>
      </c>
      <c r="AA28" s="1560">
        <f t="shared" si="3"/>
        <v>1</v>
      </c>
      <c r="AB28" s="1560">
        <f t="shared" si="4"/>
        <v>1</v>
      </c>
      <c r="AC28" s="1560">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5"/>
      <c r="M29" s="2117"/>
      <c r="N29" s="2117"/>
      <c r="O29" s="2124"/>
      <c r="P29" s="3391"/>
      <c r="Q29" s="1556" t="str">
        <f t="shared" si="11"/>
        <v>成新率</v>
      </c>
      <c r="R29" s="1557" t="s">
        <v>8</v>
      </c>
      <c r="S29" s="1558" t="e">
        <f t="shared" si="12"/>
        <v>#N/A</v>
      </c>
      <c r="T29" s="1557" t="s">
        <v>8</v>
      </c>
      <c r="U29" s="1558" t="e">
        <f t="shared" si="13"/>
        <v>#N/A</v>
      </c>
      <c r="V29" s="1557" t="s">
        <v>8</v>
      </c>
      <c r="W29" s="1558" t="e">
        <f t="shared" si="14"/>
        <v>#N/A</v>
      </c>
      <c r="X29" s="1551"/>
      <c r="Y29" s="3391"/>
      <c r="Z29" s="1559" t="str">
        <f t="shared" si="15"/>
        <v>成新率</v>
      </c>
      <c r="AA29" s="1560" t="e">
        <f t="shared" si="3"/>
        <v>#N/A</v>
      </c>
      <c r="AB29" s="1560" t="e">
        <f t="shared" si="4"/>
        <v>#N/A</v>
      </c>
      <c r="AC29" s="1560"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5"/>
      <c r="M30" s="2117"/>
      <c r="N30" s="2117"/>
      <c r="O30" s="2124"/>
      <c r="P30" s="3391"/>
      <c r="Q30" s="1556" t="str">
        <f t="shared" si="11"/>
        <v>物业等级</v>
      </c>
      <c r="R30" s="1557" t="s">
        <v>8</v>
      </c>
      <c r="S30" s="1558">
        <f t="shared" si="12"/>
        <v>100</v>
      </c>
      <c r="T30" s="1557" t="s">
        <v>8</v>
      </c>
      <c r="U30" s="1558">
        <f t="shared" si="13"/>
        <v>100</v>
      </c>
      <c r="V30" s="1557" t="s">
        <v>8</v>
      </c>
      <c r="W30" s="1558">
        <f t="shared" si="14"/>
        <v>100</v>
      </c>
      <c r="X30" s="1551"/>
      <c r="Y30" s="3391"/>
      <c r="Z30" s="1559" t="str">
        <f t="shared" si="15"/>
        <v>物业等级</v>
      </c>
      <c r="AA30" s="1560">
        <f t="shared" si="3"/>
        <v>1</v>
      </c>
      <c r="AB30" s="1560">
        <f t="shared" si="4"/>
        <v>1</v>
      </c>
      <c r="AC30" s="1560">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8"/>
      <c r="M31" s="2119"/>
      <c r="N31" s="2119"/>
      <c r="O31" s="2120"/>
      <c r="P31" s="3391"/>
      <c r="Q31" s="1146" t="str">
        <f t="shared" si="11"/>
        <v>停车位面积</v>
      </c>
      <c r="R31" s="1552" t="s">
        <v>8</v>
      </c>
      <c r="S31" s="1553" t="e">
        <f t="shared" si="12"/>
        <v>#N/A</v>
      </c>
      <c r="T31" s="1552" t="s">
        <v>8</v>
      </c>
      <c r="U31" s="1553" t="e">
        <f t="shared" si="13"/>
        <v>#N/A</v>
      </c>
      <c r="V31" s="1552" t="s">
        <v>8</v>
      </c>
      <c r="W31" s="1553" t="e">
        <f t="shared" si="14"/>
        <v>#N/A</v>
      </c>
      <c r="X31" s="1554"/>
      <c r="Y31" s="3391"/>
      <c r="Z31" s="1145" t="str">
        <f t="shared" si="15"/>
        <v>停车位面积</v>
      </c>
      <c r="AA31" s="1555" t="e">
        <f t="shared" si="3"/>
        <v>#N/A</v>
      </c>
      <c r="AB31" s="1555" t="e">
        <f t="shared" si="4"/>
        <v>#N/A</v>
      </c>
      <c r="AC31" s="1555"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391" t="s">
        <v>550</v>
      </c>
      <c r="Q32" s="1556" t="str">
        <f t="shared" si="11"/>
        <v>车位类型</v>
      </c>
      <c r="R32" s="1557" t="s">
        <v>8</v>
      </c>
      <c r="S32" s="1558">
        <f t="shared" si="12"/>
        <v>100</v>
      </c>
      <c r="T32" s="1557" t="s">
        <v>8</v>
      </c>
      <c r="U32" s="1558">
        <f t="shared" si="13"/>
        <v>100</v>
      </c>
      <c r="V32" s="1557" t="s">
        <v>8</v>
      </c>
      <c r="W32" s="1558">
        <f t="shared" si="14"/>
        <v>100</v>
      </c>
      <c r="X32" s="1551"/>
      <c r="Y32" s="3391" t="s">
        <v>550</v>
      </c>
      <c r="Z32" s="1559" t="str">
        <f t="shared" si="15"/>
        <v>车位类型</v>
      </c>
      <c r="AA32" s="1560">
        <f t="shared" si="3"/>
        <v>1</v>
      </c>
      <c r="AB32" s="1560">
        <f t="shared" si="4"/>
        <v>1</v>
      </c>
      <c r="AC32" s="1560">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391"/>
      <c r="Q33" s="1556" t="str">
        <f t="shared" si="11"/>
        <v>是否直接入户</v>
      </c>
      <c r="R33" s="1557" t="s">
        <v>8</v>
      </c>
      <c r="S33" s="1558">
        <f t="shared" si="12"/>
        <v>100</v>
      </c>
      <c r="T33" s="1557" t="s">
        <v>8</v>
      </c>
      <c r="U33" s="1558">
        <f t="shared" si="13"/>
        <v>100</v>
      </c>
      <c r="V33" s="1557" t="s">
        <v>8</v>
      </c>
      <c r="W33" s="1558">
        <f t="shared" si="14"/>
        <v>100</v>
      </c>
      <c r="X33" s="1551"/>
      <c r="Y33" s="3391"/>
      <c r="Z33" s="1559" t="str">
        <f t="shared" si="15"/>
        <v>是否直接入户</v>
      </c>
      <c r="AA33" s="1560">
        <f t="shared" si="3"/>
        <v>1</v>
      </c>
      <c r="AB33" s="1560">
        <f t="shared" si="4"/>
        <v>1</v>
      </c>
      <c r="AC33" s="1560">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391"/>
      <c r="Q34" s="1556">
        <f t="shared" si="11"/>
        <v>111</v>
      </c>
      <c r="R34" s="1557" t="s">
        <v>8</v>
      </c>
      <c r="S34" s="1558">
        <f t="shared" si="12"/>
        <v>100</v>
      </c>
      <c r="T34" s="1557" t="s">
        <v>8</v>
      </c>
      <c r="U34" s="1558">
        <f t="shared" si="13"/>
        <v>100</v>
      </c>
      <c r="V34" s="1557" t="s">
        <v>8</v>
      </c>
      <c r="W34" s="1558">
        <f t="shared" si="14"/>
        <v>100</v>
      </c>
      <c r="X34" s="1551"/>
      <c r="Y34" s="3391"/>
      <c r="Z34" s="1559">
        <f t="shared" si="15"/>
        <v>111</v>
      </c>
      <c r="AA34" s="1560">
        <f t="shared" si="3"/>
        <v>1</v>
      </c>
      <c r="AB34" s="1560">
        <f t="shared" si="4"/>
        <v>1</v>
      </c>
      <c r="AC34" s="1560">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391"/>
      <c r="Q35" s="1588">
        <f t="shared" si="11"/>
        <v>111</v>
      </c>
      <c r="R35" s="1561" t="s">
        <v>8</v>
      </c>
      <c r="S35" s="1562">
        <f t="shared" si="12"/>
        <v>100</v>
      </c>
      <c r="T35" s="1561" t="s">
        <v>8</v>
      </c>
      <c r="U35" s="1562">
        <f t="shared" si="13"/>
        <v>100</v>
      </c>
      <c r="V35" s="1561" t="s">
        <v>8</v>
      </c>
      <c r="W35" s="1562">
        <f t="shared" si="14"/>
        <v>100</v>
      </c>
      <c r="X35" s="1563"/>
      <c r="Y35" s="3391"/>
      <c r="Z35" s="1564">
        <f t="shared" si="15"/>
        <v>111</v>
      </c>
      <c r="AA35" s="1560">
        <f t="shared" si="3"/>
        <v>1</v>
      </c>
      <c r="AB35" s="1560">
        <f t="shared" si="4"/>
        <v>1</v>
      </c>
      <c r="AC35" s="1560">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391"/>
      <c r="Q36" s="1556">
        <f t="shared" si="11"/>
        <v>111</v>
      </c>
      <c r="R36" s="1557" t="s">
        <v>8</v>
      </c>
      <c r="S36" s="1558">
        <f t="shared" si="12"/>
        <v>100</v>
      </c>
      <c r="T36" s="1557" t="s">
        <v>8</v>
      </c>
      <c r="U36" s="1558">
        <f t="shared" si="13"/>
        <v>100</v>
      </c>
      <c r="V36" s="1557" t="s">
        <v>8</v>
      </c>
      <c r="W36" s="1558">
        <f t="shared" si="14"/>
        <v>100</v>
      </c>
      <c r="X36" s="1551"/>
      <c r="Y36" s="3391"/>
      <c r="Z36" s="1559">
        <f t="shared" si="15"/>
        <v>111</v>
      </c>
      <c r="AA36" s="1560">
        <f t="shared" si="3"/>
        <v>1</v>
      </c>
      <c r="AB36" s="1560">
        <f t="shared" si="4"/>
        <v>1</v>
      </c>
      <c r="AC36" s="1560">
        <f t="shared" si="5"/>
        <v>1</v>
      </c>
    </row>
    <row r="37" spans="1:29" ht="15">
      <c r="A37" s="1829" t="s">
        <v>2075</v>
      </c>
      <c r="B37" s="1830" t="s">
        <v>2076</v>
      </c>
      <c r="C37" s="2589" t="s">
        <v>1</v>
      </c>
      <c r="D37" s="2590"/>
      <c r="E37" s="2591"/>
      <c r="F37" s="2592"/>
      <c r="G37" s="2593"/>
      <c r="H37" s="2594"/>
      <c r="I37" s="2591"/>
      <c r="J37" s="2594"/>
      <c r="K37" s="1594"/>
      <c r="L37" s="2127"/>
      <c r="M37" s="2128"/>
      <c r="N37" s="2117"/>
      <c r="O37" s="2128"/>
      <c r="P37" s="3386" t="str">
        <f>A37</f>
        <v>成交单价</v>
      </c>
      <c r="Q37" s="3386"/>
      <c r="R37" s="3492">
        <f>E37</f>
        <v>0</v>
      </c>
      <c r="S37" s="3492"/>
      <c r="T37" s="3492">
        <f>G37</f>
        <v>0</v>
      </c>
      <c r="U37" s="3492"/>
      <c r="V37" s="3492">
        <f>I37</f>
        <v>0</v>
      </c>
      <c r="W37" s="3492"/>
      <c r="X37" s="1543"/>
      <c r="Y37" s="1565"/>
      <c r="Z37" s="1543"/>
      <c r="AA37" s="1543"/>
      <c r="AB37" s="1543"/>
      <c r="AC37" s="1543"/>
    </row>
    <row r="38" spans="1:29" ht="15.75" thickBot="1">
      <c r="A38" s="615" t="s">
        <v>2757</v>
      </c>
      <c r="B38" s="887"/>
      <c r="C38" s="2595" t="e">
        <f>R39</f>
        <v>#DIV/0!</v>
      </c>
      <c r="D38" s="2596"/>
      <c r="E38" s="2597" t="e">
        <f>R38</f>
        <v>#DIV/0!</v>
      </c>
      <c r="F38" s="2597"/>
      <c r="G38" s="2595" t="e">
        <f>T38</f>
        <v>#DIV/0!</v>
      </c>
      <c r="H38" s="2596"/>
      <c r="I38" s="2597" t="e">
        <f>V38</f>
        <v>#DIV/0!</v>
      </c>
      <c r="J38" s="2596"/>
      <c r="K38" s="1595"/>
      <c r="L38" s="2127"/>
      <c r="M38" s="2128"/>
      <c r="N38" s="2128"/>
      <c r="O38" s="2128"/>
      <c r="P38" s="3386" t="str">
        <f>A38</f>
        <v>比较价格（元/平方米）</v>
      </c>
      <c r="Q38" s="3386"/>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3"/>
      <c r="Y38" s="1543"/>
      <c r="Z38" s="1543"/>
      <c r="AA38" s="1543"/>
      <c r="AB38" s="1543"/>
      <c r="AC38" s="1543"/>
    </row>
    <row r="39" spans="1:29" ht="15.75" thickBot="1">
      <c r="A39" s="621" t="s">
        <v>2924</v>
      </c>
      <c r="B39" s="622"/>
      <c r="C39" s="2598" t="e">
        <f>R39</f>
        <v>#DIV/0!</v>
      </c>
      <c r="D39" s="2598"/>
      <c r="E39" s="2598"/>
      <c r="F39" s="2598"/>
      <c r="G39" s="2598"/>
      <c r="H39" s="2598"/>
      <c r="I39" s="2598"/>
      <c r="J39" s="2598"/>
      <c r="K39" s="1596"/>
      <c r="L39" s="2127"/>
      <c r="M39" s="2128"/>
      <c r="N39" s="2128"/>
      <c r="O39" s="2128"/>
      <c r="P39" s="3408" t="str">
        <f>A39</f>
        <v>估价对象XX用房的比较价格（楼面单价，元/平方米）</v>
      </c>
      <c r="Q39" s="3409"/>
      <c r="R39" s="3491" t="e">
        <f>IF(F1="售价",ROUND(AVERAGE(R38:V38),0),ROUND(AVERAGE(R38:V38),1))</f>
        <v>#DIV/0!</v>
      </c>
      <c r="S39" s="3491"/>
      <c r="T39" s="3491"/>
      <c r="U39" s="3491"/>
      <c r="V39" s="3491"/>
      <c r="W39" s="3491"/>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529</v>
      </c>
      <c r="B48" s="646"/>
      <c r="C48" s="2755" t="str">
        <f>YEAR(C7)&amp;"-"&amp;MONTH(C7)</f>
        <v>2020-5</v>
      </c>
      <c r="D48" s="2757">
        <f>EDATE(C48,-1)</f>
        <v>43922</v>
      </c>
      <c r="E48" s="2757">
        <f t="shared" ref="E48:O48" si="16">EDATE(D48,-1)</f>
        <v>43891</v>
      </c>
      <c r="F48" s="2757">
        <f t="shared" si="16"/>
        <v>43862</v>
      </c>
      <c r="G48" s="2757">
        <f t="shared" si="16"/>
        <v>43831</v>
      </c>
      <c r="H48" s="2757">
        <f t="shared" si="16"/>
        <v>43800</v>
      </c>
      <c r="I48" s="2757">
        <f t="shared" si="16"/>
        <v>43770</v>
      </c>
      <c r="J48" s="2757">
        <f t="shared" si="16"/>
        <v>43739</v>
      </c>
      <c r="K48" s="2757">
        <f t="shared" si="16"/>
        <v>43709</v>
      </c>
      <c r="L48" s="2757">
        <f t="shared" si="16"/>
        <v>43678</v>
      </c>
      <c r="M48" s="2757">
        <f t="shared" si="16"/>
        <v>43647</v>
      </c>
      <c r="N48" s="2757">
        <f t="shared" si="16"/>
        <v>43617</v>
      </c>
      <c r="O48" s="2757">
        <f t="shared" si="16"/>
        <v>43586</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4">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2555</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2556</v>
      </c>
      <c r="C67" s="2560" t="s">
        <v>2557</v>
      </c>
      <c r="D67" s="2560" t="s">
        <v>2558</v>
      </c>
      <c r="E67" s="2560" t="s">
        <v>2559</v>
      </c>
      <c r="F67" s="2560" t="s">
        <v>2560</v>
      </c>
      <c r="G67" s="2560" t="s">
        <v>2561</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6">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受贵公司委托，我公司对山东省青岛市胶州市出让国有建设用地使用权抵押价格进行了预评估。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111957.3平方米。</v>
      </c>
    </row>
    <row r="7" spans="1:4" ht="93.75">
      <c r="A7" s="2826" t="s">
        <v>2745</v>
      </c>
    </row>
    <row r="8" spans="1:4" ht="18.75">
      <c r="A8" s="1777" t="s">
        <v>1906</v>
      </c>
    </row>
    <row r="9" spans="1:4" ht="75">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2020年5月21日（评估专业人员勘察现场之日）</v>
      </c>
    </row>
    <row r="12" spans="1:4" ht="18.75">
      <c r="A12" s="1780" t="s">
        <v>2023</v>
      </c>
    </row>
    <row r="13" spans="1:4" ht="18.75">
      <c r="A13" s="1774" t="s">
        <v>2069</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根据《国有土地使用证》[]，估价对象（分摊）出让国有建设用地使用权面积为53313平方米。根据《建设工程规划许可证》[]、《出让合同》[]，估价对象规划建筑面积为111957.3平方米。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8" t="s">
        <v>2746</v>
      </c>
    </row>
    <row r="24" spans="1:1" ht="18.75">
      <c r="A24" s="1774" t="s">
        <v>2073</v>
      </c>
    </row>
    <row r="25" spans="1:1" ht="75">
      <c r="A25" s="1774" t="str">
        <f>定义!C53</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392" t="s">
        <v>798</v>
      </c>
      <c r="D4" s="3393"/>
      <c r="E4" s="3417" t="s">
        <v>799</v>
      </c>
      <c r="F4" s="3418"/>
      <c r="G4" s="3392" t="s">
        <v>800</v>
      </c>
      <c r="H4" s="3393"/>
      <c r="I4" s="3392" t="s">
        <v>801</v>
      </c>
      <c r="J4" s="3393"/>
      <c r="K4" s="514" t="s">
        <v>802</v>
      </c>
      <c r="L4" s="2116"/>
      <c r="M4" s="2117"/>
      <c r="N4" s="2117"/>
      <c r="O4" s="2117"/>
      <c r="P4" s="3394" t="s">
        <v>803</v>
      </c>
      <c r="Q4" s="3395"/>
      <c r="R4" s="3380" t="s">
        <v>799</v>
      </c>
      <c r="S4" s="3381"/>
      <c r="T4" s="3380" t="s">
        <v>800</v>
      </c>
      <c r="U4" s="3381"/>
      <c r="V4" s="3400" t="s">
        <v>801</v>
      </c>
      <c r="W4" s="3400"/>
      <c r="X4" s="1551"/>
      <c r="Y4" s="3380" t="s">
        <v>803</v>
      </c>
      <c r="Z4" s="3381"/>
      <c r="AA4" s="3375" t="s">
        <v>799</v>
      </c>
      <c r="AB4" s="3376" t="s">
        <v>800</v>
      </c>
      <c r="AC4" s="3375" t="s">
        <v>801</v>
      </c>
    </row>
    <row r="5" spans="1:29" ht="15">
      <c r="A5" s="515"/>
      <c r="B5" s="516"/>
      <c r="C5" s="3405" t="s">
        <v>2918</v>
      </c>
      <c r="D5" s="3404"/>
      <c r="E5" s="3419" t="s">
        <v>2919</v>
      </c>
      <c r="F5" s="3420"/>
      <c r="G5" s="3405" t="s">
        <v>2920</v>
      </c>
      <c r="H5" s="3404"/>
      <c r="I5" s="3405" t="s">
        <v>2921</v>
      </c>
      <c r="J5" s="3404"/>
      <c r="K5" s="514"/>
      <c r="L5" s="2116"/>
      <c r="M5" s="2117"/>
      <c r="N5" s="2117"/>
      <c r="O5" s="2117"/>
      <c r="P5" s="3396"/>
      <c r="Q5" s="3397"/>
      <c r="R5" s="3382"/>
      <c r="S5" s="3383"/>
      <c r="T5" s="3382"/>
      <c r="U5" s="3383"/>
      <c r="V5" s="3400"/>
      <c r="W5" s="3400"/>
      <c r="X5" s="1551"/>
      <c r="Y5" s="3382"/>
      <c r="Z5" s="3383"/>
      <c r="AA5" s="3376"/>
      <c r="AB5" s="3376"/>
      <c r="AC5" s="3376"/>
    </row>
    <row r="6" spans="1:29" ht="15.75" thickBot="1">
      <c r="A6" s="517"/>
      <c r="B6" s="518"/>
      <c r="C6" s="3401" t="s">
        <v>2922</v>
      </c>
      <c r="D6" s="3402"/>
      <c r="E6" s="3421" t="s">
        <v>2922</v>
      </c>
      <c r="F6" s="3422"/>
      <c r="G6" s="3401" t="s">
        <v>2922</v>
      </c>
      <c r="H6" s="3402"/>
      <c r="I6" s="3401" t="s">
        <v>2922</v>
      </c>
      <c r="J6" s="3402"/>
      <c r="K6" s="514" t="s">
        <v>528</v>
      </c>
      <c r="L6" s="2116"/>
      <c r="M6" s="2117"/>
      <c r="N6" s="2117"/>
      <c r="O6" s="2117"/>
      <c r="P6" s="3398"/>
      <c r="Q6" s="3399"/>
      <c r="R6" s="3382"/>
      <c r="S6" s="3383"/>
      <c r="T6" s="3384"/>
      <c r="U6" s="3385"/>
      <c r="V6" s="3400"/>
      <c r="W6" s="3400"/>
      <c r="X6" s="1551"/>
      <c r="Y6" s="3384"/>
      <c r="Z6" s="3385"/>
      <c r="AA6" s="3377"/>
      <c r="AB6" s="3377"/>
      <c r="AC6" s="3377"/>
    </row>
    <row r="7" spans="1:29" s="1215" customFormat="1" ht="15.75" thickBot="1">
      <c r="A7" s="2864"/>
      <c r="B7" s="2871" t="s">
        <v>529</v>
      </c>
      <c r="C7" s="519">
        <f>'数据-取费表'!B2</f>
        <v>43972</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78" t="s">
        <v>530</v>
      </c>
      <c r="Q7" s="3387"/>
      <c r="R7" s="1552" t="s">
        <v>8</v>
      </c>
      <c r="S7" s="1553">
        <f t="shared" ref="S7:S14" si="0">F7</f>
        <v>0</v>
      </c>
      <c r="T7" s="1552" t="s">
        <v>8</v>
      </c>
      <c r="U7" s="1553">
        <f t="shared" ref="U7:U14" si="1">H7</f>
        <v>0</v>
      </c>
      <c r="V7" s="1552" t="s">
        <v>8</v>
      </c>
      <c r="W7" s="1553">
        <f t="shared" ref="W7:W14" si="2">J7</f>
        <v>0</v>
      </c>
      <c r="X7" s="1554"/>
      <c r="Y7" s="3378" t="s">
        <v>530</v>
      </c>
      <c r="Z7" s="3379"/>
      <c r="AA7" s="1555" t="e">
        <f>D7/F7</f>
        <v>#DIV/0!</v>
      </c>
      <c r="AB7" s="1555" t="e">
        <f>D7/H7</f>
        <v>#DIV/0!</v>
      </c>
      <c r="AC7" s="1555"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78" t="s">
        <v>533</v>
      </c>
      <c r="Q8" s="3379"/>
      <c r="R8" s="1552" t="s">
        <v>8</v>
      </c>
      <c r="S8" s="1553">
        <f t="shared" si="0"/>
        <v>0</v>
      </c>
      <c r="T8" s="1552" t="s">
        <v>8</v>
      </c>
      <c r="U8" s="1553">
        <f t="shared" si="1"/>
        <v>0</v>
      </c>
      <c r="V8" s="1552" t="s">
        <v>8</v>
      </c>
      <c r="W8" s="1553">
        <f t="shared" si="2"/>
        <v>0</v>
      </c>
      <c r="X8" s="1554"/>
      <c r="Y8" s="3378" t="s">
        <v>533</v>
      </c>
      <c r="Z8" s="3379"/>
      <c r="AA8" s="1555" t="e">
        <f t="shared" ref="AA8:AA34" si="3">D8/F8</f>
        <v>#DIV/0!</v>
      </c>
      <c r="AB8" s="1555" t="e">
        <f t="shared" ref="AB8:AB34" si="4">D8/H8</f>
        <v>#DIV/0!</v>
      </c>
      <c r="AC8" s="1555" t="e">
        <f t="shared" ref="AC8:AC34" si="5">D8/J8</f>
        <v>#DIV/0!</v>
      </c>
    </row>
    <row r="9" spans="1:29" s="1215" customFormat="1" ht="15">
      <c r="A9" s="2866"/>
      <c r="B9" s="2873"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86" t="s">
        <v>535</v>
      </c>
      <c r="Q9" s="1146" t="str">
        <f t="shared" ref="Q9:Q14" si="6">B9</f>
        <v>用途</v>
      </c>
      <c r="R9" s="1552" t="s">
        <v>8</v>
      </c>
      <c r="S9" s="1553">
        <f t="shared" si="0"/>
        <v>100</v>
      </c>
      <c r="T9" s="1552" t="s">
        <v>8</v>
      </c>
      <c r="U9" s="1553">
        <f t="shared" si="1"/>
        <v>100</v>
      </c>
      <c r="V9" s="1552" t="s">
        <v>8</v>
      </c>
      <c r="W9" s="1553">
        <f t="shared" si="2"/>
        <v>100</v>
      </c>
      <c r="X9" s="1554"/>
      <c r="Y9" s="3343" t="s">
        <v>536</v>
      </c>
      <c r="Z9" s="1145" t="str">
        <f t="shared" ref="Z9:Z14" si="7">Q9</f>
        <v>用途</v>
      </c>
      <c r="AA9" s="1555">
        <f t="shared" si="3"/>
        <v>1</v>
      </c>
      <c r="AB9" s="1555">
        <f t="shared" si="4"/>
        <v>1</v>
      </c>
      <c r="AC9" s="1555">
        <f t="shared" si="5"/>
        <v>1</v>
      </c>
    </row>
    <row r="10" spans="1:29" s="1333" customFormat="1" ht="27">
      <c r="A10" s="2867"/>
      <c r="B10" s="2872"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86"/>
      <c r="Q10" s="1146" t="str">
        <f t="shared" si="6"/>
        <v>土地使用年限（年）</v>
      </c>
      <c r="R10" s="1552" t="s">
        <v>8</v>
      </c>
      <c r="S10" s="1553">
        <f t="shared" si="0"/>
        <v>100</v>
      </c>
      <c r="T10" s="1552" t="s">
        <v>8</v>
      </c>
      <c r="U10" s="1553">
        <f t="shared" si="1"/>
        <v>100</v>
      </c>
      <c r="V10" s="1552" t="s">
        <v>8</v>
      </c>
      <c r="W10" s="1553">
        <f t="shared" si="2"/>
        <v>100</v>
      </c>
      <c r="X10" s="1554"/>
      <c r="Y10" s="3343"/>
      <c r="Z10" s="1145" t="str">
        <f t="shared" si="7"/>
        <v>土地使用年限（年）</v>
      </c>
      <c r="AA10" s="1555">
        <f t="shared" si="3"/>
        <v>1</v>
      </c>
      <c r="AB10" s="1555">
        <f t="shared" si="4"/>
        <v>1</v>
      </c>
      <c r="AC10" s="1555">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3"/>
      <c r="M11" s="2117"/>
      <c r="N11" s="2117"/>
      <c r="O11" s="2124"/>
      <c r="P11" s="3386"/>
      <c r="Q11" s="1146">
        <f t="shared" si="6"/>
        <v>111</v>
      </c>
      <c r="R11" s="1552" t="s">
        <v>8</v>
      </c>
      <c r="S11" s="1553">
        <f t="shared" si="0"/>
        <v>100</v>
      </c>
      <c r="T11" s="1552" t="s">
        <v>8</v>
      </c>
      <c r="U11" s="1553">
        <f t="shared" si="1"/>
        <v>100</v>
      </c>
      <c r="V11" s="1552" t="s">
        <v>8</v>
      </c>
      <c r="W11" s="1553">
        <f t="shared" si="2"/>
        <v>100</v>
      </c>
      <c r="X11" s="1554"/>
      <c r="Y11" s="3343"/>
      <c r="Z11" s="1145">
        <f t="shared" si="7"/>
        <v>111</v>
      </c>
      <c r="AA11" s="1555">
        <f t="shared" si="3"/>
        <v>1</v>
      </c>
      <c r="AB11" s="1555">
        <f t="shared" si="4"/>
        <v>1</v>
      </c>
      <c r="AC11" s="1555">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8"/>
      <c r="M12" s="2119"/>
      <c r="N12" s="2119"/>
      <c r="O12" s="2120"/>
      <c r="P12" s="3386"/>
      <c r="Q12" s="1146">
        <f t="shared" si="6"/>
        <v>111</v>
      </c>
      <c r="R12" s="1552" t="s">
        <v>8</v>
      </c>
      <c r="S12" s="1553">
        <f t="shared" si="0"/>
        <v>100</v>
      </c>
      <c r="T12" s="1552" t="s">
        <v>8</v>
      </c>
      <c r="U12" s="1553">
        <f t="shared" si="1"/>
        <v>100</v>
      </c>
      <c r="V12" s="1552" t="s">
        <v>8</v>
      </c>
      <c r="W12" s="1553">
        <f t="shared" si="2"/>
        <v>100</v>
      </c>
      <c r="X12" s="1554"/>
      <c r="Y12" s="3343"/>
      <c r="Z12" s="1145">
        <f t="shared" si="7"/>
        <v>111</v>
      </c>
      <c r="AA12" s="1555">
        <f>D12/F12</f>
        <v>1</v>
      </c>
      <c r="AB12" s="1555">
        <f>D12/H12</f>
        <v>1</v>
      </c>
      <c r="AC12" s="1555">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5"/>
      <c r="M13" s="2117"/>
      <c r="N13" s="2117"/>
      <c r="O13" s="2124"/>
      <c r="P13" s="3386"/>
      <c r="Q13" s="1146">
        <f t="shared" si="6"/>
        <v>111</v>
      </c>
      <c r="R13" s="1552" t="s">
        <v>8</v>
      </c>
      <c r="S13" s="1553">
        <f t="shared" si="0"/>
        <v>100</v>
      </c>
      <c r="T13" s="1552" t="s">
        <v>8</v>
      </c>
      <c r="U13" s="1553">
        <f t="shared" si="1"/>
        <v>100</v>
      </c>
      <c r="V13" s="1552" t="s">
        <v>8</v>
      </c>
      <c r="W13" s="1553">
        <f t="shared" si="2"/>
        <v>100</v>
      </c>
      <c r="X13" s="1554"/>
      <c r="Y13" s="3343"/>
      <c r="Z13" s="1145">
        <f t="shared" si="7"/>
        <v>111</v>
      </c>
      <c r="AA13" s="1555">
        <f t="shared" si="3"/>
        <v>1</v>
      </c>
      <c r="AB13" s="1555">
        <f t="shared" si="4"/>
        <v>1</v>
      </c>
      <c r="AC13" s="1555">
        <f t="shared" si="5"/>
        <v>1</v>
      </c>
    </row>
    <row r="14" spans="1:29" ht="15">
      <c r="A14" s="2862" t="s">
        <v>2751</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5"/>
      <c r="M14" s="2117"/>
      <c r="N14" s="2117"/>
      <c r="O14" s="2124"/>
      <c r="P14" s="3388" t="s">
        <v>540</v>
      </c>
      <c r="Q14" s="1556" t="str">
        <f t="shared" si="6"/>
        <v>交通便捷度</v>
      </c>
      <c r="R14" s="1557" t="s">
        <v>8</v>
      </c>
      <c r="S14" s="1558">
        <f t="shared" si="0"/>
        <v>100</v>
      </c>
      <c r="T14" s="1557" t="s">
        <v>8</v>
      </c>
      <c r="U14" s="1558">
        <f t="shared" si="1"/>
        <v>100</v>
      </c>
      <c r="V14" s="1557" t="s">
        <v>8</v>
      </c>
      <c r="W14" s="1558">
        <f t="shared" si="2"/>
        <v>100</v>
      </c>
      <c r="X14" s="1551"/>
      <c r="Y14" s="3388"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8"/>
      <c r="L15" s="2125"/>
      <c r="M15" s="2117"/>
      <c r="N15" s="2117"/>
      <c r="O15" s="2124"/>
      <c r="P15" s="3389"/>
      <c r="Q15" s="1556"/>
      <c r="R15" s="1557"/>
      <c r="S15" s="1558"/>
      <c r="T15" s="1557"/>
      <c r="U15" s="1558"/>
      <c r="V15" s="1557"/>
      <c r="W15" s="1558"/>
      <c r="X15" s="1551"/>
      <c r="Y15" s="3389"/>
      <c r="Z15" s="1559"/>
      <c r="AA15" s="1560">
        <v>1</v>
      </c>
      <c r="AB15" s="1560">
        <v>1</v>
      </c>
      <c r="AC15" s="1560">
        <v>1</v>
      </c>
    </row>
    <row r="16" spans="1:29" ht="15">
      <c r="A16" s="532"/>
      <c r="B16" s="2565"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5"/>
      <c r="M16" s="2117"/>
      <c r="N16" s="2117"/>
      <c r="O16" s="2124"/>
      <c r="P16" s="3389"/>
      <c r="Q16" s="1556" t="str">
        <f>B16</f>
        <v>公共配套设施</v>
      </c>
      <c r="R16" s="1557" t="s">
        <v>8</v>
      </c>
      <c r="S16" s="1558">
        <f>F16</f>
        <v>100</v>
      </c>
      <c r="T16" s="1557" t="s">
        <v>8</v>
      </c>
      <c r="U16" s="1558">
        <f>H16</f>
        <v>100</v>
      </c>
      <c r="V16" s="1557" t="s">
        <v>8</v>
      </c>
      <c r="W16" s="1558">
        <f>J16</f>
        <v>100</v>
      </c>
      <c r="X16" s="1551"/>
      <c r="Y16" s="3389"/>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8"/>
      <c r="L17" s="2125"/>
      <c r="M17" s="2117"/>
      <c r="N17" s="2117"/>
      <c r="O17" s="2124"/>
      <c r="P17" s="3389"/>
      <c r="Q17" s="1556"/>
      <c r="R17" s="1557"/>
      <c r="S17" s="1558"/>
      <c r="T17" s="1557"/>
      <c r="U17" s="1558"/>
      <c r="V17" s="1557"/>
      <c r="W17" s="1558"/>
      <c r="X17" s="1551"/>
      <c r="Y17" s="3389"/>
      <c r="Z17" s="1559"/>
      <c r="AA17" s="1560">
        <v>1</v>
      </c>
      <c r="AB17" s="1560">
        <v>1</v>
      </c>
      <c r="AC17" s="1560">
        <v>1</v>
      </c>
    </row>
    <row r="18" spans="1:29" ht="15">
      <c r="A18" s="532"/>
      <c r="B18" s="2553"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5"/>
      <c r="M18" s="2117"/>
      <c r="N18" s="2117"/>
      <c r="O18" s="2124"/>
      <c r="P18" s="3389"/>
      <c r="Q18" s="2541" t="str">
        <f>B18</f>
        <v>基础设施水平</v>
      </c>
      <c r="R18" s="1557" t="s">
        <v>8</v>
      </c>
      <c r="S18" s="1558">
        <f>F18</f>
        <v>100</v>
      </c>
      <c r="T18" s="1557" t="s">
        <v>8</v>
      </c>
      <c r="U18" s="1558">
        <f>H18</f>
        <v>100</v>
      </c>
      <c r="V18" s="1557" t="s">
        <v>8</v>
      </c>
      <c r="W18" s="1558">
        <f>J18</f>
        <v>100</v>
      </c>
      <c r="X18" s="2543"/>
      <c r="Y18" s="3389"/>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389"/>
      <c r="Q19" s="2541"/>
      <c r="R19" s="1557"/>
      <c r="S19" s="1558"/>
      <c r="T19" s="1557"/>
      <c r="U19" s="1558"/>
      <c r="V19" s="1557"/>
      <c r="W19" s="1558"/>
      <c r="X19" s="2543"/>
      <c r="Y19" s="3389"/>
      <c r="Z19" s="2542"/>
      <c r="AA19" s="1560">
        <v>1</v>
      </c>
      <c r="AB19" s="1560">
        <v>1</v>
      </c>
      <c r="AC19" s="1560">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5"/>
      <c r="M20" s="2117"/>
      <c r="N20" s="2117"/>
      <c r="O20" s="2124"/>
      <c r="P20" s="3389"/>
      <c r="Q20" s="1556" t="str">
        <f>B20</f>
        <v>自然及人文环境</v>
      </c>
      <c r="R20" s="1557" t="s">
        <v>8</v>
      </c>
      <c r="S20" s="1558">
        <f>F20</f>
        <v>100</v>
      </c>
      <c r="T20" s="1557" t="s">
        <v>8</v>
      </c>
      <c r="U20" s="1558">
        <f>H20</f>
        <v>100</v>
      </c>
      <c r="V20" s="1557" t="s">
        <v>8</v>
      </c>
      <c r="W20" s="1558">
        <f>J20</f>
        <v>100</v>
      </c>
      <c r="X20" s="1551"/>
      <c r="Y20" s="3389"/>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8"/>
      <c r="L21" s="2125"/>
      <c r="M21" s="2117"/>
      <c r="N21" s="2117"/>
      <c r="O21" s="2124"/>
      <c r="P21" s="3389"/>
      <c r="Q21" s="1556"/>
      <c r="R21" s="1557"/>
      <c r="S21" s="1558"/>
      <c r="T21" s="1557"/>
      <c r="U21" s="1558"/>
      <c r="V21" s="1557"/>
      <c r="W21" s="1558"/>
      <c r="X21" s="1551"/>
      <c r="Y21" s="3389"/>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389"/>
      <c r="Q22" s="1556" t="str">
        <f>B22</f>
        <v>楼层</v>
      </c>
      <c r="R22" s="1557" t="s">
        <v>8</v>
      </c>
      <c r="S22" s="1558">
        <f>F22</f>
        <v>100</v>
      </c>
      <c r="T22" s="1557" t="s">
        <v>8</v>
      </c>
      <c r="U22" s="1558">
        <f>H22</f>
        <v>100</v>
      </c>
      <c r="V22" s="1557" t="s">
        <v>8</v>
      </c>
      <c r="W22" s="1558">
        <f>J22</f>
        <v>100</v>
      </c>
      <c r="X22" s="1551"/>
      <c r="Y22" s="3389"/>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389"/>
      <c r="Q23" s="1556">
        <f>B23</f>
        <v>111</v>
      </c>
      <c r="R23" s="1557" t="s">
        <v>8</v>
      </c>
      <c r="S23" s="1558">
        <f>F23</f>
        <v>100</v>
      </c>
      <c r="T23" s="1557" t="s">
        <v>8</v>
      </c>
      <c r="U23" s="1558">
        <f>H23</f>
        <v>100</v>
      </c>
      <c r="V23" s="1557" t="s">
        <v>8</v>
      </c>
      <c r="W23" s="1558">
        <f>J23</f>
        <v>100</v>
      </c>
      <c r="X23" s="1551"/>
      <c r="Y23" s="3389"/>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389"/>
      <c r="Q24" s="1556">
        <f t="shared" ref="Q24:Q34" si="11">B24</f>
        <v>111</v>
      </c>
      <c r="R24" s="1557" t="s">
        <v>8</v>
      </c>
      <c r="S24" s="1558">
        <f>F24</f>
        <v>100</v>
      </c>
      <c r="T24" s="1557" t="s">
        <v>8</v>
      </c>
      <c r="U24" s="1558">
        <f>H24</f>
        <v>100</v>
      </c>
      <c r="V24" s="1557" t="s">
        <v>8</v>
      </c>
      <c r="W24" s="1558">
        <f>J24</f>
        <v>100</v>
      </c>
      <c r="X24" s="1551"/>
      <c r="Y24" s="3389"/>
      <c r="Z24" s="1559">
        <f>Q24</f>
        <v>111</v>
      </c>
      <c r="AA24" s="1560">
        <f t="shared" si="3"/>
        <v>1</v>
      </c>
      <c r="AB24" s="1560">
        <f t="shared" si="4"/>
        <v>1</v>
      </c>
      <c r="AC24" s="1560">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8"/>
      <c r="M25" s="2119"/>
      <c r="N25" s="2119"/>
      <c r="O25" s="2120"/>
      <c r="P25" s="3389"/>
      <c r="Q25" s="1146">
        <f t="shared" si="11"/>
        <v>111</v>
      </c>
      <c r="R25" s="1552" t="s">
        <v>8</v>
      </c>
      <c r="S25" s="1553">
        <f>F25</f>
        <v>100</v>
      </c>
      <c r="T25" s="1552" t="s">
        <v>8</v>
      </c>
      <c r="U25" s="1553">
        <f>H25</f>
        <v>100</v>
      </c>
      <c r="V25" s="1552" t="s">
        <v>8</v>
      </c>
      <c r="W25" s="1553">
        <f>J25</f>
        <v>100</v>
      </c>
      <c r="X25" s="1554"/>
      <c r="Y25" s="3389"/>
      <c r="Z25" s="1145">
        <f>Q25</f>
        <v>111</v>
      </c>
      <c r="AA25" s="1560">
        <f>D25/F25</f>
        <v>1</v>
      </c>
      <c r="AB25" s="1560">
        <f>D25/H25</f>
        <v>1</v>
      </c>
      <c r="AC25" s="1560">
        <f>D25/J25</f>
        <v>1</v>
      </c>
    </row>
    <row r="26" spans="1:29" ht="15">
      <c r="A26" s="2860"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5"/>
      <c r="M26" s="2117"/>
      <c r="N26" s="2117"/>
      <c r="O26" s="2124"/>
      <c r="P26" s="3390"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391" t="s">
        <v>821</v>
      </c>
      <c r="Z26" s="1559" t="str">
        <f t="shared" ref="Z26:Z34" si="15">Q26</f>
        <v>公共部分装修</v>
      </c>
      <c r="AA26" s="1560">
        <f t="shared" si="3"/>
        <v>1</v>
      </c>
      <c r="AB26" s="1560">
        <f t="shared" si="4"/>
        <v>1</v>
      </c>
      <c r="AC26" s="1560">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3"/>
      <c r="M27" s="2154"/>
      <c r="N27" s="2154"/>
      <c r="O27" s="2126"/>
      <c r="P27" s="3391"/>
      <c r="Q27" s="1588" t="str">
        <f t="shared" si="11"/>
        <v>成新率</v>
      </c>
      <c r="R27" s="1561" t="s">
        <v>8</v>
      </c>
      <c r="S27" s="1562" t="e">
        <f t="shared" si="12"/>
        <v>#N/A</v>
      </c>
      <c r="T27" s="1561" t="s">
        <v>8</v>
      </c>
      <c r="U27" s="1562" t="e">
        <f t="shared" si="13"/>
        <v>#N/A</v>
      </c>
      <c r="V27" s="1561" t="s">
        <v>8</v>
      </c>
      <c r="W27" s="1562" t="e">
        <f t="shared" si="14"/>
        <v>#N/A</v>
      </c>
      <c r="X27" s="1563"/>
      <c r="Y27" s="3391"/>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391"/>
      <c r="Q28" s="1556" t="str">
        <f t="shared" si="11"/>
        <v>物业等级</v>
      </c>
      <c r="R28" s="1557" t="s">
        <v>8</v>
      </c>
      <c r="S28" s="1558">
        <f t="shared" si="12"/>
        <v>100</v>
      </c>
      <c r="T28" s="1557" t="s">
        <v>8</v>
      </c>
      <c r="U28" s="1558">
        <f t="shared" si="13"/>
        <v>100</v>
      </c>
      <c r="V28" s="1557" t="s">
        <v>8</v>
      </c>
      <c r="W28" s="1558">
        <f t="shared" si="14"/>
        <v>100</v>
      </c>
      <c r="X28" s="1551"/>
      <c r="Y28" s="3391"/>
      <c r="Z28" s="1559" t="str">
        <f t="shared" si="15"/>
        <v>物业等级</v>
      </c>
      <c r="AA28" s="1560">
        <f t="shared" si="3"/>
        <v>1</v>
      </c>
      <c r="AB28" s="1560">
        <f t="shared" si="4"/>
        <v>1</v>
      </c>
      <c r="AC28" s="1560">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5"/>
      <c r="M29" s="2117"/>
      <c r="N29" s="2117"/>
      <c r="O29" s="2124"/>
      <c r="P29" s="3391"/>
      <c r="Q29" s="1556" t="str">
        <f t="shared" si="11"/>
        <v>有无电梯</v>
      </c>
      <c r="R29" s="1557" t="s">
        <v>8</v>
      </c>
      <c r="S29" s="1558">
        <f t="shared" si="12"/>
        <v>100</v>
      </c>
      <c r="T29" s="1557" t="s">
        <v>8</v>
      </c>
      <c r="U29" s="1558">
        <f t="shared" si="13"/>
        <v>100</v>
      </c>
      <c r="V29" s="1557" t="s">
        <v>8</v>
      </c>
      <c r="W29" s="1558">
        <f t="shared" si="14"/>
        <v>100</v>
      </c>
      <c r="X29" s="1551"/>
      <c r="Y29" s="3391"/>
      <c r="Z29" s="1559" t="str">
        <f t="shared" si="15"/>
        <v>有无电梯</v>
      </c>
      <c r="AA29" s="1560">
        <f t="shared" si="3"/>
        <v>1</v>
      </c>
      <c r="AB29" s="1560">
        <f t="shared" si="4"/>
        <v>1</v>
      </c>
      <c r="AC29" s="1560">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5"/>
      <c r="M30" s="2117"/>
      <c r="N30" s="2117"/>
      <c r="O30" s="2124"/>
      <c r="P30" s="3391"/>
      <c r="Q30" s="1556" t="str">
        <f t="shared" si="11"/>
        <v>建筑面积</v>
      </c>
      <c r="R30" s="1557" t="s">
        <v>8</v>
      </c>
      <c r="S30" s="1558" t="e">
        <f t="shared" si="12"/>
        <v>#N/A</v>
      </c>
      <c r="T30" s="1557" t="s">
        <v>8</v>
      </c>
      <c r="U30" s="1558" t="e">
        <f t="shared" si="13"/>
        <v>#N/A</v>
      </c>
      <c r="V30" s="1557" t="s">
        <v>8</v>
      </c>
      <c r="W30" s="1558" t="e">
        <f t="shared" si="14"/>
        <v>#N/A</v>
      </c>
      <c r="X30" s="1551"/>
      <c r="Y30" s="3391"/>
      <c r="Z30" s="1559" t="str">
        <f t="shared" si="15"/>
        <v>建筑面积</v>
      </c>
      <c r="AA30" s="1560" t="e">
        <f t="shared" si="3"/>
        <v>#N/A</v>
      </c>
      <c r="AB30" s="1560" t="e">
        <f t="shared" si="4"/>
        <v>#N/A</v>
      </c>
      <c r="AC30" s="1560"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8"/>
      <c r="M31" s="2119"/>
      <c r="N31" s="2119"/>
      <c r="O31" s="2120"/>
      <c r="P31" s="3391"/>
      <c r="Q31" s="1146" t="str">
        <f t="shared" si="11"/>
        <v>是否封闭</v>
      </c>
      <c r="R31" s="1552" t="s">
        <v>8</v>
      </c>
      <c r="S31" s="1553">
        <f t="shared" si="12"/>
        <v>100</v>
      </c>
      <c r="T31" s="1552" t="s">
        <v>8</v>
      </c>
      <c r="U31" s="1553">
        <f t="shared" si="13"/>
        <v>100</v>
      </c>
      <c r="V31" s="1552" t="s">
        <v>8</v>
      </c>
      <c r="W31" s="1553">
        <f t="shared" si="14"/>
        <v>100</v>
      </c>
      <c r="X31" s="1554"/>
      <c r="Y31" s="3391"/>
      <c r="Z31" s="1145" t="str">
        <f t="shared" si="15"/>
        <v>是否封闭</v>
      </c>
      <c r="AA31" s="1555">
        <f t="shared" si="3"/>
        <v>1</v>
      </c>
      <c r="AB31" s="1555">
        <f t="shared" si="4"/>
        <v>1</v>
      </c>
      <c r="AC31" s="1555">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5"/>
      <c r="M32" s="2117"/>
      <c r="N32" s="2117"/>
      <c r="O32" s="2124"/>
      <c r="P32" s="3391" t="s">
        <v>550</v>
      </c>
      <c r="Q32" s="1556">
        <f t="shared" si="11"/>
        <v>111</v>
      </c>
      <c r="R32" s="1557" t="s">
        <v>8</v>
      </c>
      <c r="S32" s="1558">
        <f t="shared" si="12"/>
        <v>100</v>
      </c>
      <c r="T32" s="1557" t="s">
        <v>8</v>
      </c>
      <c r="U32" s="1558">
        <f t="shared" si="13"/>
        <v>100</v>
      </c>
      <c r="V32" s="1557" t="s">
        <v>8</v>
      </c>
      <c r="W32" s="1558">
        <f t="shared" si="14"/>
        <v>100</v>
      </c>
      <c r="X32" s="1551"/>
      <c r="Y32" s="3391" t="s">
        <v>550</v>
      </c>
      <c r="Z32" s="1559">
        <f t="shared" si="15"/>
        <v>111</v>
      </c>
      <c r="AA32" s="1560">
        <f t="shared" si="3"/>
        <v>1</v>
      </c>
      <c r="AB32" s="1560">
        <f t="shared" si="4"/>
        <v>1</v>
      </c>
      <c r="AC32" s="1560">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5"/>
      <c r="M33" s="2117"/>
      <c r="N33" s="2117"/>
      <c r="O33" s="2124"/>
      <c r="P33" s="3391"/>
      <c r="Q33" s="1556">
        <f t="shared" si="11"/>
        <v>111</v>
      </c>
      <c r="R33" s="1557" t="s">
        <v>8</v>
      </c>
      <c r="S33" s="1558">
        <f t="shared" si="12"/>
        <v>100</v>
      </c>
      <c r="T33" s="1557" t="s">
        <v>8</v>
      </c>
      <c r="U33" s="1558">
        <f t="shared" si="13"/>
        <v>100</v>
      </c>
      <c r="V33" s="1557" t="s">
        <v>8</v>
      </c>
      <c r="W33" s="1558">
        <f t="shared" si="14"/>
        <v>100</v>
      </c>
      <c r="X33" s="1551"/>
      <c r="Y33" s="3391"/>
      <c r="Z33" s="1559">
        <f t="shared" si="15"/>
        <v>111</v>
      </c>
      <c r="AA33" s="1560">
        <f t="shared" si="3"/>
        <v>1</v>
      </c>
      <c r="AB33" s="1560">
        <f t="shared" si="4"/>
        <v>1</v>
      </c>
      <c r="AC33" s="1560">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5"/>
      <c r="M34" s="2117"/>
      <c r="N34" s="2117"/>
      <c r="O34" s="2124"/>
      <c r="P34" s="3391"/>
      <c r="Q34" s="1556">
        <f t="shared" si="11"/>
        <v>111</v>
      </c>
      <c r="R34" s="1557" t="s">
        <v>8</v>
      </c>
      <c r="S34" s="1558">
        <f t="shared" si="12"/>
        <v>100</v>
      </c>
      <c r="T34" s="1557" t="s">
        <v>8</v>
      </c>
      <c r="U34" s="1558">
        <f t="shared" si="13"/>
        <v>100</v>
      </c>
      <c r="V34" s="1557" t="s">
        <v>8</v>
      </c>
      <c r="W34" s="1558">
        <f t="shared" si="14"/>
        <v>100</v>
      </c>
      <c r="X34" s="1551"/>
      <c r="Y34" s="3391"/>
      <c r="Z34" s="1559">
        <f t="shared" si="15"/>
        <v>111</v>
      </c>
      <c r="AA34" s="1560">
        <f t="shared" si="3"/>
        <v>1</v>
      </c>
      <c r="AB34" s="1560">
        <f t="shared" si="4"/>
        <v>1</v>
      </c>
      <c r="AC34" s="1560">
        <f t="shared" si="5"/>
        <v>1</v>
      </c>
    </row>
    <row r="35" spans="1:29" ht="15">
      <c r="A35" s="607" t="s">
        <v>736</v>
      </c>
      <c r="B35" s="886"/>
      <c r="C35" s="2589" t="s">
        <v>1</v>
      </c>
      <c r="D35" s="2590"/>
      <c r="E35" s="2591"/>
      <c r="F35" s="2592"/>
      <c r="G35" s="2593"/>
      <c r="H35" s="2594"/>
      <c r="I35" s="2591"/>
      <c r="J35" s="2594"/>
      <c r="K35" s="1594"/>
      <c r="L35" s="2127"/>
      <c r="M35" s="2128"/>
      <c r="N35" s="2117"/>
      <c r="O35" s="2128"/>
      <c r="P35" s="3386" t="str">
        <f>A35</f>
        <v>成交单价（元/平方米）</v>
      </c>
      <c r="Q35" s="3386"/>
      <c r="R35" s="3492">
        <f>E35</f>
        <v>0</v>
      </c>
      <c r="S35" s="3492"/>
      <c r="T35" s="3492">
        <f>G35</f>
        <v>0</v>
      </c>
      <c r="U35" s="3492"/>
      <c r="V35" s="3492">
        <f>I35</f>
        <v>0</v>
      </c>
      <c r="W35" s="3492"/>
      <c r="X35" s="1543"/>
      <c r="Y35" s="1565"/>
      <c r="Z35" s="1543"/>
      <c r="AA35" s="1543"/>
      <c r="AB35" s="1543"/>
      <c r="AC35" s="1543"/>
    </row>
    <row r="36" spans="1:29" ht="15.75" thickBot="1">
      <c r="A36" s="615" t="s">
        <v>2757</v>
      </c>
      <c r="B36" s="887"/>
      <c r="C36" s="2595" t="e">
        <f>R37</f>
        <v>#DIV/0!</v>
      </c>
      <c r="D36" s="2596"/>
      <c r="E36" s="2597" t="e">
        <f>R36</f>
        <v>#DIV/0!</v>
      </c>
      <c r="F36" s="2597"/>
      <c r="G36" s="2595" t="e">
        <f>T36</f>
        <v>#DIV/0!</v>
      </c>
      <c r="H36" s="2596"/>
      <c r="I36" s="2597" t="e">
        <f>V36</f>
        <v>#DIV/0!</v>
      </c>
      <c r="J36" s="2596"/>
      <c r="K36" s="1595"/>
      <c r="L36" s="2127"/>
      <c r="M36" s="2128"/>
      <c r="N36" s="2117"/>
      <c r="O36" s="2128"/>
      <c r="P36" s="3386" t="str">
        <f>A36</f>
        <v>比较价格（元/平方米）</v>
      </c>
      <c r="Q36" s="3386"/>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3"/>
      <c r="Y36" s="1543"/>
      <c r="Z36" s="1543"/>
      <c r="AA36" s="1543"/>
      <c r="AB36" s="1543"/>
      <c r="AC36" s="1543"/>
    </row>
    <row r="37" spans="1:29" ht="15.75" thickBot="1">
      <c r="A37" s="621" t="s">
        <v>2924</v>
      </c>
      <c r="B37" s="622"/>
      <c r="C37" s="2598" t="e">
        <f>R37</f>
        <v>#DIV/0!</v>
      </c>
      <c r="D37" s="2598"/>
      <c r="E37" s="2598"/>
      <c r="F37" s="2598"/>
      <c r="G37" s="2598"/>
      <c r="H37" s="2598"/>
      <c r="I37" s="2598"/>
      <c r="J37" s="2598"/>
      <c r="K37" s="1596"/>
      <c r="L37" s="2127"/>
      <c r="M37" s="2128"/>
      <c r="N37" s="2128"/>
      <c r="O37" s="2128"/>
      <c r="P37" s="3408" t="str">
        <f>A37</f>
        <v>估价对象XX用房的比较价格（楼面单价，元/平方米）</v>
      </c>
      <c r="Q37" s="3409"/>
      <c r="R37" s="3491" t="e">
        <f>IF(F1="售价",ROUND(AVERAGE(R36:V36),0),ROUND(AVERAGE(R36:V36),1))</f>
        <v>#DIV/0!</v>
      </c>
      <c r="S37" s="3491"/>
      <c r="T37" s="3491"/>
      <c r="U37" s="3491"/>
      <c r="V37" s="3491"/>
      <c r="W37" s="3491"/>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5" t="s">
        <v>529</v>
      </c>
      <c r="B46" s="646"/>
      <c r="C46" s="2755" t="str">
        <f>YEAR(C7)&amp;"-"&amp;MONTH(C7)</f>
        <v>2020-5</v>
      </c>
      <c r="D46" s="2757">
        <f>EDATE(C46,-1)</f>
        <v>43922</v>
      </c>
      <c r="E46" s="2757">
        <f t="shared" ref="E46:O46" si="16">EDATE(D46,-1)</f>
        <v>43891</v>
      </c>
      <c r="F46" s="2757">
        <f t="shared" si="16"/>
        <v>43862</v>
      </c>
      <c r="G46" s="2757">
        <f t="shared" si="16"/>
        <v>43831</v>
      </c>
      <c r="H46" s="2757">
        <f t="shared" si="16"/>
        <v>43800</v>
      </c>
      <c r="I46" s="2757">
        <f t="shared" si="16"/>
        <v>43770</v>
      </c>
      <c r="J46" s="2757">
        <f t="shared" si="16"/>
        <v>43739</v>
      </c>
      <c r="K46" s="2757">
        <f t="shared" si="16"/>
        <v>43709</v>
      </c>
      <c r="L46" s="2757">
        <f t="shared" si="16"/>
        <v>43678</v>
      </c>
      <c r="M46" s="2757">
        <f t="shared" si="16"/>
        <v>43647</v>
      </c>
      <c r="N46" s="2757">
        <f t="shared" si="16"/>
        <v>43617</v>
      </c>
      <c r="O46" s="2757">
        <f t="shared" si="16"/>
        <v>43586</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4">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2555</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2556</v>
      </c>
      <c r="C65" s="2560" t="s">
        <v>2557</v>
      </c>
      <c r="D65" s="2560" t="s">
        <v>2558</v>
      </c>
      <c r="E65" s="2560" t="s">
        <v>2559</v>
      </c>
      <c r="F65" s="2560" t="s">
        <v>2560</v>
      </c>
      <c r="G65" s="2560" t="s">
        <v>2561</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6">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2301</v>
      </c>
      <c r="C1" s="3501" t="s">
        <v>2302</v>
      </c>
      <c r="D1" s="3502"/>
      <c r="E1" s="3502"/>
      <c r="F1" s="3502"/>
      <c r="G1" s="3502"/>
      <c r="H1" s="3502"/>
      <c r="I1" s="3502"/>
      <c r="J1" s="3502"/>
      <c r="K1" s="3502"/>
      <c r="L1" s="3502"/>
      <c r="M1" s="3502"/>
      <c r="N1" s="3502"/>
      <c r="O1" s="3502"/>
      <c r="P1" s="3502"/>
      <c r="Q1" s="3502"/>
      <c r="R1" s="3502"/>
      <c r="S1" s="3503"/>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2917</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2916</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2915</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2928</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2914</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75">
      <c r="A21" s="959" t="s">
        <v>829</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43972</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2036</v>
      </c>
      <c r="B1" s="3209"/>
      <c r="C1" s="3209"/>
      <c r="D1" s="3209"/>
      <c r="E1" s="3209"/>
      <c r="F1" s="3209"/>
      <c r="G1" s="3209"/>
      <c r="H1" s="3209"/>
      <c r="I1" s="3209"/>
      <c r="J1" s="3209"/>
      <c r="K1" s="3209"/>
      <c r="L1" s="3209"/>
      <c r="M1" s="3209"/>
      <c r="N1" s="3209"/>
      <c r="O1" s="3209"/>
      <c r="P1" s="3209"/>
      <c r="Q1" s="3209"/>
      <c r="R1" s="3209"/>
    </row>
    <row r="2" spans="1:18">
      <c r="A2" s="1790" t="s">
        <v>2038</v>
      </c>
      <c r="B2" s="1790"/>
      <c r="C2" s="1790"/>
      <c r="D2" s="1790"/>
      <c r="E2" s="1790"/>
      <c r="F2" s="1790"/>
      <c r="G2" s="1790"/>
      <c r="H2" s="1790"/>
      <c r="I2" s="1791"/>
      <c r="J2" s="1791"/>
      <c r="K2" s="1792" t="str">
        <f>"估价期日："&amp;TEXT(项目基本情况!D3,"yyyy年m月d日;;")</f>
        <v>估价期日：2020年5月21日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0" t="s">
        <v>2027</v>
      </c>
      <c r="B3" s="3210" t="s">
        <v>2728</v>
      </c>
      <c r="C3" s="3211" t="s">
        <v>2028</v>
      </c>
      <c r="D3" s="3210" t="s">
        <v>2732</v>
      </c>
      <c r="E3" s="3205" t="s">
        <v>2029</v>
      </c>
      <c r="F3" s="3205"/>
      <c r="G3" s="3205"/>
      <c r="H3" s="3205" t="s">
        <v>2030</v>
      </c>
      <c r="I3" s="3205"/>
      <c r="J3" s="3205"/>
      <c r="K3" s="3211" t="s">
        <v>2031</v>
      </c>
      <c r="L3" s="3211" t="s">
        <v>2032</v>
      </c>
      <c r="M3" s="3210" t="s">
        <v>2729</v>
      </c>
      <c r="N3" s="3212" t="str">
        <f>"（分摊）"&amp;项目基本情况!B16&amp;"国有建设用地使用权面积/㎡"</f>
        <v>（分摊）出让国有建设用地使用权面积/㎡</v>
      </c>
      <c r="O3" s="3210" t="s">
        <v>2061</v>
      </c>
      <c r="P3" s="3211" t="s">
        <v>2041</v>
      </c>
      <c r="Q3" s="3211" t="s">
        <v>2062</v>
      </c>
      <c r="R3" s="3211" t="s">
        <v>2033</v>
      </c>
    </row>
    <row r="4" spans="1:18" ht="36.75" customHeight="1">
      <c r="A4" s="3210"/>
      <c r="B4" s="3210"/>
      <c r="C4" s="3211"/>
      <c r="D4" s="3210"/>
      <c r="E4" s="2611" t="s">
        <v>2040</v>
      </c>
      <c r="F4" s="2611" t="s">
        <v>2741</v>
      </c>
      <c r="G4" s="2611" t="s">
        <v>2034</v>
      </c>
      <c r="H4" s="2611" t="s">
        <v>2035</v>
      </c>
      <c r="I4" s="2611" t="s">
        <v>2742</v>
      </c>
      <c r="J4" s="2611" t="s">
        <v>2034</v>
      </c>
      <c r="K4" s="3211"/>
      <c r="L4" s="3211"/>
      <c r="M4" s="3210"/>
      <c r="N4" s="3212"/>
      <c r="O4" s="3210"/>
      <c r="P4" s="3211"/>
      <c r="Q4" s="3211"/>
      <c r="R4" s="3211"/>
    </row>
    <row r="5" spans="1:18" ht="135" customHeight="1">
      <c r="A5" s="1926" t="s">
        <v>2652</v>
      </c>
      <c r="B5" s="2820" t="s">
        <v>2650</v>
      </c>
      <c r="C5" s="2610">
        <v>22</v>
      </c>
      <c r="D5" s="2609" t="s">
        <v>2651</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53313</v>
      </c>
      <c r="O5" s="1793">
        <f>项目基本情况!C21</f>
        <v>111957.3</v>
      </c>
      <c r="P5" s="1793">
        <f ca="1">结果表!E42</f>
        <v>4157</v>
      </c>
      <c r="Q5" s="1793">
        <f ca="1">结果表!D42</f>
        <v>1979</v>
      </c>
      <c r="R5" s="1794">
        <f ca="1">结果表!C42</f>
        <v>22160</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5">
        <f ca="1">结果表!O39</f>
        <v>22160</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5"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3" t="s">
        <v>2063</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2064</v>
      </c>
      <c r="B5" s="3216"/>
      <c r="C5" s="3216"/>
      <c r="D5" s="3216"/>
    </row>
    <row r="6" spans="1:4">
      <c r="A6" s="3213" t="s">
        <v>2042</v>
      </c>
      <c r="B6" s="3213"/>
      <c r="C6" s="3213"/>
      <c r="D6" s="3213"/>
    </row>
    <row r="7" spans="1:4" ht="33" customHeight="1">
      <c r="A7" s="3213" t="s">
        <v>2572</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2066</v>
      </c>
      <c r="B12" s="3216"/>
      <c r="C12" s="3216"/>
      <c r="D12" s="3216"/>
    </row>
    <row r="13" spans="1:4">
      <c r="A13" s="3214" t="s">
        <v>2743</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2699</v>
      </c>
      <c r="B17" s="3213"/>
      <c r="C17" s="3213"/>
      <c r="D17" s="3213"/>
    </row>
    <row r="18" spans="1:4">
      <c r="A18" s="3213" t="s">
        <v>2691</v>
      </c>
      <c r="B18" s="3213"/>
      <c r="C18" s="3213"/>
      <c r="D18" s="3213"/>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3" t="s">
        <v>2696</v>
      </c>
      <c r="B23" s="3213"/>
      <c r="C23" s="3213"/>
      <c r="D23" s="3213"/>
    </row>
    <row r="24" spans="1:4">
      <c r="A24" s="2821" t="s">
        <v>2692</v>
      </c>
      <c r="B24" s="2821" t="s">
        <v>2697</v>
      </c>
      <c r="C24" s="2821" t="s">
        <v>2694</v>
      </c>
      <c r="D24" s="2821" t="s">
        <v>2695</v>
      </c>
    </row>
    <row r="25" spans="1:4">
      <c r="A25" s="2824" t="s">
        <v>2698</v>
      </c>
      <c r="B25" s="2821" t="s">
        <v>952</v>
      </c>
      <c r="C25" s="2823"/>
      <c r="D25" s="1783" t="s">
        <v>2701</v>
      </c>
    </row>
    <row r="29" spans="1:4">
      <c r="D29" s="2822" t="s">
        <v>2037</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5" t="s">
        <v>53</v>
      </c>
      <c r="B15" s="3226" t="s">
        <v>846</v>
      </c>
      <c r="C15" s="3222"/>
    </row>
    <row r="16" spans="1:7" ht="14.25">
      <c r="A16" s="3225"/>
      <c r="B16" s="3223" t="s">
        <v>54</v>
      </c>
      <c r="C16" s="1167" t="s">
        <v>53</v>
      </c>
    </row>
    <row r="17" spans="1:3" ht="14.25">
      <c r="A17" s="3225"/>
      <c r="B17" s="3223"/>
      <c r="C17" s="1167" t="s">
        <v>55</v>
      </c>
    </row>
    <row r="18" spans="1:3" ht="14.25">
      <c r="A18" s="3225"/>
      <c r="B18" s="3223"/>
      <c r="C18" s="1167" t="s">
        <v>56</v>
      </c>
    </row>
    <row r="19" spans="1:3" ht="14.25">
      <c r="A19" s="3225"/>
      <c r="B19" s="3221" t="s">
        <v>57</v>
      </c>
      <c r="C19" s="3222"/>
    </row>
    <row r="20" spans="1:3" ht="14.25">
      <c r="A20" s="1168" t="s">
        <v>58</v>
      </c>
      <c r="B20" s="1169"/>
      <c r="C20" s="1170"/>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1" t="s">
        <v>837</v>
      </c>
    </row>
    <row r="25" spans="1:3" ht="14.25">
      <c r="A25" s="3224"/>
      <c r="B25" s="3228"/>
      <c r="C25" s="1171" t="s">
        <v>838</v>
      </c>
    </row>
    <row r="26" spans="1:3" ht="14.25">
      <c r="A26" s="3224"/>
      <c r="B26" s="3228"/>
      <c r="C26" s="1171" t="s">
        <v>839</v>
      </c>
    </row>
    <row r="27" spans="1:3" ht="14.25">
      <c r="A27" s="3224"/>
      <c r="B27" s="3228"/>
      <c r="C27" s="1171" t="s">
        <v>840</v>
      </c>
    </row>
    <row r="28" spans="1:3" ht="14.25">
      <c r="A28" s="3224"/>
      <c r="B28" s="3228"/>
      <c r="C28" s="1171" t="s">
        <v>841</v>
      </c>
    </row>
    <row r="29" spans="1:3" ht="14.25">
      <c r="A29" s="3224"/>
      <c r="B29" s="3228"/>
      <c r="C29" s="1171" t="s">
        <v>842</v>
      </c>
    </row>
    <row r="30" spans="1:3" ht="14.25">
      <c r="A30" s="3224"/>
      <c r="B30" s="3228"/>
      <c r="C30" s="1171" t="s">
        <v>843</v>
      </c>
    </row>
    <row r="31" spans="1:3" ht="14.25">
      <c r="A31" s="3224"/>
      <c r="B31" s="3228"/>
      <c r="C31" s="1171" t="s">
        <v>844</v>
      </c>
    </row>
    <row r="32" spans="1:3" ht="14.25">
      <c r="A32" s="3224"/>
      <c r="B32" s="3228"/>
      <c r="C32" s="1171" t="s">
        <v>1646</v>
      </c>
    </row>
    <row r="33" spans="1:3" ht="14.25">
      <c r="A33" s="3224"/>
      <c r="B33" s="3218" t="s">
        <v>1652</v>
      </c>
      <c r="C33" s="1171" t="s">
        <v>1647</v>
      </c>
    </row>
    <row r="34" spans="1:3" ht="14.25">
      <c r="A34" s="3224"/>
      <c r="B34" s="3219"/>
      <c r="C34" s="1176" t="s">
        <v>1648</v>
      </c>
    </row>
    <row r="35" spans="1:3" ht="14.25">
      <c r="A35" s="3224"/>
      <c r="B35" s="3219"/>
      <c r="C35" s="1177" t="s">
        <v>1649</v>
      </c>
    </row>
    <row r="36" spans="1:3" ht="14.25">
      <c r="A36" s="3224"/>
      <c r="B36" s="3219"/>
      <c r="C36" s="1177" t="s">
        <v>1650</v>
      </c>
    </row>
    <row r="37" spans="1:3" ht="14.25">
      <c r="A37" s="3224"/>
      <c r="B37" s="3220"/>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44054</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2969</v>
      </c>
      <c r="B14" s="3128">
        <f ca="1">IF(C14&lt;B2,"已过期",1120040230)</f>
        <v>1120040230</v>
      </c>
      <c r="C14" s="3132">
        <v>44864</v>
      </c>
      <c r="D14" s="3133" t="s">
        <v>2970</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2983</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2985</v>
      </c>
      <c r="B23" s="3128">
        <v>1119980106</v>
      </c>
      <c r="C23" s="3130">
        <v>43916</v>
      </c>
      <c r="D23" s="3128" t="s">
        <v>2987</v>
      </c>
      <c r="E23" s="3128">
        <v>96010063</v>
      </c>
      <c r="F23" s="3131">
        <v>47118</v>
      </c>
    </row>
    <row r="24" spans="1:7" s="3136" customFormat="1" ht="20.25" customHeight="1">
      <c r="A24" s="3127" t="s">
        <v>2051</v>
      </c>
      <c r="B24" s="3127" t="s">
        <v>2051</v>
      </c>
      <c r="C24" s="3130"/>
      <c r="D24" s="3135" t="s">
        <v>2051</v>
      </c>
      <c r="E24" s="3127" t="s">
        <v>2051</v>
      </c>
      <c r="F24" s="3134"/>
    </row>
    <row r="25" spans="1:7" ht="20.25" customHeight="1">
      <c r="A25" s="3229" t="s">
        <v>1924</v>
      </c>
      <c r="B25" s="3229"/>
      <c r="C25" s="3229"/>
      <c r="D25" s="3229"/>
      <c r="E25" s="3229"/>
      <c r="F25" s="3229"/>
      <c r="G25" s="3229"/>
    </row>
    <row r="26" spans="1:7" ht="20.25" customHeight="1">
      <c r="A26" s="3230" t="s">
        <v>1925</v>
      </c>
      <c r="B26" s="3230"/>
      <c r="C26" s="3230"/>
      <c r="D26" s="3230" t="s">
        <v>1926</v>
      </c>
      <c r="E26" s="3230"/>
      <c r="F26" s="3230"/>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2984</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1" priority="151">
      <formula>AND($C24-TODAY()&lt;30,TODAY()&lt;$C24)</formula>
    </cfRule>
  </conditionalFormatting>
  <conditionalFormatting sqref="C28">
    <cfRule type="expression" dxfId="230" priority="150">
      <formula>AND($C28-TODAY()&lt;30,TODAY()&lt;$C28)</formula>
    </cfRule>
  </conditionalFormatting>
  <conditionalFormatting sqref="C28 F4">
    <cfRule type="cellIs" dxfId="229" priority="152" stopIfTrue="1" operator="lessThan">
      <formula>$B$2</formula>
    </cfRule>
  </conditionalFormatting>
  <conditionalFormatting sqref="F5">
    <cfRule type="cellIs" dxfId="228" priority="148" stopIfTrue="1" operator="lessThan">
      <formula>$B$2</formula>
    </cfRule>
  </conditionalFormatting>
  <conditionalFormatting sqref="F6 F8 F10">
    <cfRule type="cellIs" dxfId="227" priority="146" stopIfTrue="1" operator="lessThan">
      <formula>$B$2</formula>
    </cfRule>
  </conditionalFormatting>
  <conditionalFormatting sqref="C24:D24">
    <cfRule type="expression" dxfId="226" priority="144">
      <formula>AND($C24-TODAY()&lt;30,TODAY()&lt;$C24)</formula>
    </cfRule>
  </conditionalFormatting>
  <conditionalFormatting sqref="F7 F9 F11 C24:D24">
    <cfRule type="cellIs" dxfId="225" priority="145" stopIfTrue="1" operator="lessThan">
      <formula>$B$2</formula>
    </cfRule>
  </conditionalFormatting>
  <conditionalFormatting sqref="F22">
    <cfRule type="cellIs" dxfId="224" priority="116" stopIfTrue="1" operator="lessThan">
      <formula>$B$2</formula>
    </cfRule>
  </conditionalFormatting>
  <conditionalFormatting sqref="F21">
    <cfRule type="cellIs" dxfId="223" priority="115" stopIfTrue="1" operator="lessThan">
      <formula>$B$2</formula>
    </cfRule>
  </conditionalFormatting>
  <conditionalFormatting sqref="B4:B11 E4:E11 E19:E22 B17 B13 E13 B19:B23">
    <cfRule type="cellIs" dxfId="222" priority="113" stopIfTrue="1" operator="equal">
      <formula>"已过期"</formula>
    </cfRule>
  </conditionalFormatting>
  <conditionalFormatting sqref="F28">
    <cfRule type="cellIs" dxfId="221" priority="110" stopIfTrue="1" operator="lessThan">
      <formula>$B$2</formula>
    </cfRule>
  </conditionalFormatting>
  <conditionalFormatting sqref="F28">
    <cfRule type="expression" dxfId="220" priority="154">
      <formula>AND($E28-TODAY()&lt;30,TODAY()&lt;$E28)</formula>
    </cfRule>
  </conditionalFormatting>
  <conditionalFormatting sqref="C5">
    <cfRule type="expression" dxfId="219" priority="105">
      <formula>AND($C5-TODAY()&lt;30,TODAY()&lt;$C5)</formula>
    </cfRule>
  </conditionalFormatting>
  <conditionalFormatting sqref="C5">
    <cfRule type="cellIs" dxfId="218" priority="106" stopIfTrue="1" operator="lessThan">
      <formula>$B$2</formula>
    </cfRule>
  </conditionalFormatting>
  <conditionalFormatting sqref="C5:C6">
    <cfRule type="expression" dxfId="217" priority="103">
      <formula>AND($C5-TODAY()&lt;30,TODAY()&lt;$C5)</formula>
    </cfRule>
  </conditionalFormatting>
  <conditionalFormatting sqref="C5:C6">
    <cfRule type="cellIs" dxfId="216" priority="104" stopIfTrue="1" operator="lessThan">
      <formula>$B$2</formula>
    </cfRule>
  </conditionalFormatting>
  <conditionalFormatting sqref="C7">
    <cfRule type="expression" dxfId="215" priority="84">
      <formula>AND($C7-TODAY()&lt;30,TODAY()&lt;$C7)</formula>
    </cfRule>
  </conditionalFormatting>
  <conditionalFormatting sqref="C7">
    <cfRule type="cellIs" dxfId="214" priority="85" stopIfTrue="1" operator="lessThan">
      <formula>$B$2</formula>
    </cfRule>
  </conditionalFormatting>
  <conditionalFormatting sqref="C13 C23 C17 C19:C21">
    <cfRule type="expression" dxfId="213" priority="82">
      <formula>AND($C13-TODAY()&lt;30,TODAY()&lt;$C13)</formula>
    </cfRule>
  </conditionalFormatting>
  <conditionalFormatting sqref="C13 C23 C17 C19:C21">
    <cfRule type="cellIs" dxfId="212" priority="83" stopIfTrue="1" operator="lessThan">
      <formula>$B$2</formula>
    </cfRule>
  </conditionalFormatting>
  <conditionalFormatting sqref="F13">
    <cfRule type="cellIs" dxfId="211" priority="81" stopIfTrue="1" operator="lessThan">
      <formula>$B$2</formula>
    </cfRule>
  </conditionalFormatting>
  <conditionalFormatting sqref="F12">
    <cfRule type="cellIs" dxfId="210" priority="73" stopIfTrue="1" operator="lessThan">
      <formula>$B$2</formula>
    </cfRule>
  </conditionalFormatting>
  <conditionalFormatting sqref="B12 E12">
    <cfRule type="cellIs" dxfId="209" priority="72" stopIfTrue="1" operator="equal">
      <formula>"已过期"</formula>
    </cfRule>
  </conditionalFormatting>
  <conditionalFormatting sqref="C12">
    <cfRule type="expression" dxfId="208" priority="70">
      <formula>AND($C12-TODAY()&lt;30,TODAY()&lt;$C12)</formula>
    </cfRule>
  </conditionalFormatting>
  <conditionalFormatting sqref="C12">
    <cfRule type="cellIs" dxfId="207" priority="71" stopIfTrue="1" operator="lessThan">
      <formula>$B$2</formula>
    </cfRule>
  </conditionalFormatting>
  <conditionalFormatting sqref="C22">
    <cfRule type="expression" dxfId="206" priority="62">
      <formula>AND($C22-TODAY()&lt;30,TODAY()&lt;$C22)</formula>
    </cfRule>
  </conditionalFormatting>
  <conditionalFormatting sqref="C22">
    <cfRule type="cellIs" dxfId="205" priority="63" stopIfTrue="1" operator="lessThan">
      <formula>$B$2</formula>
    </cfRule>
  </conditionalFormatting>
  <conditionalFormatting sqref="C16">
    <cfRule type="expression" dxfId="204" priority="60">
      <formula>AND($C16-TODAY()&lt;30,TODAY()&lt;$C16)</formula>
    </cfRule>
  </conditionalFormatting>
  <conditionalFormatting sqref="C16">
    <cfRule type="cellIs" dxfId="203" priority="61" stopIfTrue="1" operator="lessThan">
      <formula>$B$2</formula>
    </cfRule>
  </conditionalFormatting>
  <conditionalFormatting sqref="C16">
    <cfRule type="expression" dxfId="202" priority="58">
      <formula>AND($C16-TODAY()&lt;30,TODAY()&lt;$C16)</formula>
    </cfRule>
  </conditionalFormatting>
  <conditionalFormatting sqref="C16">
    <cfRule type="cellIs" dxfId="201" priority="59" stopIfTrue="1" operator="lessThan">
      <formula>$B$2</formula>
    </cfRule>
  </conditionalFormatting>
  <conditionalFormatting sqref="B16">
    <cfRule type="cellIs" dxfId="200" priority="57" stopIfTrue="1" operator="equal">
      <formula>"已过期"</formula>
    </cfRule>
  </conditionalFormatting>
  <conditionalFormatting sqref="C14:C15">
    <cfRule type="expression" dxfId="199" priority="55">
      <formula>AND($C14-TODAY()&lt;30,TODAY()&lt;$C14)</formula>
    </cfRule>
  </conditionalFormatting>
  <conditionalFormatting sqref="C14:C15">
    <cfRule type="cellIs" dxfId="198" priority="56" stopIfTrue="1" operator="lessThan">
      <formula>$B$2</formula>
    </cfRule>
  </conditionalFormatting>
  <conditionalFormatting sqref="C14">
    <cfRule type="expression" dxfId="197" priority="53">
      <formula>AND($C14-TODAY()&lt;30,TODAY()&lt;$C14)</formula>
    </cfRule>
  </conditionalFormatting>
  <conditionalFormatting sqref="C14">
    <cfRule type="cellIs" dxfId="196" priority="54" stopIfTrue="1" operator="lessThan">
      <formula>$B$2</formula>
    </cfRule>
  </conditionalFormatting>
  <conditionalFormatting sqref="C15">
    <cfRule type="expression" dxfId="195" priority="51">
      <formula>AND($C15-TODAY()&lt;30,TODAY()&lt;$C15)</formula>
    </cfRule>
  </conditionalFormatting>
  <conditionalFormatting sqref="C15">
    <cfRule type="cellIs" dxfId="194" priority="52" stopIfTrue="1" operator="lessThan">
      <formula>$B$2</formula>
    </cfRule>
  </conditionalFormatting>
  <conditionalFormatting sqref="B14">
    <cfRule type="cellIs" dxfId="193" priority="50" stopIfTrue="1" operator="equal">
      <formula>"已过期"</formula>
    </cfRule>
  </conditionalFormatting>
  <conditionalFormatting sqref="B15">
    <cfRule type="cellIs" dxfId="192" priority="49" stopIfTrue="1" operator="equal">
      <formula>"已过期"</formula>
    </cfRule>
  </conditionalFormatting>
  <conditionalFormatting sqref="A15">
    <cfRule type="cellIs" dxfId="191" priority="48" stopIfTrue="1" operator="equal">
      <formula>"已过期"</formula>
    </cfRule>
  </conditionalFormatting>
  <conditionalFormatting sqref="C15">
    <cfRule type="expression" dxfId="190" priority="47">
      <formula>AND($C15-TODAY()&lt;30,TODAY()&lt;$C15)</formula>
    </cfRule>
  </conditionalFormatting>
  <conditionalFormatting sqref="F16">
    <cfRule type="cellIs" dxfId="189" priority="46" stopIfTrue="1" operator="lessThan">
      <formula>$B$2</formula>
    </cfRule>
  </conditionalFormatting>
  <conditionalFormatting sqref="E16">
    <cfRule type="cellIs" dxfId="188" priority="45" stopIfTrue="1" operator="equal">
      <formula>"已过期"</formula>
    </cfRule>
  </conditionalFormatting>
  <conditionalFormatting sqref="E15">
    <cfRule type="cellIs" dxfId="187" priority="44" stopIfTrue="1" operator="equal">
      <formula>"已过期"</formula>
    </cfRule>
  </conditionalFormatting>
  <conditionalFormatting sqref="D15">
    <cfRule type="cellIs" dxfId="186" priority="43" stopIfTrue="1" operator="equal">
      <formula>"已过期"</formula>
    </cfRule>
  </conditionalFormatting>
  <conditionalFormatting sqref="F17">
    <cfRule type="cellIs" dxfId="185" priority="42" stopIfTrue="1" operator="lessThan">
      <formula>$B$2</formula>
    </cfRule>
  </conditionalFormatting>
  <conditionalFormatting sqref="E17">
    <cfRule type="cellIs" dxfId="184" priority="41" stopIfTrue="1" operator="equal">
      <formula>"已过期"</formula>
    </cfRule>
  </conditionalFormatting>
  <conditionalFormatting sqref="E14">
    <cfRule type="cellIs" dxfId="183" priority="40" stopIfTrue="1" operator="equal">
      <formula>"已过期"</formula>
    </cfRule>
  </conditionalFormatting>
  <conditionalFormatting sqref="F14">
    <cfRule type="cellIs" dxfId="182" priority="39" stopIfTrue="1" operator="lessThan">
      <formula>$B$2</formula>
    </cfRule>
  </conditionalFormatting>
  <conditionalFormatting sqref="C10:C11">
    <cfRule type="expression" dxfId="181" priority="35">
      <formula>AND($C10-TODAY()&lt;30,TODAY()&lt;$C10)</formula>
    </cfRule>
  </conditionalFormatting>
  <conditionalFormatting sqref="C10:C11">
    <cfRule type="cellIs" dxfId="180" priority="36" stopIfTrue="1" operator="lessThan">
      <formula>$B$2</formula>
    </cfRule>
  </conditionalFormatting>
  <conditionalFormatting sqref="C18">
    <cfRule type="expression" dxfId="179" priority="24">
      <formula>AND($C18-TODAY()&lt;30,TODAY()&lt;$C18)</formula>
    </cfRule>
  </conditionalFormatting>
  <conditionalFormatting sqref="C18">
    <cfRule type="cellIs" dxfId="178" priority="25" stopIfTrue="1" operator="lessThan">
      <formula>$B$2</formula>
    </cfRule>
  </conditionalFormatting>
  <conditionalFormatting sqref="C18">
    <cfRule type="expression" dxfId="177" priority="22">
      <formula>AND($C18-TODAY()&lt;30,TODAY()&lt;$C18)</formula>
    </cfRule>
  </conditionalFormatting>
  <conditionalFormatting sqref="C18">
    <cfRule type="cellIs" dxfId="176" priority="23" stopIfTrue="1" operator="lessThan">
      <formula>$B$2</formula>
    </cfRule>
  </conditionalFormatting>
  <conditionalFormatting sqref="B18">
    <cfRule type="cellIs" dxfId="175" priority="21" stopIfTrue="1" operator="equal">
      <formula>"已过期"</formula>
    </cfRule>
  </conditionalFormatting>
  <conditionalFormatting sqref="F18">
    <cfRule type="cellIs" dxfId="174" priority="20" stopIfTrue="1" operator="lessThan">
      <formula>$B$2</formula>
    </cfRule>
  </conditionalFormatting>
  <conditionalFormatting sqref="E18">
    <cfRule type="cellIs" dxfId="173" priority="19" stopIfTrue="1" operator="equal">
      <formula>"已过期"</formula>
    </cfRule>
  </conditionalFormatting>
  <conditionalFormatting sqref="F29">
    <cfRule type="cellIs" dxfId="172" priority="15" stopIfTrue="1" operator="lessThan">
      <formula>$B$2</formula>
    </cfRule>
  </conditionalFormatting>
  <conditionalFormatting sqref="F29">
    <cfRule type="expression" dxfId="171" priority="16">
      <formula>AND($E29-TODAY()&lt;30,TODAY()&lt;$E29)</formula>
    </cfRule>
  </conditionalFormatting>
  <conditionalFormatting sqref="C4">
    <cfRule type="expression" dxfId="170" priority="11">
      <formula>AND($C4-TODAY()&lt;30,TODAY()&lt;$C4)</formula>
    </cfRule>
  </conditionalFormatting>
  <conditionalFormatting sqref="C4">
    <cfRule type="cellIs" dxfId="169" priority="12" stopIfTrue="1" operator="lessThan">
      <formula>$B$2</formula>
    </cfRule>
  </conditionalFormatting>
  <conditionalFormatting sqref="C8:C9">
    <cfRule type="expression" dxfId="168" priority="5">
      <formula>AND($C8-TODAY()&lt;30,TODAY()&lt;$C8)</formula>
    </cfRule>
  </conditionalFormatting>
  <conditionalFormatting sqref="C8:C9">
    <cfRule type="cellIs" dxfId="167" priority="6" stopIfTrue="1" operator="lessThan">
      <formula>$B$2</formula>
    </cfRule>
  </conditionalFormatting>
  <conditionalFormatting sqref="F23">
    <cfRule type="cellIs" dxfId="166" priority="2" stopIfTrue="1" operator="lessThan">
      <formula>$B$2</formula>
    </cfRule>
  </conditionalFormatting>
  <conditionalFormatting sqref="E23">
    <cfRule type="cellIs" dxfId="165"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3"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1" t="s">
        <v>2943</v>
      </c>
      <c r="C18" s="1538"/>
    </row>
    <row r="19" spans="1:3">
      <c r="A19" s="8" t="s">
        <v>120</v>
      </c>
      <c r="B19" s="3061" t="s">
        <v>2951</v>
      </c>
      <c r="C19" s="1538"/>
    </row>
    <row r="20" spans="1:3">
      <c r="A20" s="8" t="s">
        <v>121</v>
      </c>
      <c r="B20" s="3191" t="s">
        <v>3169</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1"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c r="D53" s="1750"/>
      <c r="E53" s="1750"/>
    </row>
    <row r="54" spans="1:5">
      <c r="A54" s="3231"/>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1"/>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1"/>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1"/>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不动产收益法-公寓</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2020-08-11T06:59:50Z</dcterms:modified>
</cp:coreProperties>
</file>