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1049菊儿胡同\2017-1-1049-P01DYGJ1菊儿胡同\最终\"/>
    </mc:Choice>
  </mc:AlternateContent>
  <bookViews>
    <workbookView xWindow="480" yWindow="210" windowWidth="12120" windowHeight="7620" tabRatio="895" firstSheet="1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成新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7" i="43" l="1"/>
  <c r="D29" i="43"/>
  <c r="L14" i="1"/>
  <c r="F10" i="77"/>
  <c r="F8" i="77"/>
  <c r="F7" i="77"/>
  <c r="F6" i="77"/>
  <c r="F5" i="77"/>
  <c r="F4" i="77"/>
  <c r="E8" i="77"/>
  <c r="E5" i="77"/>
  <c r="N14" i="1"/>
  <c r="G19" i="6"/>
  <c r="I13" i="3"/>
  <c r="AL13" i="3"/>
  <c r="Y6" i="1" l="1"/>
  <c r="F19" i="6"/>
  <c r="B7" i="4"/>
  <c r="B5"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8" i="76"/>
  <c r="E12" i="76"/>
  <c r="E10" i="76"/>
  <c r="B7" i="76"/>
  <c r="E7" i="76"/>
  <c r="E9" i="76"/>
  <c r="B13" i="76"/>
  <c r="B8" i="76"/>
  <c r="B9" i="76"/>
  <c r="B12" i="76"/>
  <c r="B11" i="76"/>
  <c r="B10"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D3" i="73"/>
  <c r="F6" i="73"/>
  <c r="F3" i="73"/>
  <c r="F4" i="73"/>
  <c r="I1" i="73" l="1"/>
  <c r="B39" i="1" s="1"/>
  <c r="D4" i="73"/>
  <c r="D7"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2"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19" i="6"/>
  <c r="E20" i="6"/>
  <c r="E21" i="6"/>
  <c r="K8" i="1" s="1"/>
  <c r="M8" i="1" s="1"/>
  <c r="F23" i="15"/>
  <c r="D24" i="15" s="1"/>
  <c r="O8" i="1"/>
  <c r="P8" i="1" s="1"/>
  <c r="E22" i="6"/>
  <c r="E23" i="6"/>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S31" i="35"/>
  <c r="U34" i="35"/>
  <c r="F36" i="34"/>
  <c r="J35" i="34"/>
  <c r="W9" i="34"/>
  <c r="U34" i="34"/>
  <c r="H39" i="33"/>
  <c r="AB39" i="33" s="1"/>
  <c r="F26" i="33"/>
  <c r="AA26" i="33" s="1"/>
  <c r="S9" i="33"/>
  <c r="U33" i="33"/>
  <c r="U35" i="33"/>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42" i="3"/>
  <c r="AZ146" i="3"/>
  <c r="AZ154"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Z506" i="3"/>
  <c r="AZ496" i="3"/>
  <c r="G548" i="3"/>
  <c r="G538" i="3"/>
  <c r="G520" i="3"/>
  <c r="G502" i="3"/>
  <c r="BS5" i="3"/>
  <c r="BN5" i="3"/>
  <c r="BK5" i="3"/>
  <c r="BI5" i="3"/>
  <c r="BG5" i="3"/>
  <c r="BE5" i="3"/>
  <c r="BC5" i="3"/>
  <c r="G17" i="3"/>
  <c r="BA17" i="3"/>
  <c r="BT5" i="3"/>
  <c r="AZ356" i="3"/>
  <c r="AZ364" i="3"/>
  <c r="BA15" i="3"/>
  <c r="BB5" i="3"/>
  <c r="BR5" i="3"/>
  <c r="AZ384" i="3"/>
  <c r="AZ396" i="3"/>
  <c r="AZ394" i="3"/>
  <c r="AZ499" i="3"/>
  <c r="E8" i="6"/>
  <c r="F27" i="6" s="1"/>
  <c r="G509" i="3"/>
  <c r="BL493" i="3"/>
  <c r="AZ390" i="3"/>
  <c r="AZ493" i="3"/>
  <c r="U36" i="40"/>
  <c r="F81" i="43"/>
  <c r="H83" i="43" s="1"/>
  <c r="F48" i="43"/>
  <c r="H52" i="43" s="1"/>
  <c r="F70" i="43"/>
  <c r="H73" i="43" s="1"/>
  <c r="F39" i="43"/>
  <c r="F35"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A15" i="62" l="1"/>
  <c r="B61" i="72" s="1"/>
  <c r="A2" i="9"/>
  <c r="A4" i="52"/>
  <c r="B41" i="72" s="1"/>
  <c r="H49" i="43"/>
  <c r="M6" i="43"/>
  <c r="N7" i="43"/>
  <c r="H82" i="43"/>
  <c r="M11" i="43"/>
  <c r="N4" i="43"/>
  <c r="C5" i="11"/>
  <c r="I4" i="6"/>
  <c r="G3" i="43" s="1"/>
  <c r="F22" i="43" s="1"/>
  <c r="G28" i="6"/>
  <c r="H74" i="43"/>
  <c r="J17" i="43"/>
  <c r="I17" i="43"/>
  <c r="E17" i="43"/>
  <c r="H113" i="43"/>
  <c r="F36" i="43"/>
  <c r="H87" i="43"/>
  <c r="H86" i="43"/>
  <c r="H48" i="43"/>
  <c r="H50" i="43"/>
  <c r="H75" i="43"/>
  <c r="AZ362" i="3"/>
  <c r="AZ557" i="3"/>
  <c r="BL586" i="3"/>
  <c r="AZ585" i="3"/>
  <c r="AC28" i="35"/>
  <c r="W28" i="35"/>
  <c r="AA34" i="35"/>
  <c r="S34" i="35"/>
  <c r="H23" i="35"/>
  <c r="J23" i="35"/>
  <c r="AB9" i="36"/>
  <c r="U9" i="36"/>
  <c r="J24" i="36"/>
  <c r="H24" i="36"/>
  <c r="AB24" i="36" s="1"/>
  <c r="AB31" i="36"/>
  <c r="U31" i="36"/>
  <c r="AB14" i="37"/>
  <c r="U14" i="37"/>
  <c r="H45" i="39"/>
  <c r="J45" i="39"/>
  <c r="J39" i="40"/>
  <c r="H39" i="40"/>
  <c r="U41" i="21"/>
  <c r="AB41" i="21"/>
  <c r="AA30" i="36"/>
  <c r="S30" i="36"/>
  <c r="AC11" i="39"/>
  <c r="F29" i="6"/>
  <c r="AZ327" i="3"/>
  <c r="AZ310" i="3"/>
  <c r="AZ371" i="3"/>
  <c r="AZ336" i="3"/>
  <c r="AZ329" i="3"/>
  <c r="AZ321" i="3"/>
  <c r="AZ304" i="3"/>
  <c r="U43" i="33"/>
  <c r="AA41" i="34"/>
  <c r="AZ507" i="3"/>
  <c r="AZ513" i="3"/>
  <c r="AZ521" i="3"/>
  <c r="AZ553" i="3"/>
  <c r="AZ583" i="3"/>
  <c r="AZ581" i="3"/>
  <c r="AZ518" i="3"/>
  <c r="AZ538" i="3"/>
  <c r="AZ552" i="3"/>
  <c r="S44" i="34"/>
  <c r="U13" i="33"/>
  <c r="AB45" i="33"/>
  <c r="AA14" i="34"/>
  <c r="AB46" i="34"/>
  <c r="AB11" i="36"/>
  <c r="U46" i="33"/>
  <c r="AA13" i="35"/>
  <c r="AA29" i="35"/>
  <c r="W33" i="33"/>
  <c r="S34" i="34"/>
  <c r="F12" i="21"/>
  <c r="J12" i="21"/>
  <c r="AC12" i="21" s="1"/>
  <c r="F9" i="34"/>
  <c r="J12" i="34"/>
  <c r="F12" i="34"/>
  <c r="H36" i="35"/>
  <c r="AB36" i="35" s="1"/>
  <c r="J36" i="35"/>
  <c r="F9" i="36"/>
  <c r="AA9" i="36" s="1"/>
  <c r="J12" i="36"/>
  <c r="H12" i="36"/>
  <c r="H35" i="39"/>
  <c r="AB35" i="39" s="1"/>
  <c r="G582" i="3"/>
  <c r="G566" i="3"/>
  <c r="G552" i="3"/>
  <c r="BA551" i="3"/>
  <c r="G551" i="3"/>
  <c r="BL550" i="3"/>
  <c r="BA550" i="3"/>
  <c r="BL548" i="3"/>
  <c r="AZ548" i="3" s="1"/>
  <c r="G526" i="3"/>
  <c r="BL15" i="3"/>
  <c r="AZ15" i="3" s="1"/>
  <c r="AZ403" i="3"/>
  <c r="AZ406" i="3"/>
  <c r="AZ41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AZ434" i="3"/>
  <c r="AZ443" i="3"/>
  <c r="AZ446" i="3"/>
  <c r="AZ450" i="3"/>
  <c r="AZ459" i="3"/>
  <c r="AZ462" i="3"/>
  <c r="AZ477" i="3"/>
  <c r="AZ481" i="3"/>
  <c r="AZ278" i="3"/>
  <c r="G147" i="3"/>
  <c r="G148" i="3"/>
  <c r="BL150" i="3"/>
  <c r="AZ150" i="3" s="1"/>
  <c r="BA152" i="3"/>
  <c r="AZ152" i="3" s="1"/>
  <c r="BL153" i="3"/>
  <c r="G156"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80" i="3"/>
  <c r="G281" i="3"/>
  <c r="BL281" i="3"/>
  <c r="BA282" i="3"/>
  <c r="AZ282" i="3" s="1"/>
  <c r="BA283" i="3"/>
  <c r="AZ283" i="3" s="1"/>
  <c r="G286" i="3"/>
  <c r="BL286" i="3"/>
  <c r="BL288" i="3"/>
  <c r="AZ288" i="3" s="1"/>
  <c r="BA289" i="3"/>
  <c r="AZ289" i="3" s="1"/>
  <c r="BL291" i="3"/>
  <c r="AZ291" i="3" s="1"/>
  <c r="BA292" i="3"/>
  <c r="AZ292" i="3" s="1"/>
  <c r="G295"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AZ145" i="3"/>
  <c r="AZ153"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F31" i="6" s="1"/>
  <c r="E28" i="6"/>
  <c r="C105" i="43"/>
  <c r="E57" i="40"/>
  <c r="E56" i="40"/>
  <c r="AQ12" i="1"/>
  <c r="AR10" i="1"/>
  <c r="E19" i="69"/>
  <c r="E19" i="68"/>
  <c r="E19" i="11"/>
  <c r="E1" i="73"/>
  <c r="K1" i="73" s="1"/>
  <c r="G41" i="69"/>
  <c r="G22" i="69"/>
  <c r="G41" i="68"/>
  <c r="G22" i="68"/>
  <c r="G27" i="12"/>
  <c r="G26" i="12"/>
  <c r="G41" i="11"/>
  <c r="G22" i="11"/>
  <c r="G25" i="12"/>
  <c r="C109" i="43"/>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M23" i="15"/>
  <c r="M26" i="15"/>
  <c r="M6" i="67"/>
  <c r="F9" i="15"/>
  <c r="M29" i="67"/>
  <c r="M8" i="67"/>
  <c r="M8" i="15"/>
  <c r="C76" i="15"/>
  <c r="L47" i="15"/>
  <c r="M28" i="15"/>
  <c r="F13" i="67"/>
  <c r="J15" i="15"/>
  <c r="F43" i="67"/>
  <c r="F38" i="15"/>
  <c r="M28" i="67"/>
  <c r="F37" i="67"/>
  <c r="M6" i="15"/>
  <c r="F36" i="67"/>
  <c r="F26" i="15"/>
  <c r="F42" i="15"/>
  <c r="L47" i="67"/>
  <c r="M22" i="15"/>
  <c r="M22" i="67"/>
  <c r="M9" i="15"/>
  <c r="F7" i="15"/>
  <c r="F16" i="15"/>
  <c r="F36" i="15"/>
  <c r="C76" i="67"/>
  <c r="F43" i="15"/>
  <c r="M29" i="15"/>
  <c r="L48" i="67"/>
  <c r="F6" i="67"/>
  <c r="G1" i="73"/>
  <c r="M26" i="67"/>
  <c r="F42" i="67"/>
  <c r="F6" i="15"/>
  <c r="M23" i="67"/>
  <c r="L48" i="15"/>
  <c r="M9" i="67"/>
  <c r="F8" i="67"/>
  <c r="F38" i="67"/>
  <c r="F8" i="15"/>
  <c r="J15" i="67"/>
  <c r="F40" i="15"/>
  <c r="F13" i="15"/>
  <c r="F16" i="67"/>
  <c r="F26" i="67"/>
  <c r="F7" i="67"/>
  <c r="F9" i="67"/>
  <c r="F40" i="67"/>
  <c r="M24" i="15"/>
  <c r="F37" i="15"/>
  <c r="F101" i="43" l="1"/>
  <c r="Y11" i="43"/>
  <c r="Y13" i="43" s="1"/>
  <c r="AC11" i="43"/>
  <c r="AC13" i="43" s="1"/>
  <c r="AG11" i="43"/>
  <c r="AG13" i="43" s="1"/>
  <c r="S5" i="43"/>
  <c r="Z11" i="43"/>
  <c r="Z13" i="43" s="1"/>
  <c r="AD11" i="43"/>
  <c r="AD13" i="43" s="1"/>
  <c r="AH11" i="43"/>
  <c r="AH13" i="43" s="1"/>
  <c r="F109" i="43"/>
  <c r="T12" i="1"/>
  <c r="F105" i="43"/>
  <c r="C102" i="43"/>
  <c r="S2" i="43" s="1"/>
  <c r="C103" i="43"/>
  <c r="C107" i="43"/>
  <c r="F102" i="43"/>
  <c r="E101" i="43"/>
  <c r="M101" i="43"/>
  <c r="M109" i="43" s="1"/>
  <c r="H101" i="43"/>
  <c r="H22" i="43"/>
  <c r="D22" i="43" s="1"/>
  <c r="C106" i="43"/>
  <c r="N104" i="46"/>
  <c r="E22" i="43"/>
  <c r="B113" i="43"/>
  <c r="G118" i="43" s="1"/>
  <c r="H118" i="43" s="1"/>
  <c r="T10" i="1"/>
  <c r="I116" i="43"/>
  <c r="J116" i="43" s="1"/>
  <c r="K116" i="43" s="1"/>
  <c r="L116" i="43" s="1"/>
  <c r="M116" i="43" s="1"/>
  <c r="J101" i="43"/>
  <c r="G101" i="43"/>
  <c r="N101" i="43"/>
  <c r="K101" i="43"/>
  <c r="C4" i="4"/>
  <c r="B4" i="62" s="1"/>
  <c r="B71" i="72" s="1"/>
  <c r="E4" i="4"/>
  <c r="AC12" i="36"/>
  <c r="W12" i="36"/>
  <c r="AC36" i="35"/>
  <c r="W36" i="35"/>
  <c r="S12" i="34"/>
  <c r="AA12" i="34"/>
  <c r="AA9" i="34"/>
  <c r="S9" i="34"/>
  <c r="S12" i="21"/>
  <c r="AA12" i="21"/>
  <c r="AB45" i="39"/>
  <c r="U45" i="39"/>
  <c r="AC24" i="36"/>
  <c r="W24" i="36"/>
  <c r="U23" i="35"/>
  <c r="AB23" i="35"/>
  <c r="W17" i="21"/>
  <c r="C7" i="43"/>
  <c r="U12" i="36"/>
  <c r="AB12" i="36"/>
  <c r="W12" i="34"/>
  <c r="AC12" i="34"/>
  <c r="U39" i="40"/>
  <c r="AB39" i="40"/>
  <c r="W45" i="39"/>
  <c r="AC45" i="39"/>
  <c r="AC23" i="35"/>
  <c r="W23" i="35"/>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6" i="43"/>
  <c r="M103"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15"/>
  <c r="F31" i="67"/>
  <c r="M17" i="15"/>
  <c r="F59" i="15"/>
  <c r="C17" i="15"/>
  <c r="C16" i="15"/>
  <c r="C16" i="67"/>
  <c r="I115" i="43" l="1"/>
  <c r="J115" i="43" s="1"/>
  <c r="K115" i="43" s="1"/>
  <c r="L115" i="43" s="1"/>
  <c r="M115" i="43" s="1"/>
  <c r="F104" i="43"/>
  <c r="F107" i="43"/>
  <c r="F103" i="43"/>
  <c r="F106" i="43"/>
  <c r="B115" i="43"/>
  <c r="D117" i="43"/>
  <c r="E117" i="43" s="1"/>
  <c r="F117" i="43" s="1"/>
  <c r="G117" i="43" s="1"/>
  <c r="H117" i="43" s="1"/>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K16" i="1"/>
  <c r="B29" i="1" s="1"/>
  <c r="C8" i="68" s="1"/>
  <c r="M105" i="43"/>
  <c r="M107" i="43"/>
  <c r="M104" i="43"/>
  <c r="C21" i="43"/>
  <c r="D116" i="43"/>
  <c r="E116" i="43" s="1"/>
  <c r="F116" i="43" s="1"/>
  <c r="G116" i="43" s="1"/>
  <c r="H116" i="43" s="1"/>
  <c r="B118" i="43"/>
  <c r="C118" i="43" s="1"/>
  <c r="K103" i="43"/>
  <c r="K107" i="43"/>
  <c r="K104" i="43"/>
  <c r="K106" i="43"/>
  <c r="K109" i="43"/>
  <c r="K102" i="43"/>
  <c r="K105" i="43"/>
  <c r="G105" i="43"/>
  <c r="G103" i="43"/>
  <c r="G102" i="43"/>
  <c r="G107" i="43"/>
  <c r="G104" i="43"/>
  <c r="G106" i="43"/>
  <c r="G109" i="43"/>
  <c r="N102" i="43"/>
  <c r="N103" i="43"/>
  <c r="N106" i="43"/>
  <c r="N104" i="43"/>
  <c r="N109" i="43"/>
  <c r="N105" i="43"/>
  <c r="N107" i="43"/>
  <c r="J104" i="43"/>
  <c r="J103" i="43"/>
  <c r="J109" i="43"/>
  <c r="J105" i="43"/>
  <c r="J107" i="43"/>
  <c r="J102" i="43"/>
  <c r="J106" i="43"/>
  <c r="M19" i="6"/>
  <c r="M27" i="6" s="1"/>
  <c r="AQ7" i="1"/>
  <c r="K4" i="4"/>
  <c r="B46" i="48" s="1"/>
  <c r="B4" i="72" s="1"/>
  <c r="AY6" i="3"/>
  <c r="E3" i="6"/>
  <c r="D3" i="21" s="1"/>
  <c r="B5" i="62"/>
  <c r="B73" i="72" s="1"/>
  <c r="AR6" i="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D3" i="37" l="1"/>
  <c r="C17" i="4"/>
  <c r="B4" i="52" s="1"/>
  <c r="B43" i="72" s="1"/>
  <c r="C115" i="43"/>
  <c r="D113" i="43"/>
  <c r="J22" i="43"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7" i="11" l="1"/>
  <c r="C34" i="11"/>
  <c r="C38" i="11" s="1"/>
  <c r="C24" i="11"/>
  <c r="C22" i="11" s="1"/>
  <c r="C31"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F41" i="67"/>
  <c r="L51"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C19" i="9"/>
  <c r="D2" i="37"/>
  <c r="D2" i="36"/>
  <c r="D2" i="35"/>
  <c r="D2" i="21"/>
  <c r="F20" i="31"/>
  <c r="D2" i="34"/>
  <c r="E2" i="68"/>
  <c r="D2" i="33"/>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<sst xmlns="http://schemas.openxmlformats.org/spreadsheetml/2006/main" count="7329" uniqueCount="3107">
  <si>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</si>
  <si>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</si>
  <si>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</si>
  <si>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</si>
  <si>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</si>
  <si>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</si>
  <si>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</si>
  <si>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</si>
  <si>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</si>
  <si>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</si>
  <si>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</si>
  <si>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</si>
  <si>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</si>
  <si>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</si>
  <si>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</si>
  <si>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</si>
  <si>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</si>
  <si>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</si>
  <si>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</si>
  <si>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</si>
  <si>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</si>
  <si>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</si>
  <si>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</si>
  <si>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</si>
  <si>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</si>
  <si>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</si>
  <si>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</si>
  <si>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</si>
  <si>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</si>
  <si>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</si>
  <si>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</si>
  <si>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</si>
  <si>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</si>
  <si>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</si>
  <si>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</si>
  <si>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</si>
  <si>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</si>
  <si>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</si>
  <si>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</si>
  <si>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</si>
  <si>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</si>
  <si>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</si>
  <si>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</si>
  <si>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</si>
  <si>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</si>
  <si>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</si>
  <si>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</si>
  <si>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</si>
  <si>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</si>
  <si>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</si>
  <si>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</si>
  <si>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</si>
  <si>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</si>
  <si>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</si>
  <si>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</si>
  <si>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</si>
  <si>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</si>
  <si>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</si>
  <si>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</si>
  <si>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</si>
  <si>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</si>
  <si>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</si>
  <si>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</si>
  <si>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</si>
  <si>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</si>
  <si>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</si>
  <si>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</si>
  <si>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</si>
  <si>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</si>
  <si>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</si>
  <si>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</si>
  <si>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</si>
  <si>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</si>
  <si>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</si>
  <si>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</si>
  <si>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</si>
  <si>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</si>
  <si>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</si>
  <si>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</si>
  <si>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</si>
  <si>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</si>
  <si>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</si>
  <si>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</si>
  <si>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</si>
  <si>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</si>
  <si>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</si>
  <si>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</si>
  <si>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</si>
  <si>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</si>
  <si>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</si>
  <si>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</si>
  <si>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</si>
  <si>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</si>
  <si>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</si>
  <si>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</si>
  <si>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</si>
  <si>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</si>
  <si>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</si>
  <si>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</si>
  <si>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</si>
  <si>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</si>
  <si>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</si>
  <si>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</si>
  <si>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</si>
  <si>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</si>
  <si>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</si>
  <si>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</si>
  <si>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</si>
  <si>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</si>
  <si>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</si>
  <si>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</si>
  <si>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</si>
  <si>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</si>
  <si>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</si>
  <si>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</si>
  <si>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</si>
  <si>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</si>
  <si>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</si>
  <si>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</si>
  <si>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</si>
  <si>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</si>
  <si>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</si>
  <si>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</si>
  <si>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</si>
  <si>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</si>
  <si>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</si>
  <si>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</si>
  <si>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</si>
  <si>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</si>
  <si>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</si>
  <si>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</si>
  <si>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</si>
  <si>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</si>
  <si>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</si>
  <si>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</si>
  <si>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</si>
  <si>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</si>
  <si>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</si>
  <si>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</si>
  <si>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</si>
  <si>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</si>
  <si>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</si>
  <si>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</si>
  <si>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</si>
  <si>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</si>
  <si>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</si>
  <si>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</si>
  <si>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</si>
  <si>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</si>
  <si>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</si>
  <si>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</si>
  <si>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</si>
  <si>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</si>
  <si>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</si>
  <si>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</si>
  <si>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</si>
  <si>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</si>
  <si>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</si>
  <si>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</si>
  <si>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</si>
  <si>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</si>
  <si>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</si>
  <si>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</si>
  <si>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</si>
  <si>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</si>
  <si>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</si>
  <si>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</si>
  <si>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</si>
  <si>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</si>
  <si>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</si>
  <si>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</si>
  <si>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</si>
  <si>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</si>
  <si>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</si>
  <si>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</si>
  <si>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</si>
  <si>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</si>
  <si>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</si>
  <si>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</si>
  <si>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</si>
  <si>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</si>
  <si>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</si>
  <si>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</si>
  <si>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</si>
  <si>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</si>
  <si>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</si>
  <si>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</si>
  <si>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</si>
  <si>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</si>
  <si>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</si>
  <si>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</si>
  <si>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</si>
  <si>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</si>
  <si>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</si>
  <si>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</si>
  <si>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</si>
  <si>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</si>
  <si>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</si>
  <si>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</si>
  <si>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</si>
  <si>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</si>
  <si>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</si>
  <si>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</si>
  <si>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</si>
  <si>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</si>
  <si>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</si>
  <si>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</si>
  <si>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</si>
  <si>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</si>
  <si>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</si>
  <si>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</si>
  <si>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</si>
  <si>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</si>
  <si>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</si>
  <si>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</si>
  <si>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</si>
  <si>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</si>
  <si>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</si>
  <si>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</si>
  <si>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</si>
  <si>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</si>
  <si>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</si>
  <si>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</si>
  <si>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</si>
  <si>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</si>
  <si>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</si>
  <si>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</si>
  <si>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</si>
  <si>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</si>
  <si>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</si>
  <si>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</si>
  <si>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</si>
  <si>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</si>
  <si>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</si>
  <si>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</si>
  <si>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</si>
  <si>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</si>
  <si>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</si>
  <si>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</si>
  <si>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</si>
  <si>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</si>
  <si>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</si>
  <si>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</si>
  <si>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</si>
  <si>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</si>
  <si>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</si>
  <si>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</si>
  <si>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</si>
  <si>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</si>
  <si>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</si>
  <si>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</si>
  <si>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</si>
  <si>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</si>
  <si>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</si>
  <si>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</si>
  <si>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</si>
  <si>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</si>
  <si>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</si>
  <si>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</si>
  <si>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</si>
  <si>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</si>
  <si>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</si>
  <si>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</si>
  <si>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</si>
  <si>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</si>
  <si>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</si>
  <si>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</si>
  <si>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</si>
  <si>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</si>
  <si>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</si>
  <si>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</si>
  <si>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</si>
  <si>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</si>
  <si>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</si>
  <si>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</si>
  <si>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</si>
  <si>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</si>
  <si>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</si>
  <si>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</si>
  <si>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</si>
  <si>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</si>
  <si>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</si>
  <si>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</si>
  <si>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</si>
  <si>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</si>
  <si>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</si>
  <si>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</si>
  <si>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</si>
  <si>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</si>
  <si>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</si>
  <si>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</si>
  <si>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</si>
  <si>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</si>
  <si>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</si>
  <si>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</si>
  <si>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</si>
  <si>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</si>
  <si>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</si>
  <si>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</si>
  <si>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</si>
  <si>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</si>
  <si>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</si>
  <si>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</si>
  <si>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</si>
  <si>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</si>
  <si>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</si>
  <si>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</si>
  <si>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</si>
  <si>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</si>
  <si>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</si>
  <si>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</si>
  <si>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</si>
  <si>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</si>
  <si>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</si>
  <si>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</si>
  <si>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</si>
  <si>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</si>
  <si>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</si>
  <si>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</si>
  <si>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</si>
  <si>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</si>
  <si>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</si>
  <si>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</si>
  <si>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</si>
  <si>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</si>
  <si>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</si>
  <si>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</si>
  <si>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</si>
  <si>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</si>
  <si>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</si>
  <si>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</si>
  <si>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</si>
  <si>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</si>
  <si>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</si>
  <si>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</si>
  <si>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</si>
  <si>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</si>
  <si>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</si>
  <si>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</si>
  <si>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</si>
  <si>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</si>
  <si>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</si>
  <si>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</si>
  <si>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</si>
  <si>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</si>
  <si>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</si>
  <si>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</si>
  <si>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</si>
  <si>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</si>
  <si>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</si>
  <si>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</si>
  <si>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</si>
  <si>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</si>
  <si>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</si>
  <si>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</si>
  <si>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</si>
  <si>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</si>
  <si>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</si>
  <si>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</si>
  <si>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</si>
  <si>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</si>
  <si>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</si>
  <si>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</si>
  <si>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</si>
  <si>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</si>
  <si>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</si>
  <si>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</si>
  <si>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</si>
  <si>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</si>
  <si>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</si>
  <si>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</si>
  <si>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</si>
  <si>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</si>
  <si>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</si>
  <si>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</si>
  <si>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</si>
  <si>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</si>
  <si>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</si>
  <si>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</si>
  <si>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</si>
  <si>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</si>
  <si>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</si>
  <si>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</si>
  <si>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</si>
  <si>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</si>
  <si>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</si>
  <si>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</si>
  <si>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</si>
  <si>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</si>
  <si>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</si>
  <si>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</si>
  <si>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</si>
  <si>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</si>
  <si>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</si>
  <si>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</si>
  <si>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</si>
  <si>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</si>
  <si>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</si>
  <si>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</si>
  <si>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</si>
  <si>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</si>
  <si>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</si>
  <si>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</si>
  <si>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</si>
  <si>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</si>
  <si>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</si>
  <si>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</si>
  <si>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</si>
  <si>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</si>
  <si>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</si>
  <si>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</si>
  <si>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</si>
  <si>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</si>
  <si>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</si>
  <si>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</si>
  <si>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</si>
  <si>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</si>
  <si>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</si>
  <si>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</si>
  <si>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</si>
  <si>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</si>
  <si>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</si>
  <si>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</si>
  <si>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</si>
  <si>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</si>
  <si>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</si>
  <si>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</si>
  <si>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</si>
  <si>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</si>
  <si>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</si>
  <si>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</si>
  <si>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</si>
  <si>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</si>
  <si>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</si>
  <si>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</si>
  <si>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</si>
  <si>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</si>
  <si>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</si>
  <si>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</si>
  <si>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</si>
  <si>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</si>
  <si>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</si>
  <si>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</si>
  <si>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</si>
  <si>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</si>
  <si>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</si>
  <si>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</si>
  <si>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</si>
  <si>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</si>
  <si>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</si>
  <si>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</si>
  <si>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</si>
  <si>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</si>
  <si>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</si>
  <si>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</si>
  <si>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</si>
  <si>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</si>
  <si>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</si>
  <si>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</si>
  <si>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</si>
  <si>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</si>
  <si>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</si>
  <si>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</si>
  <si>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</si>
  <si>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</si>
  <si>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</si>
  <si>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</si>
  <si>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</si>
  <si>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</si>
  <si>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</si>
  <si>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</si>
  <si>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</si>
  <si>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</si>
  <si>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</si>
  <si>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</si>
  <si>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</si>
  <si>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</si>
  <si>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</si>
  <si>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</si>
  <si>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</si>
  <si>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</si>
  <si>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</si>
  <si>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</si>
  <si>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</si>
  <si>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</si>
  <si>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</si>
  <si>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</si>
  <si>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</si>
  <si>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</si>
  <si>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</si>
  <si>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</si>
  <si>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</si>
  <si>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</si>
  <si>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</si>
  <si>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</si>
  <si>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</si>
  <si>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</si>
  <si>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</si>
  <si>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</si>
  <si>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</si>
  <si>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</si>
  <si>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</si>
  <si>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</si>
  <si>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</si>
  <si>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</si>
  <si>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</si>
  <si>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</si>
  <si>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</si>
  <si>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</si>
  <si>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</si>
  <si>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</si>
  <si>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</si>
  <si>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</si>
  <si>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</si>
  <si>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</si>
  <si>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</si>
  <si>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</si>
  <si>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</si>
  <si>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</si>
  <si>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</si>
  <si>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</si>
  <si>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</si>
  <si>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</si>
  <si>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</si>
  <si>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</si>
  <si>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</si>
  <si>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</si>
  <si>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</si>
  <si>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</si>
  <si>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</si>
  <si>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</si>
  <si>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</si>
  <si>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</si>
  <si>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</si>
  <si>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</si>
  <si>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</si>
  <si>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</si>
  <si>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</si>
  <si>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</si>
  <si>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</si>
  <si>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</si>
  <si>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</si>
  <si>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</si>
  <si>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</si>
  <si>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</si>
  <si>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</si>
  <si>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</si>
  <si>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</si>
  <si>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</si>
  <si>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</si>
  <si>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</si>
  <si>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</si>
  <si>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</si>
  <si>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</si>
  <si>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</si>
  <si>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</si>
  <si>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</si>
  <si>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</si>
  <si>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</si>
  <si>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</si>
  <si>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</si>
  <si>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</si>
  <si>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</si>
  <si>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</si>
  <si>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</si>
  <si>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</si>
  <si>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</si>
  <si>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</si>
  <si>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</si>
  <si>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</si>
  <si>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</si>
  <si>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</si>
  <si>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</si>
  <si>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</si>
  <si>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</si>
  <si>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</si>
  <si>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</si>
  <si>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</si>
  <si>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</si>
  <si>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</si>
  <si>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</si>
  <si>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</si>
  <si>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</si>
  <si>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</si>
  <si>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</si>
  <si>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</si>
  <si>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</si>
  <si>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</si>
  <si>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</si>
  <si>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</si>
  <si>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</si>
  <si>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</si>
  <si>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</si>
  <si>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</si>
  <si>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</si>
  <si>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</si>
  <si>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</si>
  <si>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</si>
  <si>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</si>
  <si>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</si>
  <si>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</si>
  <si>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</si>
  <si>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</si>
  <si>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</si>
  <si>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</si>
  <si>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</si>
  <si>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</si>
  <si>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</si>
  <si>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</si>
  <si>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</si>
  <si>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</si>
  <si>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</si>
  <si>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</si>
  <si>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</si>
  <si>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</si>
  <si>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</si>
  <si>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</si>
  <si>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</si>
  <si>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</si>
  <si>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</si>
  <si>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</si>
  <si>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</si>
  <si>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</si>
  <si>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</si>
  <si>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</si>
  <si>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</si>
  <si>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</si>
  <si>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</si>
  <si>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</si>
  <si>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</si>
  <si>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</si>
  <si>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</si>
  <si>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</si>
  <si>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</si>
  <si>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</si>
  <si>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</si>
  <si>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</si>
  <si>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</si>
  <si>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</si>
  <si>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</si>
  <si>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</si>
  <si>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</si>
  <si>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</si>
  <si>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</si>
  <si>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</si>
  <si>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</si>
  <si>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</si>
  <si>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</si>
  <si>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</si>
  <si>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</si>
  <si>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</si>
  <si>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</si>
  <si>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</si>
  <si>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</si>
  <si>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</si>
  <si>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</si>
  <si>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</si>
  <si>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</si>
  <si>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</si>
  <si>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</si>
  <si>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</si>
  <si>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</si>
  <si>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</si>
  <si>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</si>
  <si>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</si>
  <si>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</si>
  <si>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</si>
  <si>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</si>
  <si>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</si>
  <si>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</si>
  <si>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</si>
  <si>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</si>
  <si>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</si>
  <si>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</si>
  <si>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</si>
  <si>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</si>
  <si>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</si>
  <si>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</si>
  <si>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</si>
  <si>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</si>
  <si>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</si>
  <si>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</si>
  <si>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</si>
  <si>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</si>
  <si>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</si>
  <si>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</si>
  <si>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</si>
  <si>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</si>
  <si>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</si>
  <si>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</si>
  <si>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</si>
  <si>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</si>
  <si>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</si>
  <si>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</si>
  <si>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</si>
  <si>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</si>
  <si>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</si>
  <si>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</si>
  <si>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</si>
  <si>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</si>
  <si>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</si>
  <si>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</si>
  <si>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</si>
  <si>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</si>
  <si>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</si>
  <si>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</si>
  <si>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</si>
  <si>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</si>
  <si>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</si>
  <si>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</si>
  <si>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</si>
  <si>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</si>
  <si>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</si>
  <si>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</si>
  <si>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</si>
  <si>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</si>
  <si>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</si>
  <si>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</si>
  <si>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</si>
  <si>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</si>
  <si>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</si>
  <si>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</si>
  <si>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</si>
  <si>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</si>
  <si>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</si>
  <si>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</si>
  <si>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</si>
  <si>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</si>
  <si>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</si>
  <si>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</si>
  <si>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</si>
  <si>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</si>
  <si>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</si>
  <si>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</si>
  <si>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</si>
  <si>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</si>
  <si>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</si>
  <si>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</si>
  <si>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</si>
  <si>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</si>
  <si>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</si>
  <si>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</si>
  <si>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</si>
  <si>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</si>
  <si>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</si>
  <si>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</si>
  <si>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</si>
  <si>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</si>
  <si>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</si>
  <si>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</si>
  <si>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</si>
  <si>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</si>
  <si>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</si>
  <si>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</si>
  <si>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</si>
  <si>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</si>
  <si>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</si>
  <si>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</si>
  <si>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</si>
  <si>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</si>
  <si>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</si>
  <si>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</si>
  <si>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</si>
  <si>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</si>
  <si>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</si>
  <si>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</si>
  <si>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</si>
  <si>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</si>
  <si>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</si>
  <si>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</si>
  <si>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</si>
  <si>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</si>
  <si>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</si>
  <si>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</si>
  <si>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</si>
  <si>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</si>
  <si>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</si>
  <si>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</si>
  <si>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</si>
  <si>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</si>
  <si>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</si>
  <si>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</si>
  <si>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</si>
  <si>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</si>
  <si>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</si>
  <si>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</si>
  <si>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</si>
  <si>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</si>
  <si>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</si>
  <si>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</si>
  <si>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</si>
  <si>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</si>
  <si>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</si>
  <si>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</si>
  <si>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</si>
  <si>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</si>
  <si>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</si>
  <si>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</si>
  <si>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</si>
  <si>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</si>
  <si>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</si>
  <si>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</si>
  <si>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</si>
  <si>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</si>
  <si>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</si>
  <si>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</si>
  <si>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</si>
  <si>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</si>
  <si>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</si>
  <si>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</si>
  <si>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</si>
  <si>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</si>
  <si>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</si>
  <si>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</si>
  <si>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</si>
  <si>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</si>
  <si>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</si>
  <si>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</si>
  <si>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</si>
  <si>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</si>
  <si>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</si>
  <si>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</si>
  <si>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</si>
  <si>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</si>
  <si>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</si>
  <si>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</si>
  <si>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</si>
  <si>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</si>
  <si>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</si>
  <si>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</si>
  <si>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</si>
  <si>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</si>
  <si>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</si>
  <si>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</si>
  <si>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</si>
  <si>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</si>
  <si>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</si>
  <si>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</si>
  <si>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</si>
  <si>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</si>
  <si>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</si>
  <si>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</si>
  <si>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</si>
  <si>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</si>
  <si>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</si>
  <si>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</si>
  <si>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</si>
  <si>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</si>
  <si>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</si>
  <si>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</si>
  <si>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</si>
  <si>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</si>
  <si>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</si>
  <si>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</si>
  <si>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</si>
  <si>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</si>
  <si>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</si>
  <si>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</si>
  <si>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</si>
  <si>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</si>
  <si>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</si>
  <si>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</si>
  <si>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</si>
  <si>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</si>
  <si>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</si>
  <si>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</si>
  <si>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</si>
  <si>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</si>
  <si>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</si>
  <si>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</si>
  <si>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</si>
  <si>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</si>
  <si>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</si>
  <si>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</si>
  <si>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</si>
  <si>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</si>
  <si>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</si>
  <si>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</si>
  <si>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</si>
  <si>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</si>
  <si>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</si>
  <si>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</si>
  <si>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</si>
  <si>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</si>
  <si>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</si>
  <si>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</si>
  <si>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</si>
  <si>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</si>
  <si>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</si>
  <si>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</si>
  <si>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</si>
  <si>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</si>
  <si>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</si>
  <si>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</si>
  <si>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</si>
  <si>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</si>
  <si>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</si>
  <si>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</si>
  <si>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</si>
  <si>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</si>
  <si>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</si>
  <si>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</si>
  <si>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</si>
  <si>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</si>
  <si>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</si>
  <si>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</si>
  <si>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</si>
  <si>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</si>
  <si>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</si>
  <si>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</si>
  <si>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</si>
  <si>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</si>
  <si>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</si>
  <si>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</si>
  <si>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</si>
  <si>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</si>
  <si>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</si>
  <si>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</si>
  <si>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</si>
  <si>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</si>
  <si>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</si>
  <si>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</si>
  <si>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</si>
  <si>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</si>
  <si>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</si>
  <si>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</si>
  <si>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</si>
  <si>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</si>
  <si>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</si>
  <si>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</si>
  <si>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</si>
  <si>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</si>
  <si>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</si>
  <si>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</si>
  <si>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</si>
  <si>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</si>
  <si>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</si>
  <si>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</si>
  <si>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</si>
  <si>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</si>
  <si>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</si>
  <si>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</si>
  <si>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</si>
  <si>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</si>
  <si>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</si>
  <si>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</si>
  <si>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</si>
  <si>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</si>
  <si>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</si>
  <si>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</si>
  <si>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</si>
  <si>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</si>
  <si>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</si>
  <si>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</si>
  <si>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</si>
  <si>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</si>
  <si>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</si>
  <si>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</si>
  <si>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</si>
  <si>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</si>
  <si>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</si>
  <si>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</si>
  <si>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</si>
  <si>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</si>
  <si>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</si>
  <si>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</si>
  <si>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</si>
  <si>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</si>
  <si>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</si>
  <si>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</si>
  <si>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</si>
  <si>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</si>
  <si>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</si>
  <si>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</si>
  <si>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</si>
  <si>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</si>
  <si>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</si>
  <si>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</si>
  <si>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</si>
  <si>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</si>
  <si>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</si>
  <si>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</si>
  <si>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</si>
  <si>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</si>
  <si>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</si>
  <si>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</si>
  <si>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</si>
  <si>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</si>
  <si>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</si>
  <si>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</si>
  <si>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</si>
  <si>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</si>
  <si>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</si>
  <si>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</si>
  <si>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</si>
  <si>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</si>
  <si>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</si>
  <si>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</si>
  <si>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</si>
  <si>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</si>
  <si>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</si>
  <si>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</si>
  <si>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</si>
  <si>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</si>
  <si>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</si>
  <si>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</si>
  <si>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</si>
  <si>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</si>
  <si>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</si>
  <si>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</si>
  <si>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</si>
  <si>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</si>
  <si>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</si>
  <si>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</si>
  <si>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</si>
  <si>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</si>
  <si>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</si>
  <si>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</si>
  <si>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</si>
  <si>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</si>
  <si>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</si>
  <si>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</si>
  <si>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</si>
  <si>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</si>
  <si>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</si>
  <si>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</si>
  <si>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</si>
  <si>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</si>
  <si>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</si>
  <si>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</si>
  <si>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</si>
  <si>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</si>
  <si>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</si>
  <si>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</si>
  <si>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</si>
  <si>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</si>
  <si>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</si>
  <si>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</si>
  <si>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</si>
  <si>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</si>
  <si>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</si>
  <si>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</si>
  <si>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</si>
  <si>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</si>
  <si>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</si>
  <si>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</si>
  <si>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</si>
  <si>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</si>
  <si>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</si>
  <si>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</si>
  <si>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</si>
  <si>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</si>
  <si>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</si>
  <si>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</si>
  <si>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</si>
  <si>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</si>
  <si>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</si>
  <si>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</si>
  <si>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</si>
  <si>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</si>
  <si>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</si>
  <si>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</si>
  <si>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</si>
  <si>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</si>
  <si>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</si>
  <si>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</si>
  <si>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</si>
  <si>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</si>
  <si>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</si>
  <si>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</si>
  <si>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</si>
  <si>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</si>
  <si>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</si>
  <si>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</si>
  <si>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</si>
  <si>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</si>
  <si>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</si>
  <si>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</si>
  <si>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</si>
  <si>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</si>
  <si>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</si>
  <si>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</si>
  <si>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</si>
  <si>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</si>
  <si>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</si>
  <si>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</si>
  <si>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</si>
  <si>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</si>
  <si>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</si>
  <si>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</si>
  <si>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</si>
  <si>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</si>
  <si>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</si>
  <si>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</si>
  <si>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</si>
  <si>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</si>
  <si>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</si>
  <si>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</si>
  <si>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</si>
  <si>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</si>
  <si>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</si>
  <si>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</si>
  <si>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</si>
  <si>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</si>
  <si>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</si>
  <si>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</si>
  <si>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</si>
  <si>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</si>
  <si>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</si>
  <si>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</si>
  <si>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</si>
  <si>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</si>
  <si>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</si>
  <si>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</si>
  <si>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</si>
  <si>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</si>
  <si>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</si>
  <si>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</si>
  <si>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</si>
  <si>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</si>
  <si>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</si>
  <si>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</si>
  <si>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</si>
  <si>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</si>
  <si>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</si>
  <si>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</si>
  <si>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</si>
  <si>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</si>
  <si>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</si>
  <si>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</si>
  <si>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</si>
  <si>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</si>
  <si>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</si>
  <si>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</si>
  <si>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</si>
  <si>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</si>
  <si>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</si>
  <si>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</si>
  <si>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</si>
  <si>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</si>
  <si>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</si>
  <si>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</si>
  <si>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</si>
  <si>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</si>
  <si>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</si>
  <si>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</si>
  <si>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</si>
  <si>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</si>
  <si>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</si>
  <si>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</si>
  <si>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</si>
  <si>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</si>
  <si>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</si>
  <si>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</si>
  <si>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</si>
  <si>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</si>
  <si>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</si>
  <si>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</si>
  <si>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</si>
  <si>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</si>
  <si>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</si>
  <si>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</si>
  <si>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</si>
  <si>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</si>
  <si>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</si>
  <si>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</si>
  <si>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</si>
  <si>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</si>
  <si>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</si>
  <si>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</si>
  <si>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</si>
  <si>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</si>
  <si>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</si>
  <si>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</si>
  <si>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</si>
  <si>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</si>
  <si>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</si>
  <si>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</si>
  <si>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</si>
  <si>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</si>
  <si>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</si>
  <si>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</si>
  <si>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</si>
  <si>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</si>
  <si>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</si>
  <si>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</si>
  <si>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</si>
  <si>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</si>
  <si>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</si>
  <si>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</si>
  <si>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</si>
  <si>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</si>
  <si>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</si>
  <si>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</si>
  <si>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</si>
  <si>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</si>
  <si>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</si>
  <si>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</si>
  <si>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</si>
  <si>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</si>
  <si>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</si>
  <si>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</si>
  <si>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</si>
  <si>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</si>
  <si>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</si>
  <si>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</si>
  <si>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</si>
  <si>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</si>
  <si>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</si>
  <si>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</si>
  <si>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</si>
  <si>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</si>
  <si>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</si>
  <si>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</si>
  <si>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</si>
  <si>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</si>
  <si>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</si>
  <si>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</si>
  <si>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</si>
  <si>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</si>
  <si>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</si>
  <si>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</si>
  <si>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</si>
  <si>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</si>
  <si>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</si>
  <si>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</si>
  <si>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</si>
  <si>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</si>
  <si>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</si>
  <si>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</si>
  <si>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</si>
  <si>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</si>
  <si>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</si>
  <si>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</si>
  <si>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</si>
  <si>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</si>
  <si>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</si>
  <si>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</si>
  <si>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</si>
  <si>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</si>
  <si>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</si>
  <si>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</si>
  <si>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</si>
  <si>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</si>
  <si>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</si>
  <si>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</si>
  <si>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</si>
  <si>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</si>
  <si>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</si>
  <si>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</si>
  <si>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</si>
  <si>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</si>
  <si>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</si>
  <si>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</si>
  <si>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</si>
  <si>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</si>
  <si>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</si>
  <si>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</si>
  <si>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</si>
  <si>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</si>
  <si>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</si>
  <si>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</si>
  <si>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</si>
  <si>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</si>
  <si>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</si>
  <si>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</si>
  <si>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</si>
  <si>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</si>
  <si>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</si>
  <si>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</si>
  <si>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</si>
  <si>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</si>
  <si>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</si>
  <si>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</si>
  <si>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</si>
  <si>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</si>
  <si>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</si>
  <si>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</si>
  <si>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</si>
  <si>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</si>
  <si>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</si>
  <si>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</si>
  <si>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</si>
  <si>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</si>
  <si>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</si>
  <si>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</si>
  <si>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</si>
  <si>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</si>
  <si>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</si>
  <si>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</si>
  <si>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</si>
  <si>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</si>
  <si>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</si>
  <si>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</si>
  <si>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</si>
  <si>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</si>
  <si>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</si>
  <si>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</si>
  <si>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</si>
  <si>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</si>
  <si>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</si>
  <si>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</si>
  <si>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</si>
  <si>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</si>
  <si>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</si>
  <si>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</si>
  <si>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</si>
  <si>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</si>
  <si>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</si>
  <si>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</si>
  <si>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</si>
  <si>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</si>
  <si>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</si>
  <si>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</si>
  <si>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</si>
  <si>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</si>
  <si>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</si>
  <si>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</si>
  <si>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</si>
  <si>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</si>
  <si>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</si>
  <si>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</si>
  <si>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</si>
  <si>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</si>
  <si>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</si>
  <si>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</si>
  <si>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</si>
  <si>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</si>
  <si>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</si>
  <si>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</si>
  <si>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</si>
  <si>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</si>
  <si>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</si>
  <si>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</si>
  <si>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</si>
  <si>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</si>
  <si>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</si>
  <si>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</si>
  <si>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</si>
  <si>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</si>
  <si>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</si>
  <si>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</si>
  <si>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</si>
  <si>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</si>
  <si>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</si>
  <si>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</si>
  <si>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</si>
  <si>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</si>
  <si>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</si>
  <si>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</si>
  <si>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</si>
  <si>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</si>
  <si>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</si>
  <si>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</si>
  <si>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</si>
  <si>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</si>
  <si>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</si>
  <si>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</si>
  <si>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</si>
  <si>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</si>
  <si>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</si>
  <si>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</si>
  <si>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</si>
  <si>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</si>
  <si>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</si>
  <si>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</si>
  <si>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</si>
  <si>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</si>
  <si>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</si>
  <si>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</si>
  <si>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</si>
  <si>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</si>
  <si>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</si>
  <si>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</si>
  <si>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</si>
  <si>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</si>
  <si>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</si>
  <si>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</si>
  <si>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</si>
  <si>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</si>
  <si>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</si>
  <si>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</si>
  <si>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</si>
  <si>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</si>
  <si>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</si>
  <si>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</si>
  <si>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</si>
  <si>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</si>
  <si>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</si>
  <si>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</si>
  <si>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</si>
  <si>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</si>
  <si>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</si>
  <si>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</si>
  <si>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</si>
  <si>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</si>
  <si>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</si>
  <si>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</si>
  <si>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</si>
  <si>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</si>
  <si>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</si>
  <si>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</si>
  <si>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</si>
  <si>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</si>
  <si>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</si>
  <si>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</si>
  <si>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</si>
  <si>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</si>
  <si>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</si>
  <si>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</si>
  <si>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</si>
  <si>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</si>
  <si>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</si>
  <si>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</si>
  <si>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</si>
  <si>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</si>
  <si>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</si>
  <si>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</si>
  <si>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</si>
  <si>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</si>
  <si>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</si>
  <si>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</si>
  <si>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</si>
  <si>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</si>
  <si>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</si>
  <si>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</si>
  <si>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</si>
  <si>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</si>
  <si>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</si>
  <si>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</si>
  <si>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</si>
  <si>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</si>
  <si>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</si>
  <si>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</si>
  <si>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</si>
  <si>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</si>
  <si>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</si>
  <si>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</si>
  <si>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</si>
  <si>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</si>
  <si>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</si>
  <si>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</si>
  <si>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</si>
  <si>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</si>
  <si>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</si>
  <si>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</si>
  <si>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</si>
  <si>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</si>
  <si>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</si>
  <si>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</si>
  <si>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</si>
  <si>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</si>
  <si>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</si>
  <si>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</si>
  <si>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</si>
  <si>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</si>
  <si>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</si>
  <si>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</si>
  <si>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</si>
  <si>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</si>
  <si>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</si>
  <si>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</si>
  <si>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</si>
  <si>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</si>
  <si>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</si>
  <si>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</si>
  <si>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</si>
  <si>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</si>
  <si>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</si>
  <si>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</si>
  <si>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</si>
  <si>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</si>
  <si>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</si>
  <si>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</si>
  <si>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</si>
  <si>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</si>
  <si>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</si>
  <si>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</si>
  <si>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</si>
  <si>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</si>
  <si>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</si>
  <si>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</si>
  <si>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</si>
  <si>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</si>
  <si>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</si>
  <si>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</si>
  <si>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</si>
  <si>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</si>
  <si>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</si>
  <si>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</si>
  <si>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</si>
  <si>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</si>
  <si>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</si>
  <si>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</si>
  <si>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</si>
  <si>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</si>
  <si>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</si>
  <si>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</si>
  <si>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</si>
  <si>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</si>
  <si>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</si>
  <si>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</si>
  <si>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</si>
  <si>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</si>
  <si>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</si>
  <si>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</si>
  <si>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</si>
  <si>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</si>
  <si>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</si>
  <si>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</si>
  <si>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</si>
  <si>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</si>
  <si>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</si>
  <si>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</si>
  <si>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</si>
  <si>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</si>
  <si>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</si>
  <si>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</si>
  <si>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</si>
  <si>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</si>
  <si>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</si>
  <si>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</si>
  <si>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</si>
  <si>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</si>
  <si>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</si>
  <si>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</si>
  <si>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</si>
  <si>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</si>
  <si>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</si>
  <si>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</si>
  <si>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</si>
  <si>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</si>
  <si>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</si>
  <si>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</si>
  <si>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</si>
  <si>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</si>
  <si>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</si>
  <si>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</si>
  <si>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</si>
  <si>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</si>
  <si>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</si>
  <si>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</si>
  <si>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</si>
  <si>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</si>
  <si>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</si>
  <si>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</si>
  <si>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</si>
  <si>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</si>
  <si>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</si>
  <si>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</si>
  <si>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</si>
  <si>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</si>
  <si>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</si>
  <si>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</si>
  <si>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</si>
  <si>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</si>
  <si>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</si>
  <si>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</si>
  <si>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</si>
  <si>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</si>
  <si>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</si>
  <si>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</si>
  <si>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</si>
  <si>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</si>
  <si>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</si>
  <si>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</si>
  <si>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</si>
  <si>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</si>
  <si>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</si>
  <si>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</si>
  <si>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</si>
  <si>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</si>
  <si>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</si>
  <si>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</si>
  <si>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</si>
  <si>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</si>
  <si>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</si>
  <si>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</si>
  <si>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</si>
  <si>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</si>
  <si>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</si>
  <si>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</si>
  <si>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</si>
  <si>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</si>
  <si>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</si>
  <si>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</si>
  <si>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</si>
  <si>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</si>
  <si>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</si>
  <si>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</si>
  <si>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</si>
  <si>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</si>
  <si>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</si>
  <si>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</si>
  <si>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</si>
  <si>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</si>
  <si>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</si>
  <si>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</si>
  <si>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</si>
  <si>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</si>
  <si>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</si>
  <si>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</si>
  <si>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</si>
  <si>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</si>
  <si>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</si>
  <si>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</si>
  <si>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</si>
  <si>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</si>
  <si>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</si>
  <si>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</si>
  <si>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</si>
  <si>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</si>
  <si>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</si>
  <si>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</si>
  <si>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</si>
  <si>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</si>
  <si>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</si>
  <si>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</si>
  <si>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</si>
  <si>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</si>
  <si>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</si>
  <si>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</si>
  <si>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</si>
  <si>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</si>
  <si>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</si>
  <si>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</si>
  <si>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</si>
  <si>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</si>
  <si>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</si>
  <si>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</si>
  <si>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</si>
  <si>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</si>
  <si>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</si>
  <si>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</si>
  <si>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</si>
  <si>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</si>
  <si>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</si>
  <si>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</si>
  <si>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</si>
  <si>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</si>
  <si>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</si>
  <si>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</si>
  <si>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</si>
  <si>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</si>
  <si>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</si>
  <si>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</si>
  <si>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</si>
  <si>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</si>
  <si>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</si>
  <si>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</si>
  <si>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</si>
  <si>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</si>
  <si>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</si>
  <si>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</si>
  <si>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</si>
  <si>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</si>
  <si>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</si>
  <si>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</si>
  <si>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</si>
  <si>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</si>
  <si>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</si>
  <si>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</si>
  <si>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</si>
  <si>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</si>
  <si>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</si>
  <si>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</si>
  <si>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</si>
  <si>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</si>
  <si>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</si>
  <si>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</si>
  <si>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</si>
  <si>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</si>
  <si>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</si>
  <si>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</si>
  <si>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</si>
  <si>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</si>
  <si>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</si>
  <si>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</si>
  <si>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</si>
  <si>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</si>
  <si>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</si>
  <si>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</si>
  <si>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</si>
  <si>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</si>
  <si>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</si>
  <si>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</si>
  <si>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</si>
  <si>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</si>
  <si>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</si>
  <si>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</si>
  <si>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</si>
  <si>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</si>
  <si>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</si>
  <si>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</si>
  <si>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</si>
  <si>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</si>
  <si>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</si>
  <si>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</si>
  <si>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</si>
  <si>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</si>
  <si>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</si>
  <si>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</si>
  <si>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</si>
  <si>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</si>
  <si>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</si>
  <si>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</si>
  <si>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</si>
  <si>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</si>
  <si>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</si>
  <si>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</si>
  <si>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</si>
  <si>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</si>
  <si>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</si>
  <si>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</si>
  <si>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</si>
  <si>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</si>
  <si>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</si>
  <si>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</si>
  <si>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</si>
  <si>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</si>
  <si>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</si>
  <si>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</si>
  <si>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</si>
  <si>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</si>
  <si>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</si>
  <si>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</si>
  <si>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</si>
  <si>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</si>
  <si>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</si>
  <si>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</si>
  <si>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</si>
  <si>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</si>
  <si>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</si>
  <si>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</si>
  <si>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</si>
  <si>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</si>
  <si>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</si>
  <si>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</si>
  <si>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</si>
  <si>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</si>
  <si>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</si>
  <si>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</si>
  <si>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</si>
  <si>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</si>
  <si>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</si>
  <si>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</si>
  <si>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</si>
  <si>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</si>
  <si>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</si>
  <si>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</si>
  <si>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</si>
  <si>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</si>
  <si>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</si>
  <si>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</si>
  <si>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</si>
  <si>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</si>
  <si>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</si>
  <si>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</si>
  <si>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</si>
  <si>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</si>
  <si>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</si>
  <si>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</si>
  <si>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</si>
  <si>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</si>
  <si>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</si>
  <si>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</si>
  <si>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</si>
  <si>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</si>
  <si>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</si>
  <si>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</si>
  <si>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</si>
  <si>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</si>
  <si>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</si>
  <si>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</si>
  <si>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</si>
  <si>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</si>
  <si>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</si>
  <si>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</si>
  <si>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</si>
  <si>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</si>
  <si>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</si>
  <si>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</si>
  <si>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</si>
  <si>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</si>
  <si>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</si>
  <si>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</si>
  <si>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</si>
  <si>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</si>
  <si>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</si>
  <si>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</si>
  <si>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</si>
  <si>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</si>
  <si>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</si>
  <si>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</si>
  <si>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</si>
  <si>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</si>
  <si>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</si>
  <si>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</si>
  <si>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</si>
  <si>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</si>
  <si>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</si>
  <si>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</si>
  <si>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</si>
  <si>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</si>
  <si>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</si>
  <si>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</si>
  <si>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</si>
  <si>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</si>
  <si>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</si>
  <si>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</si>
  <si>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</si>
  <si>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</si>
  <si>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</si>
  <si>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</si>
  <si>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</si>
  <si>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</si>
  <si>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</si>
  <si>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</si>
  <si>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</si>
  <si>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</si>
  <si>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</si>
  <si>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</si>
  <si>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</si>
  <si>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</si>
  <si>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</si>
  <si>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</si>
  <si>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</si>
  <si>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</si>
  <si>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</si>
  <si>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</si>
  <si>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</si>
  <si>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</si>
  <si>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</si>
  <si>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</si>
  <si>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</si>
  <si>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</si>
  <si>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</si>
  <si>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</si>
  <si>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</si>
  <si>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</si>
  <si>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</si>
  <si>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</si>
  <si>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</si>
  <si>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</si>
  <si>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</si>
  <si>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</si>
  <si>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</si>
  <si>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</si>
  <si>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</si>
  <si>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</si>
  <si>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</si>
  <si>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</si>
  <si>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</si>
  <si>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</si>
  <si>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</si>
  <si>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</si>
  <si>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</si>
  <si>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</si>
  <si>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</si>
  <si>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</si>
  <si>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</si>
  <si>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</si>
  <si>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</si>
  <si>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</si>
  <si>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</si>
  <si>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</si>
  <si>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</si>
  <si>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</si>
  <si>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</si>
  <si>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</si>
  <si>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</si>
  <si>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</si>
  <si>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</si>
  <si>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</si>
  <si>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</si>
  <si>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</si>
  <si>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</si>
  <si>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</si>
  <si>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</si>
  <si>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</si>
  <si>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</si>
  <si>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</si>
  <si>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</si>
  <si>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</si>
  <si>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</si>
  <si>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</si>
  <si>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</si>
  <si>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</si>
  <si>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</si>
  <si>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</si>
  <si>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</si>
  <si>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</si>
  <si>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</si>
  <si>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</si>
  <si>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</si>
  <si>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</si>
  <si>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</si>
  <si>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</si>
  <si>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</si>
  <si>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</si>
  <si>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</si>
  <si>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</si>
  <si>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</si>
  <si>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</si>
  <si>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</si>
  <si>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</si>
  <si>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</si>
  <si>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</si>
  <si>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</si>
  <si>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</si>
  <si>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</si>
  <si>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</si>
  <si>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</si>
  <si>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</si>
  <si>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</si>
  <si>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</si>
  <si>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</si>
  <si>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</si>
  <si>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</si>
  <si>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</si>
  <si>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</si>
  <si>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</si>
  <si>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</si>
  <si>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</si>
  <si>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</si>
  <si>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</si>
  <si>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</si>
  <si>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</si>
  <si>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</si>
  <si>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</si>
  <si>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</si>
  <si>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</si>
  <si>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</si>
  <si>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</si>
  <si>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</si>
  <si>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</si>
  <si>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</si>
  <si>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</si>
  <si>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</si>
  <si>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</si>
  <si>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</si>
  <si>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</si>
  <si>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</si>
  <si>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</si>
  <si>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</si>
  <si>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</si>
  <si>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</si>
  <si>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</si>
  <si>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</si>
  <si>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</si>
  <si>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</si>
  <si>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</si>
  <si>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</si>
  <si>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</si>
  <si>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</si>
  <si>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</si>
  <si>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</si>
  <si>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</si>
  <si>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</si>
  <si>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</si>
  <si>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</si>
  <si>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</si>
  <si>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</si>
  <si>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</si>
  <si>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</si>
  <si>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</si>
  <si>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</si>
  <si>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</si>
  <si>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</si>
  <si>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</si>
  <si>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</si>
  <si>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</si>
  <si>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</si>
  <si>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</si>
  <si>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</si>
  <si>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</si>
  <si>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</si>
  <si>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</si>
  <si>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</si>
  <si>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</si>
  <si>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</si>
  <si>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</si>
  <si>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</si>
  <si>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</si>
  <si>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</si>
  <si>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</si>
  <si>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</si>
  <si>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</si>
  <si>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</si>
  <si>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</si>
  <si>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</si>
  <si>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</si>
  <si>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</si>
  <si>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</si>
  <si>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</si>
  <si>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</si>
  <si>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</si>
  <si>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</si>
  <si>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</si>
  <si>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</si>
  <si>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</si>
  <si>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</si>
  <si>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</si>
  <si>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</si>
  <si>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</si>
  <si>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</si>
  <si>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</si>
  <si>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</si>
  <si>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</si>
  <si>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</si>
  <si>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</si>
  <si>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</si>
  <si>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</si>
  <si>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</si>
  <si>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</si>
  <si>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</si>
  <si>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</si>
  <si>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</si>
  <si>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</si>
  <si>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</si>
  <si>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</si>
  <si>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</si>
  <si>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</si>
  <si>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</si>
  <si>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</si>
  <si>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</si>
  <si>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</si>
  <si>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</si>
  <si>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</si>
  <si>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</si>
  <si>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</si>
  <si>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</si>
  <si>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</si>
  <si>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</si>
  <si>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</si>
  <si>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</si>
  <si>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</si>
  <si>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</si>
  <si>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</si>
  <si>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</si>
  <si>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</si>
  <si>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</si>
  <si>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</si>
  <si>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</si>
  <si>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</si>
  <si>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</si>
  <si>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</si>
  <si>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</si>
  <si>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</si>
  <si>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</si>
  <si>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</si>
  <si>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</si>
  <si>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</si>
  <si>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</si>
  <si>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</si>
  <si>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</si>
  <si>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</si>
  <si>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</si>
  <si>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</si>
  <si>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</si>
  <si>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</si>
  <si>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</si>
  <si>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</si>
  <si>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</si>
  <si>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</si>
  <si>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</si>
  <si>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</si>
  <si>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</si>
  <si>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</si>
  <si>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</si>
  <si>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</si>
  <si>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</si>
  <si>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</si>
  <si>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</si>
  <si>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</si>
  <si>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</si>
  <si>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</si>
  <si>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</si>
  <si>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</si>
  <si>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</si>
  <si>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</si>
  <si>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</si>
  <si>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</si>
  <si>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</si>
  <si>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</si>
  <si>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</si>
  <si>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</si>
  <si>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</si>
  <si>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</si>
  <si>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</si>
  <si>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</si>
  <si>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</si>
  <si>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</si>
  <si>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</si>
  <si>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</si>
  <si>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</si>
  <si>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</si>
  <si>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</si>
  <si>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</si>
  <si>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</si>
  <si>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</si>
  <si>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</si>
  <si>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</si>
  <si>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</si>
  <si>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</si>
  <si>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</si>
  <si>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</si>
  <si>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</si>
  <si>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</si>
  <si>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</si>
  <si>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</si>
  <si>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</si>
  <si>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</si>
  <si>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</si>
  <si>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</si>
  <si>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</si>
  <si>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</si>
  <si>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</si>
  <si>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</si>
  <si>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</si>
  <si>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</si>
  <si>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</si>
  <si>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</si>
  <si>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</si>
  <si>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</si>
  <si>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</si>
  <si>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</si>
  <si>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</si>
  <si>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</si>
  <si>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</si>
  <si>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</si>
  <si>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</si>
  <si>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</si>
  <si>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</si>
  <si>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</si>
  <si>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</si>
  <si>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</si>
  <si>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</si>
  <si>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</si>
  <si>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</si>
  <si>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</si>
  <si>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</si>
  <si>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</si>
  <si>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</si>
  <si>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</si>
  <si>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</si>
  <si>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</si>
  <si>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</si>
  <si>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</si>
  <si>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</si>
  <si>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</si>
  <si>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</si>
  <si>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</si>
  <si>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</si>
  <si>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</si>
  <si>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</si>
  <si>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</si>
  <si>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</si>
  <si>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</si>
  <si>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</si>
  <si>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</si>
  <si>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</si>
  <si>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</si>
  <si>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</si>
  <si>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</si>
  <si>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</si>
  <si>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</si>
  <si>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</si>
  <si>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</si>
  <si>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</si>
  <si>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</si>
  <si>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</si>
  <si>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</si>
  <si>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</si>
  <si>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</si>
  <si>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</si>
  <si>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</si>
  <si>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</si>
  <si>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</si>
  <si>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</si>
  <si>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</si>
  <si>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</si>
  <si>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</si>
  <si>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</si>
  <si>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</si>
  <si>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</si>
  <si>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</si>
  <si>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</si>
  <si>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</si>
  <si>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</si>
  <si>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</si>
  <si>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</si>
  <si>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</si>
  <si>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</si>
  <si>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</si>
  <si>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</si>
  <si>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</si>
  <si>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</si>
  <si>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</si>
  <si>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</si>
  <si>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</si>
  <si>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</si>
  <si>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</si>
  <si>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</si>
  <si>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</si>
  <si>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</si>
  <si>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</si>
  <si>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</si>
  <si>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</si>
  <si>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</si>
  <si>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</si>
  <si>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</si>
  <si>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</si>
  <si>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</si>
  <si>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</si>
  <si>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</si>
  <si>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</si>
  <si>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</si>
  <si>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</si>
  <si>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</si>
  <si>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</si>
  <si>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</si>
  <si>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</si>
  <si>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</si>
  <si>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</si>
  <si>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</si>
  <si>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</si>
  <si>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</si>
  <si>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</si>
  <si>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</si>
  <si>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</si>
  <si>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</si>
  <si>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</si>
  <si>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</si>
  <si>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</si>
  <si>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</si>
  <si>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</si>
  <si>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</si>
  <si>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</si>
  <si>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</si>
  <si>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</si>
  <si>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</si>
  <si>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</si>
  <si>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</si>
  <si>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</si>
  <si>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</si>
  <si>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</si>
  <si>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</si>
  <si>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</si>
  <si>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</si>
  <si>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</si>
  <si>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</si>
  <si>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</si>
  <si>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</si>
  <si>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</si>
  <si>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</si>
  <si>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</si>
  <si>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</si>
  <si>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</si>
  <si>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</si>
  <si>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</si>
  <si>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</si>
  <si>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</si>
  <si>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</si>
  <si>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</si>
  <si>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</si>
  <si>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</si>
  <si>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</si>
  <si>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</si>
  <si>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</si>
  <si>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</si>
  <si>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</si>
  <si>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</si>
  <si>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</si>
  <si>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</si>
  <si>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</si>
  <si>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</si>
  <si>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</si>
  <si>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</si>
  <si>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</si>
  <si>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</si>
  <si>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</si>
  <si>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</si>
  <si>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</si>
  <si>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</si>
  <si>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</si>
  <si>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</si>
  <si>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</si>
  <si>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</si>
  <si>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</si>
  <si>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</si>
  <si>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</si>
  <si>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</si>
  <si>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</si>
  <si>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</si>
  <si>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</si>
  <si>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</si>
  <si>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</si>
  <si>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</si>
  <si>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</si>
  <si>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</si>
  <si>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</si>
  <si>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</si>
  <si>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</si>
  <si>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</si>
  <si>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</si>
  <si>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</si>
  <si>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</si>
  <si>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</si>
  <si>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</si>
  <si>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</si>
  <si>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</si>
  <si>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</si>
  <si>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</si>
  <si>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</si>
  <si>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</si>
  <si>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</si>
  <si>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</si>
  <si>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</si>
  <si>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</si>
  <si>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</si>
  <si>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</si>
  <si>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</si>
  <si>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</si>
  <si>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</si>
  <si>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</si>
  <si>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</si>
  <si>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</si>
  <si>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</si>
  <si>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</si>
  <si>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</si>
  <si>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</si>
  <si>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</si>
  <si>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</si>
  <si>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</si>
  <si>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</si>
  <si>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</si>
  <si>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</si>
  <si>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</si>
  <si>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</si>
  <si>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</si>
  <si>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</si>
  <si>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</si>
  <si>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</si>
  <si>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</si>
  <si>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</si>
  <si>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</si>
  <si>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</si>
  <si>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</si>
  <si>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</si>
  <si>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</si>
  <si>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</si>
  <si>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</si>
  <si>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</si>
  <si>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</si>
  <si>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</si>
  <si>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</si>
  <si>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</si>
  <si>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</si>
  <si>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</si>
  <si>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</si>
  <si>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</si>
  <si>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</si>
  <si>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</si>
  <si>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</si>
  <si>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</si>
  <si>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</si>
  <si>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</si>
  <si>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</si>
  <si>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</si>
  <si>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</si>
  <si>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</si>
  <si>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</si>
  <si>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</si>
  <si>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</si>
  <si>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</si>
  <si>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</si>
  <si>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</si>
  <si>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</si>
  <si>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</si>
  <si>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</si>
  <si>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</si>
  <si>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</si>
  <si>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</si>
  <si>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</si>
  <si>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</si>
  <si>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</si>
  <si>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</si>
  <si>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</si>
  <si>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</si>
  <si>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</si>
  <si>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</si>
  <si>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</si>
  <si>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</si>
  <si>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</si>
  <si>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</si>
  <si>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</si>
  <si>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</si>
  <si>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</si>
  <si>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</si>
  <si>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</si>
  <si>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</si>
  <si>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</si>
  <si>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</si>
  <si>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</si>
  <si>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</si>
  <si>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</si>
  <si>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</si>
  <si>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</si>
  <si>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</si>
  <si>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</si>
  <si>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</si>
  <si>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</si>
  <si>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</si>
  <si>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</si>
  <si>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</si>
  <si>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</si>
  <si>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</si>
  <si>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</si>
  <si>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</si>
  <si>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</si>
  <si>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</si>
  <si>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</si>
  <si>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</si>
  <si>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</si>
  <si>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</si>
  <si>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</si>
  <si>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</si>
  <si>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</si>
  <si>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</si>
  <si>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</si>
  <si>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</si>
  <si>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</si>
  <si>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</si>
  <si>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</si>
  <si>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</si>
  <si>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</si>
  <si>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</si>
  <si>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</si>
  <si>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</si>
  <si>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</si>
  <si>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</si>
  <si>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</si>
  <si>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</si>
  <si>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</si>
  <si>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</si>
  <si>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</si>
  <si>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</si>
  <si>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</si>
  <si>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</si>
  <si>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</si>
  <si>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</si>
  <si>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</si>
  <si>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</si>
  <si>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</si>
  <si>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</si>
  <si>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</si>
  <si>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</si>
  <si>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</si>
  <si>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</si>
  <si>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</si>
  <si>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</si>
  <si>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</si>
  <si>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</si>
  <si>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</si>
  <si>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</si>
  <si>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</si>
  <si>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</si>
  <si>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</si>
  <si>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</si>
  <si>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</si>
  <si>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</si>
  <si>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</si>
  <si>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</si>
  <si>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</si>
  <si>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</si>
  <si>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</si>
  <si>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</si>
  <si>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</si>
  <si>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</si>
  <si>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</si>
  <si>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</si>
  <si>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</si>
  <si>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</si>
  <si>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</si>
  <si>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</si>
  <si>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</si>
  <si>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</si>
  <si>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</si>
  <si>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</si>
  <si>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</si>
  <si>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</si>
  <si>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</si>
  <si>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</si>
  <si>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</si>
  <si>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</si>
  <si>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</si>
  <si>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</si>
  <si>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</si>
  <si>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</si>
  <si>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</si>
  <si>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</si>
  <si>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</si>
  <si>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</si>
  <si>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</si>
  <si>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</si>
  <si>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</si>
  <si>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</si>
  <si>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</si>
  <si>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</si>
  <si>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</si>
  <si>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</si>
  <si>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</si>
  <si>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</si>
  <si>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</si>
  <si>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</si>
  <si>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</si>
  <si>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</si>
  <si>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</si>
  <si>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</si>
  <si>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</si>
  <si>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</si>
  <si>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</si>
  <si>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</si>
  <si>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</si>
  <si>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</si>
  <si>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</si>
  <si>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</si>
  <si>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</si>
  <si>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</si>
  <si>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</si>
  <si>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</si>
  <si>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</si>
  <si>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</si>
  <si>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</si>
  <si>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</si>
  <si>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</si>
  <si>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</si>
  <si>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</si>
  <si>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</si>
  <si>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</si>
  <si>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</si>
  <si>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</si>
  <si>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</si>
  <si>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</si>
  <si>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</si>
  <si>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</si>
  <si>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</si>
  <si>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</si>
  <si>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</si>
  <si>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</si>
  <si>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</si>
  <si>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</si>
  <si>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</si>
  <si>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</si>
  <si>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</si>
  <si>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</si>
  <si>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</si>
  <si>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</si>
  <si>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</si>
  <si>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</si>
  <si>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</si>
  <si>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</si>
  <si>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</si>
  <si>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</si>
  <si>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</si>
  <si>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</si>
  <si>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</si>
  <si>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</si>
  <si>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</si>
  <si>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</si>
  <si>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</si>
  <si>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</si>
  <si>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</si>
  <si>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</si>
  <si>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</si>
  <si>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</si>
  <si>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</si>
  <si>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</si>
  <si>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</si>
  <si>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</si>
  <si>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</si>
  <si>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</si>
  <si>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</si>
  <si>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</si>
  <si>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</si>
  <si>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</si>
  <si>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</si>
  <si>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</si>
  <si>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</si>
  <si>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</si>
  <si>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</si>
  <si>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</si>
  <si>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</si>
  <si>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</si>
  <si>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</si>
  <si>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</si>
  <si>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</si>
  <si>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</si>
  <si>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</si>
  <si>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</si>
  <si>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</si>
  <si>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</si>
  <si>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</si>
  <si>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</si>
  <si>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</si>
  <si>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</si>
  <si>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</si>
  <si>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</si>
  <si>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</si>
  <si>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</si>
  <si>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</si>
  <si>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</si>
  <si>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</si>
  <si>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</si>
  <si>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</si>
  <si>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</si>
  <si>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</si>
  <si>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</si>
  <si>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</si>
  <si>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</si>
  <si>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</si>
  <si>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</si>
  <si>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</si>
  <si>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</si>
  <si>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</si>
  <si>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</si>
  <si>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</si>
  <si>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</si>
  <si>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</si>
  <si>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</si>
  <si>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</si>
  <si>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</si>
  <si>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</si>
  <si>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</si>
  <si>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</si>
  <si>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</si>
  <si>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</si>
  <si>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</si>
  <si>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</si>
  <si>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</si>
  <si>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</si>
  <si>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</si>
  <si>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</si>
  <si>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</si>
  <si>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</si>
  <si>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</si>
  <si>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</si>
  <si>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</si>
  <si>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</si>
  <si>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</si>
  <si>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</si>
  <si>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</si>
  <si>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</si>
  <si>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</si>
  <si>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</si>
  <si>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</si>
  <si>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</si>
  <si>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</si>
  <si>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</si>
  <si>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</si>
  <si>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</si>
  <si>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</si>
  <si>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</si>
  <si>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</si>
  <si>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</si>
  <si>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</si>
  <si>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</si>
  <si>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</si>
  <si>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</si>
  <si>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</si>
  <si>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</si>
  <si>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</si>
  <si>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</si>
  <si>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</si>
  <si>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</si>
  <si>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</si>
  <si>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</si>
  <si>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</si>
  <si>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</si>
  <si>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</si>
  <si>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</si>
  <si>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</si>
  <si>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</si>
  <si>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</si>
  <si>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</si>
  <si>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</si>
  <si>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</si>
  <si>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</si>
  <si>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</si>
  <si>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</si>
  <si>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</si>
  <si>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</si>
  <si>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</si>
  <si>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</si>
  <si>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</si>
  <si>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</si>
  <si>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</si>
  <si>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</si>
  <si>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</si>
  <si>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</si>
  <si>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</si>
  <si>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</si>
  <si>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</si>
  <si>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</si>
  <si>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</si>
  <si>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</si>
  <si>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</si>
  <si>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</si>
  <si>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</si>
  <si>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</si>
  <si>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</si>
  <si>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</si>
  <si>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</si>
  <si>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</si>
  <si>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</si>
  <si>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</si>
  <si>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</si>
  <si>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</si>
  <si>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</si>
  <si>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</si>
  <si>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</si>
  <si>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</si>
  <si>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</si>
  <si>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</si>
  <si>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</si>
  <si>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</si>
  <si>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</si>
  <si>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</si>
  <si>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</si>
  <si>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</si>
  <si>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</si>
  <si>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</si>
  <si>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</si>
  <si>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</si>
  <si>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</si>
  <si>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</si>
  <si>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</si>
  <si>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</si>
  <si>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</si>
  <si>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</si>
  <si>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</si>
  <si>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</si>
  <si>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</si>
  <si>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</si>
  <si>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</si>
  <si>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</si>
  <si>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</si>
  <si>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</si>
  <si>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</si>
  <si>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</si>
  <si>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</si>
  <si>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</si>
  <si>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</si>
  <si>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</si>
  <si>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</si>
  <si>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</si>
  <si>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</si>
  <si>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</si>
  <si>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</si>
  <si>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</si>
  <si>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</si>
  <si>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</si>
  <si>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</si>
  <si>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</si>
  <si>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</si>
  <si>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</si>
  <si>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</si>
  <si>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</si>
  <si>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</si>
  <si>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</si>
  <si>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</si>
  <si>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</si>
  <si>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</si>
  <si>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</si>
  <si>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</si>
  <si>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</si>
  <si>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</si>
  <si>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</si>
  <si>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</si>
  <si>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</si>
  <si>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</si>
  <si>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</si>
  <si>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</si>
  <si>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</si>
  <si>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</si>
  <si>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</si>
  <si>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</si>
  <si>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</si>
  <si>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</si>
  <si>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</si>
  <si>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</si>
  <si>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</si>
  <si>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</si>
  <si>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</si>
  <si>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</si>
  <si>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</si>
  <si>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</si>
  <si>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</si>
  <si>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</si>
  <si>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</si>
  <si>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</si>
  <si>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</si>
  <si>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</si>
  <si>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</si>
  <si>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</si>
  <si>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</si>
  <si>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</si>
  <si>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</si>
  <si>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</si>
  <si>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</si>
  <si>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</si>
  <si>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</si>
  <si>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</si>
  <si>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</si>
  <si>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</si>
  <si>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</si>
  <si>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</si>
  <si>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</si>
  <si>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</si>
  <si>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</si>
  <si>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</si>
  <si>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</si>
  <si>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</si>
  <si>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</si>
  <si>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</si>
  <si>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</si>
  <si>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</si>
  <si>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</si>
  <si>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</si>
  <si>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</si>
  <si>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</si>
  <si>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</si>
  <si>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</si>
  <si>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</si>
  <si>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</si>
  <si>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</si>
  <si>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</si>
  <si>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</si>
  <si>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</si>
  <si>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</si>
  <si>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</si>
  <si>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</si>
  <si>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</si>
  <si>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</si>
  <si>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</si>
  <si>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</si>
  <si>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</si>
  <si>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</si>
  <si>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</si>
  <si>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</si>
  <si>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</si>
  <si>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</si>
  <si>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</si>
  <si>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</si>
  <si>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</si>
  <si>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</si>
  <si>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</si>
  <si>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</si>
  <si>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</si>
  <si>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</si>
  <si>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</si>
  <si>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</si>
  <si>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</si>
  <si>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</si>
  <si>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</si>
  <si>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</si>
  <si>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</si>
  <si>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</si>
  <si>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</si>
  <si>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</si>
  <si>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</si>
  <si>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</si>
  <si>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</si>
  <si>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</si>
  <si>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</si>
  <si>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</si>
  <si>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</si>
  <si>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</si>
  <si>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</si>
  <si>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</si>
  <si>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</si>
  <si>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</si>
  <si>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</si>
  <si>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</si>
  <si>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</si>
  <si>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</si>
  <si>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</si>
  <si>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</si>
  <si>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</si>
  <si>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</si>
  <si>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</si>
  <si>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</si>
  <si>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</si>
  <si>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</si>
  <si>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</si>
  <si>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</si>
  <si>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</si>
  <si>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</si>
  <si>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</si>
  <si>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</si>
  <si>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</si>
  <si>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</si>
  <si>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</si>
  <si>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</si>
  <si>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</si>
  <si>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</si>
  <si>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</si>
  <si>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</si>
  <si>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</si>
  <si>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</si>
  <si>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</si>
  <si>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</si>
  <si>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</si>
  <si>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</si>
  <si>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</si>
  <si>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</si>
  <si>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</si>
  <si>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</si>
  <si>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</si>
  <si>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</si>
  <si>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</si>
  <si>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</si>
  <si>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</si>
  <si>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</si>
  <si>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</si>
  <si>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</si>
  <si>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</si>
  <si>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</si>
  <si>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</si>
  <si>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</si>
  <si>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</si>
  <si>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</si>
  <si>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</si>
  <si>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</si>
  <si>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</si>
  <si>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</si>
  <si>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</si>
  <si>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</si>
  <si>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</si>
  <si>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</si>
  <si>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</si>
  <si>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</si>
  <si>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</si>
  <si>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</si>
  <si>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</si>
  <si>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</si>
  <si>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</si>
  <si>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</si>
  <si>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</si>
  <si>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</si>
  <si>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</si>
  <si>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</si>
  <si>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</si>
  <si>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</si>
  <si>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</si>
  <si>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</si>
  <si>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</si>
  <si>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</si>
  <si>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</si>
  <si>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</si>
  <si>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</si>
  <si>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</si>
  <si>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</si>
  <si>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</si>
  <si>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</si>
  <si>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</si>
  <si>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</si>
  <si>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</si>
  <si>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</si>
  <si>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</si>
  <si>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</si>
  <si>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</si>
  <si>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</si>
  <si>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</si>
  <si>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</si>
  <si>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</si>
  <si>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</si>
  <si>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</si>
  <si>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</si>
  <si>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</si>
  <si>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</si>
  <si>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</si>
  <si>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</si>
  <si>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</si>
  <si>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</si>
  <si>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</si>
  <si>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</si>
  <si>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</si>
  <si>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</si>
  <si>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</si>
  <si>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</si>
  <si>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</si>
  <si>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</si>
  <si>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</si>
  <si>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</si>
  <si>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</si>
  <si>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</si>
  <si>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</si>
  <si>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</si>
  <si>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</si>
  <si>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</si>
  <si>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</si>
  <si>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</si>
  <si>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</si>
  <si>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</si>
  <si>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</si>
  <si>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</si>
  <si>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</si>
  <si>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</si>
  <si>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</si>
  <si>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</si>
  <si>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</si>
  <si>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</si>
  <si>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</si>
  <si>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</si>
  <si>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</si>
  <si>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</si>
  <si>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</si>
  <si>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</si>
  <si>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</si>
  <si>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</si>
  <si>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</si>
  <si>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</si>
  <si>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</si>
  <si>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</si>
  <si>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</si>
  <si>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</si>
  <si>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</si>
  <si>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</si>
  <si>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</si>
  <si>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</si>
  <si>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</si>
  <si>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</si>
  <si>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</si>
  <si>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</si>
  <si>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</si>
  <si>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</si>
  <si>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</si>
  <si>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</si>
  <si>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</si>
  <si>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</si>
  <si>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</si>
  <si>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</si>
  <si>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</si>
  <si>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</si>
  <si>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出让</t>
  </si>
  <si>
    <t>北京市</t>
  </si>
  <si>
    <t>北京房地集团有限公司</t>
    <phoneticPr fontId="6" type="noConversion"/>
  </si>
  <si>
    <t>企业</t>
  </si>
  <si>
    <t>房地产抵押价值</t>
  </si>
  <si>
    <t>抵押</t>
  </si>
  <si>
    <t>办公项目</t>
  </si>
  <si>
    <t>无</t>
  </si>
  <si>
    <t>否</t>
  </si>
  <si>
    <t>现房</t>
  </si>
  <si>
    <t>欧红伟</t>
  </si>
  <si>
    <t>梁津</t>
  </si>
  <si>
    <t>通路</t>
  </si>
  <si>
    <t>通电</t>
  </si>
  <si>
    <t>通讯</t>
  </si>
  <si>
    <t>通上水</t>
  </si>
  <si>
    <t>通下水</t>
  </si>
  <si>
    <t>通热</t>
  </si>
  <si>
    <t>燃气</t>
  </si>
  <si>
    <t>是</t>
  </si>
  <si>
    <t>地上</t>
  </si>
  <si>
    <t>酒店</t>
  </si>
  <si>
    <t>地下</t>
  </si>
  <si>
    <t>食堂</t>
  </si>
  <si>
    <t>办公</t>
    <phoneticPr fontId="7" type="noConversion"/>
  </si>
  <si>
    <t>成新度</t>
  </si>
  <si>
    <t>商务金融用地（办公类）</t>
  </si>
  <si>
    <t>七通一平</t>
  </si>
  <si>
    <t>一致</t>
  </si>
  <si>
    <t>容积率修正</t>
  </si>
  <si>
    <t>未包含在土地购买价格中</t>
  </si>
  <si>
    <t>全部缴纳</t>
  </si>
  <si>
    <t>已包含在土地取得成本中</t>
  </si>
  <si>
    <t>押一</t>
  </si>
  <si>
    <t>砖混</t>
  </si>
  <si>
    <t>非生产用房</t>
  </si>
  <si>
    <t>基准地价</t>
  </si>
  <si>
    <t>收益法</t>
  </si>
  <si>
    <t>成本法</t>
  </si>
  <si>
    <t>幢号</t>
    <phoneticPr fontId="143" type="noConversion"/>
  </si>
  <si>
    <t>建成年代</t>
    <phoneticPr fontId="143" type="noConversion"/>
  </si>
  <si>
    <t>结构</t>
    <phoneticPr fontId="143" type="noConversion"/>
  </si>
  <si>
    <t>建筑面积</t>
    <phoneticPr fontId="143" type="noConversion"/>
  </si>
  <si>
    <t>混合</t>
    <phoneticPr fontId="143" type="noConversion"/>
  </si>
  <si>
    <t>成新度</t>
    <phoneticPr fontId="143" type="noConversion"/>
  </si>
  <si>
    <t>直线折旧</t>
    <phoneticPr fontId="143" type="noConversion"/>
  </si>
  <si>
    <t>观察成新</t>
    <phoneticPr fontId="143" type="noConversion"/>
  </si>
  <si>
    <t>综合</t>
    <phoneticPr fontId="143" type="noConversion"/>
  </si>
  <si>
    <t>较差</t>
  </si>
  <si>
    <t>差</t>
  </si>
  <si>
    <t>一般</t>
  </si>
  <si>
    <t>好</t>
  </si>
  <si>
    <t>较好</t>
  </si>
  <si>
    <r>
      <rPr>
        <sz val="12"/>
        <color theme="9" tint="-0.249977111117893"/>
        <rFont val="宋体"/>
        <family val="3"/>
        <charset val="134"/>
      </rPr>
      <t>东城区菊儿胡同</t>
    </r>
    <r>
      <rPr>
        <sz val="12"/>
        <color theme="9" tint="-0.249977111117893"/>
        <rFont val="Arial"/>
        <family val="2"/>
      </rPr>
      <t>33</t>
    </r>
    <r>
      <rPr>
        <sz val="12"/>
        <color theme="9" tint="-0.249977111117893"/>
        <rFont val="宋体"/>
        <family val="3"/>
        <charset val="134"/>
      </rPr>
      <t>号</t>
    </r>
    <r>
      <rPr>
        <sz val="12"/>
        <color theme="9" tint="-0.249977111117893"/>
        <rFont val="Arial"/>
        <family val="2"/>
      </rPr>
      <t>13</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t>
    </r>
    <phoneticPr fontId="6" type="noConversion"/>
  </si>
  <si>
    <r>
      <t>39.84</t>
    </r>
    <r>
      <rPr>
        <sz val="12"/>
        <color theme="9" tint="-0.249977111117893"/>
        <rFont val="宋体"/>
        <family val="3"/>
        <charset val="134"/>
      </rPr>
      <t>年</t>
    </r>
    <phoneticPr fontId="6" type="noConversion"/>
  </si>
  <si>
    <t>办公</t>
    <phoneticPr fontId="6" type="noConversion"/>
  </si>
  <si>
    <t>原件</t>
  </si>
  <si>
    <t>北京农村商业银行股份有限公司北京中关村支行</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</si>
  <si>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031706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</si>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</sst>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4"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0" xfId="0" applyFon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A75" sqref="A75"/>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北京市东城区菊儿胡同33号13幢等4幢房地产抵押价值预评估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受贵公司委托，我公司对北京市东城区菊儿胡同33号13幢等4幢房地产抵押价值进行了预评估。</v>
      </c>
    </row>
    <row r="7" spans="1:2" s="1597" customFormat="1">
      <c r="A7" s="1595" t="s">
        <v>1265</v>
      </c>
      <c r="B7" s="1596" t="str">
        <f>'预评函-1'!A7</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21995</v>
      </c>
    </row>
    <row r="21" spans="1:2" s="1597" customFormat="1">
      <c r="A21" s="1595" t="s">
        <v>1236</v>
      </c>
      <c r="B21" s="1596">
        <f ca="1">'预评函-2'!D7</f>
        <v>46462</v>
      </c>
    </row>
    <row r="22" spans="1:2" s="1597" customFormat="1">
      <c r="A22" s="1595" t="s">
        <v>1237</v>
      </c>
      <c r="B22" s="1596" t="str">
        <f ca="1">'预评函-2'!D6</f>
        <v>贰亿壹仟玖佰玖拾伍万元整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21995</v>
      </c>
    </row>
    <row r="31" spans="1:2" s="1597" customFormat="1">
      <c r="A31" s="1595" t="s">
        <v>1275</v>
      </c>
      <c r="B31" s="1596">
        <f ca="1">'预评函-2'!D15</f>
        <v>46462</v>
      </c>
    </row>
    <row r="32" spans="1:2" s="1597" customFormat="1">
      <c r="A32" s="1595" t="s">
        <v>1242</v>
      </c>
      <c r="B32" s="1596" t="str">
        <f ca="1">'预评函-2'!D14</f>
        <v>贰亿壹仟玖佰玖拾伍万元整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北京市东城区菊儿胡同33号13幢等4幢房地产</v>
      </c>
    </row>
    <row r="42" spans="1:2" s="1597" customFormat="1">
      <c r="A42" s="1595" t="s">
        <v>1289</v>
      </c>
      <c r="B42" s="1596" t="str">
        <f>'预评函-3'!B2</f>
        <v>建筑面积</v>
      </c>
    </row>
    <row r="43" spans="1:2" s="1597" customFormat="1">
      <c r="A43" s="1595" t="s">
        <v>1290</v>
      </c>
      <c r="B43" s="1596">
        <f>'预评函-3'!B4</f>
        <v>4734</v>
      </c>
    </row>
    <row r="44" spans="1:2" s="1597" customFormat="1">
      <c r="A44" s="1595" t="s">
        <v>1274</v>
      </c>
      <c r="B44" s="1596" t="str">
        <f>'预评函-3'!C2</f>
        <v>(分摊)土地面积</v>
      </c>
    </row>
    <row r="45" spans="1:2" s="1597" customFormat="1">
      <c r="A45" s="1595" t="s">
        <v>1246</v>
      </c>
      <c r="B45" s="1596">
        <f>'预评函-3'!C4</f>
        <v>1597.9</v>
      </c>
    </row>
    <row r="46" spans="1:2" s="1597" customFormat="1">
      <c r="A46" s="1595" t="s">
        <v>1272</v>
      </c>
      <c r="B46" s="1596" t="str">
        <f>'预评函-3'!D2</f>
        <v>出让国有建设用地使用权价值</v>
      </c>
    </row>
    <row r="47" spans="1:2" s="1597" customFormat="1">
      <c r="A47" s="1595" t="s">
        <v>1247</v>
      </c>
      <c r="B47" s="1596">
        <f ca="1">'预评函-3'!D4</f>
        <v>20807</v>
      </c>
    </row>
    <row r="48" spans="1:2" s="1597" customFormat="1">
      <c r="A48" s="1595" t="s">
        <v>1248</v>
      </c>
      <c r="B48" s="1596">
        <f ca="1">'预评函-3'!E4</f>
        <v>43952</v>
      </c>
    </row>
    <row r="49" spans="1:2" s="1597" customFormat="1">
      <c r="A49" s="1595" t="s">
        <v>1249</v>
      </c>
      <c r="B49" s="1596" t="str">
        <f ca="1">'预评函-3'!D5</f>
        <v>贰亿零捌佰零柒万元整</v>
      </c>
    </row>
    <row r="50" spans="1:2" s="1597" customFormat="1">
      <c r="A50" s="1595" t="s">
        <v>1273</v>
      </c>
      <c r="B50" s="1596" t="str">
        <f>'预评函-3'!F2</f>
        <v>在建建筑物价值</v>
      </c>
    </row>
    <row r="51" spans="1:2" s="1597" customFormat="1">
      <c r="A51" s="1595" t="s">
        <v>1250</v>
      </c>
      <c r="B51" s="1596">
        <f ca="1">'预评函-3'!F4</f>
        <v>1188</v>
      </c>
    </row>
    <row r="52" spans="1:2" s="1597" customFormat="1">
      <c r="A52" s="1595" t="s">
        <v>1251</v>
      </c>
      <c r="B52" s="1596">
        <f ca="1">'预评函-3'!G4</f>
        <v>2510</v>
      </c>
    </row>
    <row r="53" spans="1:2" s="1597" customFormat="1">
      <c r="A53" s="1595" t="s">
        <v>1279</v>
      </c>
      <c r="B53" s="1596" t="str">
        <f ca="1">'预评函-3'!F5</f>
        <v>壹仟壹佰捌拾捌万元整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东城区菊儿胡同33号13幢等4幢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0"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0"/>
      <c r="B54" s="2026" t="s">
        <v>864</v>
      </c>
      <c r="C54" s="2023" t="s">
        <v>1282</v>
      </c>
    </row>
    <row r="55" spans="1:4">
      <c r="A55" s="2980"/>
      <c r="B55" s="2026" t="s">
        <v>865</v>
      </c>
      <c r="C55" s="2023" t="s">
        <v>1283</v>
      </c>
    </row>
    <row r="56" spans="1:4">
      <c r="A56" s="2980"/>
      <c r="B56" s="2026" t="s">
        <v>866</v>
      </c>
      <c r="C56" s="2023" t="s">
        <v>1287</v>
      </c>
    </row>
    <row r="57" spans="1:4">
      <c r="A57" s="2980"/>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18" sqref="E18:I18"/>
    </sheetView>
  </sheetViews>
  <sheetFormatPr defaultColWidth="10" defaultRowHeight="18" customHeight="1"/>
  <cols>
    <col min="1" max="1" width="14.875" style="2036" customWidth="1"/>
    <col min="2" max="2" width="12.75" style="2036" customWidth="1"/>
    <col min="3" max="3" width="13.75" style="2036" customWidth="1"/>
    <col min="4" max="4" width="12.12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2981" t="str">
        <f>IF(B10="北京市","北京市",C10)&amp;F10&amp;IF(结果表!G1="在建","出让国有建设用地使用权及在建建筑物",IF(结果表!G1="土地","出让国有建设用地使用权",))&amp;B9&amp;"预评估"</f>
        <v>北京市东城区菊儿胡同33号13幢等4幢房地产抵押价值预评估</v>
      </c>
      <c r="C1" s="2982"/>
      <c r="D1" s="2982"/>
      <c r="E1" s="2982"/>
      <c r="F1" s="2982"/>
      <c r="G1" s="2982"/>
      <c r="H1" s="2982"/>
      <c r="I1" s="2983"/>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北京市东城区菊儿胡同33号13幢等4幢房地产抵押价值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北京市东城区菊儿胡同33号13幢等4幢房地产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3056</v>
      </c>
      <c r="C4" s="1040">
        <f ca="1">SUMIF(注册房地产估价师,B4,估价师及机构信息!B3:B24)</f>
        <v>1120000080</v>
      </c>
      <c r="D4" s="2043" t="s">
        <v>3057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049" t="str">
        <f>C11</f>
        <v>北京房地集团有限公司</v>
      </c>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934" t="s">
        <v>3103</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1784</v>
      </c>
      <c r="B7" s="2056" t="str">
        <f>B5</f>
        <v>北京房地集团有限公司</v>
      </c>
      <c r="C7" s="2053"/>
      <c r="D7" s="2054"/>
      <c r="E7" s="2038"/>
      <c r="F7" s="2046"/>
      <c r="G7" s="2046"/>
      <c r="H7" s="2046"/>
      <c r="I7" s="2046"/>
      <c r="J7" s="2046"/>
      <c r="K7" s="2057"/>
      <c r="L7" s="2032"/>
      <c r="M7" s="2032"/>
      <c r="N7" s="2033"/>
      <c r="O7" s="2034"/>
      <c r="P7" s="2033"/>
      <c r="Q7" s="2033"/>
      <c r="R7" s="2033"/>
    </row>
    <row r="8" spans="1:19" ht="18" customHeight="1">
      <c r="A8" s="2052" t="s">
        <v>1785</v>
      </c>
      <c r="B8" s="2058" t="s">
        <v>3051</v>
      </c>
      <c r="C8" s="2059"/>
      <c r="D8" s="2984" t="s">
        <v>1786</v>
      </c>
      <c r="E8" s="2060" t="s">
        <v>3050</v>
      </c>
      <c r="F8" s="2061"/>
      <c r="G8" s="2030"/>
      <c r="H8" s="2030"/>
      <c r="I8" s="2030"/>
      <c r="J8" s="2046"/>
      <c r="K8" s="2047"/>
      <c r="L8" s="2032"/>
      <c r="M8" s="2032"/>
      <c r="N8" s="2033"/>
      <c r="O8" s="2034"/>
      <c r="P8" s="2033"/>
      <c r="Q8" s="2033"/>
      <c r="R8" s="2033"/>
    </row>
    <row r="9" spans="1:19" ht="18" customHeight="1" thickBot="1">
      <c r="A9" s="2044" t="s">
        <v>1787</v>
      </c>
      <c r="B9" s="2062" t="s">
        <v>3050</v>
      </c>
      <c r="C9" s="2063"/>
      <c r="D9" s="2985"/>
      <c r="E9" s="2062"/>
      <c r="F9" s="2064"/>
      <c r="G9" s="2065"/>
      <c r="H9" s="2065"/>
      <c r="I9" s="2065"/>
      <c r="J9" s="2046"/>
      <c r="K9" s="2057"/>
      <c r="L9" s="2032"/>
      <c r="M9" s="2032"/>
      <c r="N9" s="2033"/>
      <c r="O9" s="2034"/>
      <c r="P9" s="2033"/>
      <c r="Q9" s="2033"/>
      <c r="R9" s="2033"/>
    </row>
    <row r="10" spans="1:19" ht="18" customHeight="1" thickTop="1">
      <c r="A10" s="2066" t="s">
        <v>1788</v>
      </c>
      <c r="B10" s="2067" t="s">
        <v>3047</v>
      </c>
      <c r="C10" s="2068"/>
      <c r="D10" s="2051"/>
      <c r="E10" s="2069" t="s">
        <v>1789</v>
      </c>
      <c r="F10" s="2070" t="s">
        <v>3099</v>
      </c>
      <c r="G10" s="2071"/>
      <c r="H10" s="2072"/>
      <c r="I10" s="2051"/>
      <c r="J10" s="2046"/>
      <c r="K10" s="2057"/>
      <c r="L10" s="2032"/>
      <c r="M10" s="2032"/>
      <c r="N10" s="2033"/>
      <c r="O10" s="2034"/>
      <c r="P10" s="2033"/>
      <c r="Q10" s="2033"/>
      <c r="R10" s="2033"/>
    </row>
    <row r="11" spans="1:19" ht="18" customHeight="1">
      <c r="A11" s="2073" t="s">
        <v>1790</v>
      </c>
      <c r="B11" s="2074" t="s">
        <v>3049</v>
      </c>
      <c r="C11" s="2933" t="s">
        <v>3048</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3046</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v>57607</v>
      </c>
      <c r="G13" s="2082"/>
      <c r="H13" s="2082"/>
      <c r="I13" s="1050"/>
      <c r="J13" s="2046"/>
      <c r="K13" s="2057"/>
      <c r="L13" s="2032"/>
      <c r="M13" s="2032"/>
      <c r="N13" s="2033"/>
      <c r="O13" s="2034"/>
      <c r="P13" s="2033"/>
      <c r="Q13" s="2033"/>
      <c r="R13" s="2033"/>
    </row>
    <row r="14" spans="1:19" ht="18" customHeight="1">
      <c r="A14" s="2079"/>
      <c r="B14" s="2080"/>
      <c r="C14" s="2081" t="s">
        <v>1800</v>
      </c>
      <c r="D14" s="1053"/>
      <c r="E14" s="1053"/>
      <c r="F14" s="1053">
        <v>50</v>
      </c>
      <c r="G14" s="1053"/>
      <c r="H14" s="1053"/>
      <c r="I14" s="1053"/>
      <c r="J14" s="2046"/>
      <c r="K14" s="2083"/>
      <c r="L14" s="2032"/>
      <c r="M14" s="2032"/>
      <c r="N14" s="2033"/>
      <c r="O14" s="2034"/>
      <c r="P14" s="2033"/>
      <c r="Q14" s="2033"/>
      <c r="R14" s="2033"/>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39.840000000000003</v>
      </c>
      <c r="G15" s="1052" t="str">
        <f>IF(B12="出让",IF(G13="","",ROUNDDOWN(MIN((G13-$D$3)/365,G14),2)),G14)</f>
        <v/>
      </c>
      <c r="H15" s="1052" t="str">
        <f>IF(B12="出让",IF(H13="","",ROUNDDOWN(MIN((H13-$D$3)/365,H14),2)),H14)</f>
        <v/>
      </c>
      <c r="I15" s="1052" t="str">
        <f>IF(B12="出让",IF(I13="","",ROUNDDOWN(MIN((I13-$D$3)/365,I14),2)),I14)</f>
        <v/>
      </c>
      <c r="J15" s="2046"/>
      <c r="K15" s="2085"/>
      <c r="L15" s="2086"/>
      <c r="M15" s="2086"/>
      <c r="N15" s="2087"/>
      <c r="O15" s="2086"/>
      <c r="P15" s="2087"/>
      <c r="Q15" s="2033"/>
      <c r="R15" s="2033"/>
    </row>
    <row r="16" spans="1:19" ht="30.75" customHeight="1">
      <c r="A16" s="2069" t="s">
        <v>1802</v>
      </c>
      <c r="B16" s="2991" t="s">
        <v>3101</v>
      </c>
      <c r="C16" s="2992"/>
      <c r="D16" s="2993"/>
      <c r="E16" s="2088" t="s">
        <v>1803</v>
      </c>
      <c r="F16" s="2994" t="s">
        <v>3100</v>
      </c>
      <c r="G16" s="2995"/>
      <c r="H16" s="2995"/>
      <c r="I16" s="2996"/>
      <c r="J16" s="2033"/>
      <c r="K16" s="2085"/>
      <c r="L16" s="2086"/>
      <c r="M16" s="2086"/>
      <c r="N16" s="2087"/>
      <c r="O16" s="2086"/>
      <c r="P16" s="2087"/>
      <c r="Q16" s="2033"/>
      <c r="R16" s="2033"/>
    </row>
    <row r="17" spans="1:22" ht="18" customHeight="1">
      <c r="A17" s="2089" t="s">
        <v>1804</v>
      </c>
      <c r="B17" s="2039" t="s">
        <v>1805</v>
      </c>
      <c r="C17" s="1057">
        <f>'数据-汇总表'!E3</f>
        <v>4734</v>
      </c>
      <c r="D17" s="2090" t="s">
        <v>1806</v>
      </c>
      <c r="E17" s="2997" t="s">
        <v>3104</v>
      </c>
      <c r="F17" s="2998"/>
      <c r="G17" s="2998"/>
      <c r="H17" s="2998"/>
      <c r="I17" s="2999"/>
      <c r="J17" s="2033"/>
      <c r="K17" s="2091"/>
      <c r="L17" s="2086"/>
      <c r="M17" s="2086"/>
      <c r="N17" s="2087"/>
      <c r="O17" s="2086"/>
      <c r="P17" s="2087"/>
      <c r="Q17" s="2033"/>
      <c r="R17" s="2033"/>
      <c r="S17" s="2033"/>
      <c r="T17" s="2033"/>
      <c r="U17" s="2033"/>
      <c r="V17" s="2033"/>
    </row>
    <row r="18" spans="1:22" ht="36" customHeight="1" thickBot="1">
      <c r="A18" s="2092" t="s">
        <v>1807</v>
      </c>
      <c r="B18" s="2042" t="s">
        <v>1808</v>
      </c>
      <c r="C18" s="1447">
        <f>'数据-汇总表'!D3</f>
        <v>1597.9</v>
      </c>
      <c r="D18" s="2093" t="s">
        <v>1806</v>
      </c>
      <c r="E18" s="3000" t="s">
        <v>3106</v>
      </c>
      <c r="F18" s="3001"/>
      <c r="G18" s="3001"/>
      <c r="H18" s="3001"/>
      <c r="I18" s="3002"/>
      <c r="J18" s="2033"/>
      <c r="K18" s="2091"/>
      <c r="L18" s="2086"/>
      <c r="M18" s="2086"/>
      <c r="N18" s="2087"/>
      <c r="O18" s="2086"/>
      <c r="P18" s="2087"/>
      <c r="Q18" s="2033"/>
      <c r="R18" s="2033"/>
      <c r="S18" s="2033"/>
      <c r="T18" s="2033"/>
      <c r="U18" s="2033"/>
      <c r="V18" s="2033"/>
    </row>
    <row r="19" spans="1:22" ht="37.5" customHeight="1" thickTop="1" thickBot="1">
      <c r="A19" s="373" t="s">
        <v>1809</v>
      </c>
      <c r="B19" s="352" t="s">
        <v>1810</v>
      </c>
      <c r="C19" s="2094" t="s">
        <v>3054</v>
      </c>
      <c r="D19" s="2095" t="s">
        <v>1811</v>
      </c>
      <c r="E19" s="2096"/>
      <c r="F19" s="2097" t="str">
        <f>IF(AND(C19="是",E19="否"),"是否提供他项权证或相关说明","")</f>
        <v/>
      </c>
      <c r="G19" s="2098"/>
      <c r="H19" s="2046"/>
      <c r="I19" s="2046"/>
      <c r="J19" s="2046"/>
      <c r="K19" s="2057"/>
      <c r="L19" s="2032"/>
      <c r="M19" s="2032"/>
      <c r="N19" s="2087"/>
      <c r="O19" s="2086"/>
      <c r="P19" s="2087"/>
      <c r="Q19" s="2033"/>
      <c r="R19" s="2033"/>
      <c r="S19" s="2033"/>
      <c r="T19" s="2033"/>
      <c r="U19" s="2033"/>
      <c r="V19" s="2033"/>
    </row>
    <row r="20" spans="1:22" ht="18" customHeight="1">
      <c r="A20" s="2099" t="s">
        <v>1812</v>
      </c>
      <c r="B20" s="2987" t="s">
        <v>1813</v>
      </c>
      <c r="C20" s="2988"/>
      <c r="D20" s="2989" t="s">
        <v>1814</v>
      </c>
      <c r="E20" s="2990"/>
      <c r="F20" s="2100" t="s">
        <v>1815</v>
      </c>
      <c r="G20" s="2046"/>
      <c r="H20" s="2046"/>
      <c r="I20" s="2046"/>
      <c r="J20" s="2046"/>
      <c r="K20" s="2986"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1817</v>
      </c>
      <c r="C21" s="2102" t="s">
        <v>1818</v>
      </c>
      <c r="D21" s="2103" t="s">
        <v>1819</v>
      </c>
      <c r="E21" s="2104" t="s">
        <v>1818</v>
      </c>
      <c r="F21" s="2105"/>
      <c r="G21" s="2046"/>
      <c r="H21" s="2046"/>
      <c r="I21" s="2046"/>
      <c r="J21" s="2046"/>
      <c r="K21" s="29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3102</v>
      </c>
      <c r="D22" s="2030"/>
      <c r="E22" s="2030"/>
      <c r="F22" s="2107"/>
      <c r="G22" s="2046"/>
      <c r="H22" s="2046"/>
      <c r="I22" s="2046"/>
      <c r="J22" s="2046"/>
      <c r="K22" s="29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04" t="s">
        <v>1827</v>
      </c>
      <c r="B27" s="2066" t="s">
        <v>1828</v>
      </c>
      <c r="C27" s="2122" t="s">
        <v>3052</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04"/>
      <c r="B28" s="2039" t="s">
        <v>1829</v>
      </c>
      <c r="C28" s="2124" t="s">
        <v>3053</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04"/>
      <c r="B29" s="2039" t="s">
        <v>1830</v>
      </c>
      <c r="C29" s="2127" t="s">
        <v>3054</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05"/>
      <c r="B30" s="2039" t="s">
        <v>1831</v>
      </c>
      <c r="C30" s="3006"/>
      <c r="D30" s="3007"/>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08" t="s">
        <v>1832</v>
      </c>
      <c r="B31" s="2129" t="s">
        <v>3055</v>
      </c>
      <c r="C31" s="2130" t="str">
        <f>IF(B31="现房","成新及维护状况正常否",IF(B31="在建","工程状态是否正常",IF(B31="土地","是否闲置","-")))</f>
        <v>成新及维护状况正常否</v>
      </c>
      <c r="D31" s="2131"/>
      <c r="E31" s="2132"/>
      <c r="F31" s="2046"/>
      <c r="G31" s="2046"/>
      <c r="H31" s="2046"/>
      <c r="I31" s="2046"/>
      <c r="J31" s="2046"/>
      <c r="K31" s="2055"/>
      <c r="L31" s="2032"/>
      <c r="M31" s="2032"/>
      <c r="N31" s="2033"/>
      <c r="O31" s="2034"/>
      <c r="P31" s="2033"/>
      <c r="Q31" s="2033"/>
      <c r="R31" s="2033"/>
      <c r="S31" s="2033"/>
      <c r="T31" s="2033"/>
      <c r="U31" s="2033"/>
      <c r="V31" s="2033"/>
    </row>
    <row r="32" spans="1:22" ht="18" customHeight="1">
      <c r="A32" s="3009"/>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009"/>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3058</v>
      </c>
      <c r="C34" s="2136" t="s">
        <v>3059</v>
      </c>
      <c r="D34" s="2136" t="s">
        <v>3060</v>
      </c>
      <c r="E34" s="2136" t="s">
        <v>3061</v>
      </c>
      <c r="F34" s="2136" t="s">
        <v>3062</v>
      </c>
      <c r="G34" s="2136" t="s">
        <v>3063</v>
      </c>
      <c r="H34" s="2136" t="s">
        <v>3064</v>
      </c>
      <c r="I34" s="2046"/>
      <c r="J34" s="2046"/>
      <c r="K34" s="1799">
        <f>COUNTIF(B34:H34,"——")</f>
        <v>0</v>
      </c>
      <c r="L34" s="2077" t="s">
        <v>1834</v>
      </c>
      <c r="M34" s="2077" t="s">
        <v>1835</v>
      </c>
      <c r="N34" s="2077" t="s">
        <v>1836</v>
      </c>
      <c r="O34" s="2077" t="s">
        <v>1837</v>
      </c>
      <c r="P34" s="2077" t="s">
        <v>1838</v>
      </c>
      <c r="Q34" s="2077" t="s">
        <v>1839</v>
      </c>
      <c r="R34" s="2077" t="s">
        <v>1840</v>
      </c>
      <c r="S34" s="3003" t="s">
        <v>1841</v>
      </c>
      <c r="T34" s="2137" t="str">
        <f>NUMBERSTRING(7-K34,1)&amp;"通"</f>
        <v>七通</v>
      </c>
      <c r="U34" s="2033"/>
      <c r="V34" s="2033"/>
    </row>
    <row r="35" spans="1:22" ht="18" customHeight="1">
      <c r="A35" s="2138"/>
      <c r="B35" s="3010" t="s">
        <v>1842</v>
      </c>
      <c r="C35" s="3010"/>
      <c r="D35" s="3010"/>
      <c r="E35" s="3010"/>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3"/>
      <c r="T35" s="48" t="str">
        <f>IF(T34="一通",L35,IF(T34="二通",M35,IF(T34="三通",N35,IF(T34="四通",O35,IF(T34="五通",P35,IF(T34="六通",Q35,R35))))))</f>
        <v>通路、通电、通讯、通上水、通下水、通热、燃气</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t="s">
        <v>269</v>
      </c>
      <c r="C37" s="2143" t="s">
        <v>269</v>
      </c>
      <c r="D37" s="2143" t="s">
        <v>269</v>
      </c>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t="s">
        <v>373</v>
      </c>
      <c r="C38" s="2145" t="s">
        <v>373</v>
      </c>
      <c r="D38" s="2145" t="s">
        <v>373</v>
      </c>
      <c r="E38" s="2145" t="s">
        <v>373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1597.9</v>
      </c>
      <c r="B3" s="14">
        <f>IF(C3="否",G5-AT5,G5)</f>
        <v>4734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4734</v>
      </c>
      <c r="H5" s="16">
        <f t="shared" ref="H5:AT5" si="0">SUM(H13:H656)</f>
        <v>4639</v>
      </c>
      <c r="I5" s="16">
        <f t="shared" si="0"/>
        <v>4115.6000000000004</v>
      </c>
      <c r="J5" s="16">
        <f t="shared" si="0"/>
        <v>0</v>
      </c>
      <c r="K5" s="16">
        <f t="shared" si="0"/>
        <v>523.4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4734</v>
      </c>
      <c r="BA5" s="18">
        <f t="shared" si="1"/>
        <v>4639</v>
      </c>
      <c r="BB5" s="18">
        <f t="shared" si="1"/>
        <v>4115.6000000000004</v>
      </c>
      <c r="BC5" s="18">
        <f t="shared" si="1"/>
        <v>523.4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v>
      </c>
      <c r="BM5" s="18">
        <f t="shared" si="1"/>
        <v>0</v>
      </c>
      <c r="BN5" s="18">
        <f t="shared" si="1"/>
        <v>0</v>
      </c>
      <c r="BO5" s="18">
        <f t="shared" si="1"/>
        <v>0</v>
      </c>
      <c r="BP5" s="18">
        <f t="shared" si="1"/>
        <v>0</v>
      </c>
      <c r="BQ5" s="18">
        <f t="shared" si="1"/>
        <v>95</v>
      </c>
      <c r="BR5" s="18">
        <f t="shared" si="1"/>
        <v>0</v>
      </c>
      <c r="BS5" s="18">
        <f t="shared" si="1"/>
        <v>0</v>
      </c>
      <c r="BT5" s="19">
        <f t="shared" si="1"/>
        <v>0</v>
      </c>
    </row>
    <row r="6" spans="1:72" s="2180" customFormat="1" ht="12.75">
      <c r="A6" s="15" t="s">
        <v>1879</v>
      </c>
      <c r="B6" s="2177"/>
      <c r="C6" s="2177"/>
      <c r="D6" s="2178"/>
      <c r="E6" s="16">
        <f>H6+AC6+AT6</f>
        <v>1597.91</v>
      </c>
      <c r="F6" s="16" t="s">
        <v>1</v>
      </c>
      <c r="G6" s="16" t="s">
        <v>2</v>
      </c>
      <c r="H6" s="20">
        <f>SUMIF(I$12:AB$12,"总值",I6:AB6)</f>
        <v>1565.8400000000001</v>
      </c>
      <c r="I6" s="16">
        <f t="shared" ref="I6:AB6" si="2">ROUND($A$3*I5/$B$3,2)</f>
        <v>1389.17</v>
      </c>
      <c r="J6" s="16">
        <f t="shared" si="2"/>
        <v>0</v>
      </c>
      <c r="K6" s="16">
        <f t="shared" si="2"/>
        <v>176.67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1597.9</v>
      </c>
      <c r="AZ6" s="16" t="s">
        <v>3</v>
      </c>
      <c r="BA6" s="16">
        <f>ROUND($AY$6*BA5/$AZ$5,2)</f>
        <v>1565.83</v>
      </c>
      <c r="BB6" s="16">
        <f>ROUND($AY$6*BB5/$AZ$5,2)</f>
        <v>1389.17</v>
      </c>
      <c r="BC6" s="16">
        <f t="shared" ref="BC6:BH6" si="4">ROUND($AY$6*BC5/$AZ$5,2)</f>
        <v>176.67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32.07</v>
      </c>
      <c r="BM6" s="16">
        <f t="shared" si="5"/>
        <v>0</v>
      </c>
      <c r="BN6" s="16">
        <f t="shared" si="5"/>
        <v>0</v>
      </c>
      <c r="BO6" s="16">
        <f t="shared" si="5"/>
        <v>0</v>
      </c>
      <c r="BP6" s="16">
        <f t="shared" si="5"/>
        <v>0</v>
      </c>
      <c r="BQ6" s="16">
        <f t="shared" si="5"/>
        <v>32.07</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3066</v>
      </c>
      <c r="J9" s="984"/>
      <c r="K9" s="2194" t="s">
        <v>3068</v>
      </c>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27</v>
      </c>
      <c r="J10" s="984"/>
      <c r="K10" s="2200" t="s">
        <v>27</v>
      </c>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t="str">
        <f>K9</f>
        <v>地下</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3067</v>
      </c>
      <c r="J11" s="2206"/>
      <c r="K11" s="2205" t="s">
        <v>3069</v>
      </c>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办公</v>
      </c>
      <c r="BC11" s="2190" t="str">
        <f>K10</f>
        <v>办公</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酒店</v>
      </c>
      <c r="BC12" s="2215" t="str">
        <f>K11</f>
        <v>食堂</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3065</v>
      </c>
      <c r="E13" s="16">
        <f>IF($C$3="是",ROUND($A$3*G13/$B$3,2),ROUND($A$3*(G13-AT13)/$B$3,2))</f>
        <v>1597.9</v>
      </c>
      <c r="F13" s="32"/>
      <c r="G13" s="33">
        <f>H13+AC13+AT13</f>
        <v>4734</v>
      </c>
      <c r="H13" s="20">
        <f>SUMIF(I$12:AB$12,"总值",I13:AB13)</f>
        <v>4639</v>
      </c>
      <c r="I13" s="2217">
        <f>274.8+1424.5+160.8+2350.5-AL13</f>
        <v>4115.6000000000004</v>
      </c>
      <c r="J13" s="2217"/>
      <c r="K13" s="2217">
        <v>523.4</v>
      </c>
      <c r="L13" s="2217"/>
      <c r="M13" s="2217"/>
      <c r="N13" s="2217"/>
      <c r="O13" s="2217"/>
      <c r="P13" s="2217"/>
      <c r="Q13" s="2217"/>
      <c r="R13" s="2217"/>
      <c r="S13" s="2217"/>
      <c r="T13" s="2217"/>
      <c r="U13" s="2217"/>
      <c r="V13" s="2217"/>
      <c r="W13" s="2217"/>
      <c r="X13" s="2217"/>
      <c r="Y13" s="2217"/>
      <c r="Z13" s="2217"/>
      <c r="AA13" s="2217"/>
      <c r="AB13" s="2217"/>
      <c r="AC13" s="16">
        <f>SUMIF(AD$12:AS$12,"总值",AD13:AS13)</f>
        <v>95</v>
      </c>
      <c r="AD13" s="2218"/>
      <c r="AE13" s="2218"/>
      <c r="AF13" s="2218"/>
      <c r="AG13" s="2218"/>
      <c r="AH13" s="2218"/>
      <c r="AI13" s="2218"/>
      <c r="AJ13" s="2218"/>
      <c r="AK13" s="2218"/>
      <c r="AL13" s="2218">
        <f>48.8+46.2</f>
        <v>95</v>
      </c>
      <c r="AM13" s="2218"/>
      <c r="AN13" s="2218"/>
      <c r="AO13" s="2218"/>
      <c r="AP13" s="2218"/>
      <c r="AQ13" s="2218"/>
      <c r="AR13" s="2218"/>
      <c r="AS13" s="2218"/>
      <c r="AT13" s="2219"/>
      <c r="AU13" s="2220"/>
      <c r="AV13" s="11">
        <f t="shared" ref="AV13:AX17" si="6">A13</f>
        <v>0</v>
      </c>
      <c r="AW13" s="11">
        <f t="shared" si="6"/>
        <v>0</v>
      </c>
      <c r="AX13" s="11">
        <f t="shared" si="6"/>
        <v>0</v>
      </c>
      <c r="AY13" s="1810">
        <f>ROUND($AY$6*AZ13/$AZ$5,2)</f>
        <v>1597.9</v>
      </c>
      <c r="AZ13" s="16">
        <f>BA13+BL13</f>
        <v>4734</v>
      </c>
      <c r="BA13" s="16">
        <f>SUM(BB13:BK13)</f>
        <v>4639</v>
      </c>
      <c r="BB13" s="16">
        <f>IF($D13="是",I13-J13,0)</f>
        <v>4115.6000000000004</v>
      </c>
      <c r="BC13" s="16">
        <f>IF($D13="是",K13-L13,0)</f>
        <v>523.4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95</v>
      </c>
      <c r="BM13" s="16">
        <f>IF($D13="是",AD13-AE13,0)</f>
        <v>0</v>
      </c>
      <c r="BN13" s="16">
        <f>IF($D13="是",AF13-AG13,0)</f>
        <v>0</v>
      </c>
      <c r="BO13" s="16">
        <f>IF($D13="是",AH13-AI13,0)</f>
        <v>0</v>
      </c>
      <c r="BP13" s="16">
        <f>IF($D13="是",AJ13-AK13,0)</f>
        <v>0</v>
      </c>
      <c r="BQ13" s="16">
        <f>IF($D13="是",AL13-AM13,0)</f>
        <v>95</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1" t="s">
        <v>0</v>
      </c>
      <c r="B1" s="3011" t="s">
        <v>4</v>
      </c>
      <c r="C1" s="3011" t="s">
        <v>5</v>
      </c>
      <c r="D1" s="3012" t="s">
        <v>53</v>
      </c>
      <c r="E1" s="3012" t="s">
        <v>54</v>
      </c>
      <c r="F1" s="3012"/>
      <c r="G1" s="3012"/>
      <c r="H1" s="3012"/>
      <c r="I1" s="3012"/>
      <c r="J1" s="3012"/>
      <c r="K1" s="3012"/>
      <c r="L1" s="3012"/>
      <c r="M1" s="3012"/>
    </row>
    <row r="2" spans="1:13" ht="27" customHeight="1">
      <c r="A2" s="3011"/>
      <c r="B2" s="3011"/>
      <c r="C2" s="3011"/>
      <c r="D2" s="3012"/>
      <c r="E2" s="3012" t="s">
        <v>37</v>
      </c>
      <c r="F2" s="3012" t="s">
        <v>38</v>
      </c>
      <c r="G2" s="3012"/>
      <c r="H2" s="3012"/>
      <c r="I2" s="3012"/>
      <c r="J2" s="3012" t="s">
        <v>39</v>
      </c>
      <c r="K2" s="3012"/>
      <c r="L2" s="3012"/>
      <c r="M2" s="3012"/>
    </row>
    <row r="3" spans="1:13" ht="28.5">
      <c r="A3" s="3011"/>
      <c r="B3" s="3011"/>
      <c r="C3" s="3011"/>
      <c r="D3" s="3012"/>
      <c r="E3" s="3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2" t="s">
        <v>55</v>
      </c>
      <c r="B9" s="3012"/>
      <c r="C9" s="3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90" zoomScaleNormal="100" zoomScaleSheetLayoutView="90" workbookViewId="0">
      <selection activeCell="F22" sqref="F22"/>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022" t="s">
        <v>1938</v>
      </c>
      <c r="B2" s="3022"/>
      <c r="C2" s="3022"/>
      <c r="D2" s="970" t="s">
        <v>1914</v>
      </c>
      <c r="E2" s="2230" t="s">
        <v>1915</v>
      </c>
      <c r="F2" s="1395"/>
      <c r="G2" s="2231"/>
      <c r="H2" s="2232"/>
      <c r="I2" s="2233" t="s">
        <v>1939</v>
      </c>
      <c r="J2" s="1395"/>
      <c r="K2" s="1395"/>
      <c r="L2" s="1395"/>
      <c r="M2" s="1395"/>
      <c r="N2" s="1430"/>
      <c r="O2" s="1395"/>
      <c r="P2" s="1395"/>
    </row>
    <row r="3" spans="1:16" ht="15.75" thickBot="1">
      <c r="A3" s="3023" t="s">
        <v>1912</v>
      </c>
      <c r="B3" s="3023"/>
      <c r="C3" s="3023"/>
      <c r="D3" s="46">
        <f>'数据-基础表'!AY6</f>
        <v>1597.9</v>
      </c>
      <c r="E3" s="46">
        <f>'数据-基础表'!AZ5</f>
        <v>4734</v>
      </c>
      <c r="F3" s="1395"/>
      <c r="G3" s="1402"/>
      <c r="H3" s="1250" t="s">
        <v>1913</v>
      </c>
      <c r="I3" s="55">
        <f>ROUND('数据-基础表'!B3/'数据-基础表'!A3,2)</f>
        <v>2.96</v>
      </c>
      <c r="J3" s="1395"/>
      <c r="K3" s="1395"/>
      <c r="L3" s="1395"/>
      <c r="M3" s="1395"/>
      <c r="N3" s="1430"/>
      <c r="O3" s="1395"/>
      <c r="P3" s="1395"/>
    </row>
    <row r="4" spans="1:16" ht="15">
      <c r="A4" s="3024"/>
      <c r="B4" s="3025"/>
      <c r="C4" s="3026"/>
      <c r="D4" s="2234" t="s">
        <v>1914</v>
      </c>
      <c r="E4" s="2235" t="s">
        <v>1915</v>
      </c>
      <c r="F4" s="1395"/>
      <c r="G4" s="2236" t="s">
        <v>1940</v>
      </c>
      <c r="H4" s="1250" t="s">
        <v>1920</v>
      </c>
      <c r="I4" s="55">
        <f>ROUND(SUMIF('数据-基础表'!I9:AS9,"地上",'数据-基础表'!I5:AS5)/'数据-基础表'!A3,2)</f>
        <v>2.64</v>
      </c>
      <c r="J4" s="1395"/>
      <c r="K4" s="1395"/>
      <c r="L4" s="1395"/>
      <c r="M4" s="1395"/>
      <c r="N4" s="1430"/>
      <c r="O4" s="1395"/>
      <c r="P4" s="1395"/>
    </row>
    <row r="5" spans="1:16">
      <c r="A5" s="47" t="s">
        <v>1916</v>
      </c>
      <c r="B5" s="3027" t="s">
        <v>1917</v>
      </c>
      <c r="C5" s="3027"/>
      <c r="D5" s="48">
        <f>ROUND($D$3*E5/$E$3,2)</f>
        <v>0</v>
      </c>
      <c r="E5" s="49">
        <f>SUMIF('数据-基础表'!$11:$11,"住宅",'数据-基础表'!$5:$5)</f>
        <v>0</v>
      </c>
      <c r="F5" s="1395"/>
      <c r="G5" s="1402"/>
      <c r="H5" s="1250" t="s">
        <v>1913</v>
      </c>
      <c r="I5" s="55">
        <f>ROUND(E31/D31,2)</f>
        <v>2.96</v>
      </c>
      <c r="J5" s="1395"/>
      <c r="K5" s="1395"/>
      <c r="L5" s="1395"/>
      <c r="M5" s="1395"/>
      <c r="N5" s="1395"/>
      <c r="O5" s="1395"/>
      <c r="P5" s="1395"/>
    </row>
    <row r="6" spans="1:16" ht="15" thickBot="1">
      <c r="A6" s="2237"/>
      <c r="B6" s="3027" t="s">
        <v>1918</v>
      </c>
      <c r="C6" s="3027"/>
      <c r="D6" s="48">
        <f>ROUND($D$3*E6/$E$3,2)</f>
        <v>1597.9</v>
      </c>
      <c r="E6" s="49">
        <f>E3-E5</f>
        <v>4734</v>
      </c>
      <c r="F6" s="1395"/>
      <c r="G6" s="2238" t="s">
        <v>1919</v>
      </c>
      <c r="H6" s="1402" t="s">
        <v>1920</v>
      </c>
      <c r="I6" s="942">
        <f>ROUND(F31/D31,2)</f>
        <v>2.64</v>
      </c>
      <c r="J6" s="1395"/>
      <c r="K6" s="1395"/>
      <c r="L6" s="1395"/>
      <c r="M6" s="1395"/>
      <c r="N6" s="1395"/>
      <c r="O6" s="1395"/>
      <c r="P6" s="1395"/>
    </row>
    <row r="7" spans="1:16" ht="15">
      <c r="A7" s="3019"/>
      <c r="B7" s="3020"/>
      <c r="C7" s="3021"/>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1389.17</v>
      </c>
      <c r="E8" s="51">
        <f>SUMIF('数据-基础表'!BB10:BK10,"地上",'数据-基础表'!BB5:BK5)</f>
        <v>4115.6000000000004</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176.67</v>
      </c>
      <c r="E11" s="51">
        <f>SUMPRODUCT(('数据-基础表'!BB10:BK10="地下")*('数据-基础表'!BB11:BK11="办公")*('数据-基础表'!BB5:BK5))+'数据-基础表'!BP5</f>
        <v>523.4</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1565.8400000000001</v>
      </c>
      <c r="E16" s="53">
        <f>SUM(E8:E15)</f>
        <v>4639</v>
      </c>
      <c r="F16" s="1395"/>
      <c r="G16" s="2240"/>
      <c r="H16" s="2243" t="s">
        <v>1942</v>
      </c>
      <c r="I16" s="2244"/>
      <c r="J16" s="1395"/>
      <c r="K16" s="3016" t="s">
        <v>1942</v>
      </c>
      <c r="L16" s="3017"/>
      <c r="M16" s="3017"/>
      <c r="N16" s="3017"/>
      <c r="O16" s="3017"/>
      <c r="P16" s="3018"/>
    </row>
    <row r="17" spans="1:19" ht="15">
      <c r="A17" s="2245" t="s">
        <v>1943</v>
      </c>
      <c r="B17" s="2246" t="s">
        <v>1944</v>
      </c>
      <c r="C17" s="2247" t="s">
        <v>1945</v>
      </c>
      <c r="D17" s="2248" t="s">
        <v>1933</v>
      </c>
      <c r="E17" s="2249" t="s">
        <v>1934</v>
      </c>
      <c r="F17" s="2250"/>
      <c r="G17" s="2251"/>
      <c r="H17" s="2252" t="s">
        <v>1946</v>
      </c>
      <c r="I17" s="2253" t="s">
        <v>1931</v>
      </c>
      <c r="J17" s="1395"/>
      <c r="K17" s="3013" t="s">
        <v>1947</v>
      </c>
      <c r="L17" s="3014"/>
      <c r="M17" s="3015"/>
      <c r="N17" s="3013" t="s">
        <v>1948</v>
      </c>
      <c r="O17" s="3014"/>
      <c r="P17" s="3015"/>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2935" t="s">
        <v>3070</v>
      </c>
      <c r="D19" s="48">
        <f>ROUND($D$3*E19/$E$3,2)</f>
        <v>1565.83</v>
      </c>
      <c r="E19" s="56">
        <f t="shared" ref="E19:E26" si="1">SUM(F19:G19)</f>
        <v>4639</v>
      </c>
      <c r="F19" s="57">
        <f>'数据-基础表'!I13</f>
        <v>4115.6000000000004</v>
      </c>
      <c r="G19" s="58">
        <f>'数据-基础表'!K13</f>
        <v>523.4</v>
      </c>
      <c r="H19" s="723">
        <f>ROUND($D$3*I19/$E$3,2)</f>
        <v>32.07</v>
      </c>
      <c r="I19" s="51">
        <f t="shared" ref="I19:I26" si="2">IF($I$17="自定义",P19,M19)</f>
        <v>95</v>
      </c>
      <c r="J19" s="1395"/>
      <c r="K19" s="1394">
        <f t="shared" ref="K19:K26" si="3">ROUND(E$28*E19/E$27,2)</f>
        <v>95</v>
      </c>
      <c r="L19" s="1250">
        <f t="shared" ref="L19:L26" si="4">ROUND(IF(COUNTIF(C19,"*住宅*")&gt;0,E$29*E19/E$32,0),2)</f>
        <v>0</v>
      </c>
      <c r="M19" s="1406">
        <f>K19+L19</f>
        <v>95</v>
      </c>
      <c r="N19" s="2264"/>
      <c r="O19" s="2265"/>
      <c r="P19" s="1406">
        <f>N19+O19</f>
        <v>0</v>
      </c>
      <c r="R19" s="1250">
        <f t="shared" ref="R19:S26" si="5">D19+H19</f>
        <v>1597.8999999999999</v>
      </c>
      <c r="S19" s="1251">
        <f t="shared" si="5"/>
        <v>4734</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1565.83</v>
      </c>
      <c r="E27" s="1397">
        <f>IF(SUM(E19:E26)='数据-基础表'!BA5,SUM(E19:E26),IF(F27="地上面积有误","面积有误","地下面积有误"))</f>
        <v>4639</v>
      </c>
      <c r="F27" s="1396">
        <f>IF(SUM(F19:F26)=E8,SUM(F19:F26),"地上面积有误")</f>
        <v>4115.6000000000004</v>
      </c>
      <c r="G27" s="1398">
        <f>SUM(G19:G26)</f>
        <v>523.4</v>
      </c>
      <c r="H27" s="1399">
        <f>SUM(H19:H26)</f>
        <v>32.07</v>
      </c>
      <c r="I27" s="1400">
        <f>SUM(I19:I26)</f>
        <v>95</v>
      </c>
      <c r="J27" s="1395"/>
      <c r="K27" s="1403">
        <f>SUM(K19:K26)</f>
        <v>95</v>
      </c>
      <c r="L27" s="1404">
        <f>SUM(L19:L26)</f>
        <v>0</v>
      </c>
      <c r="M27" s="1407">
        <f>SUM(M19:M26)</f>
        <v>95</v>
      </c>
      <c r="N27" s="1403">
        <f t="shared" ref="N27:O27" si="10">SUM(N19:N26)</f>
        <v>0</v>
      </c>
      <c r="O27" s="1404">
        <f t="shared" si="10"/>
        <v>0</v>
      </c>
      <c r="P27" s="1405">
        <f>SUM(P19:P26)</f>
        <v>0</v>
      </c>
      <c r="R27" s="1252">
        <f>IF(SUM(R19:R26)=$D$3,SUM(R19:R26),SUM(R19:R26)&amp;"误差"&amp;ROUND(SUM(R19:R26)-$D$3,2))</f>
        <v>1597.8999999999999</v>
      </c>
      <c r="S27" s="1250">
        <f>IF(SUM(S19:S26)=$E$3,SUM(S19:S26),SUM(S19:S26)&amp;"误差"&amp;ROUND(SUM(S19:S26)-E3,2))</f>
        <v>4734</v>
      </c>
    </row>
    <row r="28" spans="1:19">
      <c r="A28" s="2266"/>
      <c r="B28" s="50" t="s">
        <v>1962</v>
      </c>
      <c r="C28" s="1262" t="s">
        <v>1963</v>
      </c>
      <c r="D28" s="48">
        <f>ROUND($D$3*E28/$E$3,2)</f>
        <v>32.07</v>
      </c>
      <c r="E28" s="56">
        <f>SUM(F28:G28)</f>
        <v>95</v>
      </c>
      <c r="F28" s="64">
        <f>'数据-基础表'!BQ5+'数据-基础表'!BS5</f>
        <v>95</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32.07</v>
      </c>
      <c r="E30" s="1396">
        <f>SUM(E28:E29)</f>
        <v>95</v>
      </c>
      <c r="F30" s="1396">
        <f>SUM(F28:F29)</f>
        <v>95</v>
      </c>
      <c r="G30" s="1398">
        <f>SUM(G28:G29)</f>
        <v>0</v>
      </c>
      <c r="H30" s="1395"/>
      <c r="I30" s="1395"/>
      <c r="J30" s="1395"/>
      <c r="K30" s="1395"/>
      <c r="L30" s="1395"/>
      <c r="M30" s="1395"/>
      <c r="N30" s="1395"/>
      <c r="O30" s="1395"/>
      <c r="P30" s="1395"/>
    </row>
    <row r="31" spans="1:19" ht="15.75" thickBot="1">
      <c r="A31" s="2272"/>
      <c r="B31" s="2273"/>
      <c r="C31" s="1010" t="s">
        <v>1965</v>
      </c>
      <c r="D31" s="729">
        <f>D27+D30</f>
        <v>1597.8999999999999</v>
      </c>
      <c r="E31" s="729">
        <f>E27+E30</f>
        <v>4734</v>
      </c>
      <c r="F31" s="730">
        <f>F27+F30</f>
        <v>4210.6000000000004</v>
      </c>
      <c r="G31" s="731">
        <f>G27+G30</f>
        <v>523.4</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9"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3071</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57607</v>
      </c>
      <c r="F6" s="72">
        <f>SUMIF(项目基本情况!D$12:I$12,C6,项目基本情况!D$15:I$15)</f>
        <v>39.840000000000003</v>
      </c>
      <c r="G6" s="73">
        <f>IF(ISERROR(ROUND(POWER(1+H6,D6-F6)*(POWER(1+H6,F6)-1)/(POWER(1+H6,D6)-1),3)),0,ROUND(POWER(1+H6,D6-F6)*(POWER(1+H6,F6)-1)/(POWER(1+H6,D6)-1),3))</f>
        <v>0.94699999999999995</v>
      </c>
      <c r="H6" s="802">
        <v>5.5E-2</v>
      </c>
      <c r="I6" s="802">
        <v>0.06</v>
      </c>
      <c r="J6" s="74">
        <v>8.5000000000000006E-2</v>
      </c>
      <c r="K6" s="1254">
        <f>SUMIF('数据-汇总表'!C$19:C$33,A6,'数据-汇总表'!E$19:E$33)</f>
        <v>4639</v>
      </c>
      <c r="L6" s="803">
        <v>2800</v>
      </c>
      <c r="M6" s="75">
        <f t="shared" ref="M6:M14" si="0">ROUND(K6*L6/10000,0)</f>
        <v>1299</v>
      </c>
      <c r="N6" s="801">
        <v>0.6</v>
      </c>
      <c r="O6" s="75" t="str">
        <f>IF($N$5="成新度","——",ROUND(M6*N6,0))</f>
        <v>——</v>
      </c>
      <c r="P6" s="76" t="str">
        <f>IF($N$5="成新度","——",M6-O6)</f>
        <v>——</v>
      </c>
      <c r="Q6" s="804">
        <v>0.2</v>
      </c>
      <c r="R6" s="77">
        <f ca="1">SUMIF('数据-汇总表'!C$19:C$33,A6,'数据-汇总表'!R$19:R$27)</f>
        <v>1597.8999999999999</v>
      </c>
      <c r="S6" s="54">
        <f>IF('数据-汇总表'!$I$17="按面积比例",SUMIF('数据-汇总表'!C$19:C$33,A6,'数据-汇总表'!K$19:K$33),SUMIF('数据-汇总表'!C$19:C$33,A6,'数据-汇总表'!N$19:N$33))</f>
        <v>95</v>
      </c>
      <c r="T6" s="1446">
        <f>ROUND($L$14*S6/10000,0)</f>
        <v>27</v>
      </c>
      <c r="U6" s="78">
        <v>6.5</v>
      </c>
      <c r="V6" s="79">
        <v>3.5000000000000003E-2</v>
      </c>
      <c r="W6" s="79">
        <v>0.05</v>
      </c>
      <c r="X6" s="1264"/>
      <c r="Y6" s="80">
        <f>N6</f>
        <v>0.6</v>
      </c>
      <c r="Z6" s="81"/>
      <c r="AA6" s="74"/>
      <c r="AB6" s="74"/>
      <c r="AC6" s="1264"/>
      <c r="AD6" s="82"/>
      <c r="AE6" s="1265">
        <f ca="1">IF(AN6="",0,SUMIF(INDIRECT("'"&amp;AN6&amp;"'"&amp;"!E:E"),$AE$5,INDIRECT("'"&amp;AN6&amp;"'"&amp;"!F:F")))</f>
        <v>39.840000000000003</v>
      </c>
      <c r="AF6" s="1808"/>
      <c r="AG6" s="147">
        <f>IF(AF6="",0,AE6-AF6)</f>
        <v>0</v>
      </c>
      <c r="AH6" s="83"/>
      <c r="AI6" s="85">
        <v>365</v>
      </c>
      <c r="AJ6" s="86"/>
      <c r="AK6" s="87">
        <v>1.4999999999999999E-2</v>
      </c>
      <c r="AL6" s="88">
        <v>0.02</v>
      </c>
      <c r="AM6" s="89">
        <v>1.4999999999999999E-2</v>
      </c>
      <c r="AN6" s="2312" t="s">
        <v>3083</v>
      </c>
      <c r="AO6" s="55">
        <f ca="1">SUMIF(INDIRECT("'"&amp;AN6&amp;"'"&amp;"!A:A"),"总价",INDIRECT("'"&amp;AN6&amp;"'"&amp;"!B:B"))</f>
        <v>22139</v>
      </c>
      <c r="AP6" s="2313">
        <f>IF(C6="住宅",K6*L6,0)</f>
        <v>0</v>
      </c>
      <c r="AQ6" s="55">
        <f>ROUND($L$14*$N$14*S6/10000,0)</f>
        <v>16</v>
      </c>
      <c r="AR6" s="55">
        <f>ROUND($L$14*(1-$N$14)*S6/10000,0)</f>
        <v>11</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95</v>
      </c>
      <c r="L14" s="91">
        <f>L6</f>
        <v>2800</v>
      </c>
      <c r="M14" s="75">
        <f t="shared" si="0"/>
        <v>27</v>
      </c>
      <c r="N14" s="92">
        <f>N6</f>
        <v>0.6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0.94699999999999995</v>
      </c>
      <c r="H16" s="99">
        <f>ROUND(SUMPRODUCT(H6:H13,K6:K13)/SUMPRODUCT((H6:H13&gt;0)*(K6:K13)),3)</f>
        <v>5.5E-2</v>
      </c>
      <c r="I16" s="100"/>
      <c r="J16" s="100"/>
      <c r="K16" s="101">
        <f>SUM(K6:K15)</f>
        <v>4734</v>
      </c>
      <c r="L16" s="102">
        <f>ROUND(M16*10000/SUM(K6:K14),0)</f>
        <v>2801</v>
      </c>
      <c r="M16" s="102">
        <f>SUM(M6:M14)</f>
        <v>1326</v>
      </c>
      <c r="N16" s="103">
        <f>ROUND(SUMPRODUCT(M6:M14,N6:N14)/M16,3)</f>
        <v>0.6</v>
      </c>
      <c r="O16" s="102">
        <f>SUM(O6:O14)</f>
        <v>0</v>
      </c>
      <c r="P16" s="102">
        <f>SUM(P6:P14)</f>
        <v>0</v>
      </c>
      <c r="Q16" s="104">
        <f>ROUND(SUMPRODUCT(Q6:Q13,K6:K13)/SUMPRODUCT((Q6:Q13&gt;0)*(K6:K13)),2)</f>
        <v>0.2</v>
      </c>
      <c r="R16" s="1258">
        <f ca="1">SUM(R6:R13)</f>
        <v>1597.8999999999999</v>
      </c>
      <c r="S16" s="105">
        <f>SUM(S6:S13)</f>
        <v>95</v>
      </c>
      <c r="T16" s="106">
        <f>IF(SUMIF(T6:T13,"&lt;9E307")=M14,SUMIF(T6:T13,"&lt;9E307"),"有误，请检查")</f>
        <v>27</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113">
        <v>1</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160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121">
        <f>ROUND(K16*B28/10000,0)</f>
        <v>95</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0.03</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2">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3">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4">
        <v>1.4999999999999999E-2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2">
        <v>1.4999999999999999E-2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4.3499999999999997E-2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5">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6">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7">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8">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6">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6">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9"/>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30">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6">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1">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2">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3">
        <f>SUMIF(A54:A63,B53,B54:B63)</f>
        <v>24</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269</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1430">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1430">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1430">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1430">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1430">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1430">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4"/>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F10"/>
  <sheetViews>
    <sheetView workbookViewId="0">
      <selection activeCell="E21" sqref="E21"/>
    </sheetView>
  </sheetViews>
  <sheetFormatPr defaultRowHeight="13.5"/>
  <sheetData>
    <row r="3" spans="2:6">
      <c r="B3" s="2936" t="s">
        <v>3085</v>
      </c>
      <c r="C3" s="2936" t="s">
        <v>3086</v>
      </c>
      <c r="D3" s="2936" t="s">
        <v>3087</v>
      </c>
      <c r="E3" s="2936" t="s">
        <v>3088</v>
      </c>
      <c r="F3" s="2936" t="s">
        <v>3090</v>
      </c>
    </row>
    <row r="4" spans="2:6">
      <c r="B4">
        <v>13</v>
      </c>
      <c r="C4">
        <v>1990</v>
      </c>
      <c r="D4" s="2936" t="s">
        <v>3089</v>
      </c>
      <c r="E4">
        <v>274.8</v>
      </c>
      <c r="F4">
        <f>ROUND(1-(1-2%)*(2017-C4)/50,2)</f>
        <v>0.47</v>
      </c>
    </row>
    <row r="5" spans="2:6">
      <c r="B5">
        <v>1</v>
      </c>
      <c r="C5">
        <v>1990</v>
      </c>
      <c r="D5" s="2936" t="s">
        <v>3089</v>
      </c>
      <c r="E5">
        <f>1424.5+523.4</f>
        <v>1947.9</v>
      </c>
      <c r="F5">
        <f>ROUND(1-(1-2%)*(2017-C5)/50,2)</f>
        <v>0.47</v>
      </c>
    </row>
    <row r="6" spans="2:6">
      <c r="B6">
        <v>2</v>
      </c>
      <c r="C6">
        <v>1970</v>
      </c>
      <c r="D6" s="2936" t="s">
        <v>3089</v>
      </c>
      <c r="E6">
        <v>160.80000000000001</v>
      </c>
      <c r="F6">
        <f>ROUND(1-(1-2%)*(2017-C6)/50,2)</f>
        <v>0.08</v>
      </c>
    </row>
    <row r="7" spans="2:6">
      <c r="B7">
        <v>3</v>
      </c>
      <c r="C7">
        <v>1970</v>
      </c>
      <c r="D7" s="2936" t="s">
        <v>3089</v>
      </c>
      <c r="E7">
        <v>2350.5</v>
      </c>
      <c r="F7">
        <f>ROUND(1-(1-2%)*(2017-C7)/50,2)</f>
        <v>0.08</v>
      </c>
    </row>
    <row r="8" spans="2:6">
      <c r="B8" s="3028" t="s">
        <v>3091</v>
      </c>
      <c r="C8" s="3028"/>
      <c r="D8" s="3028"/>
      <c r="E8">
        <f>SUM(E4:E7)</f>
        <v>4734</v>
      </c>
      <c r="F8">
        <f>ROUND((F4*E4+E5*F5+F6*E6+F7*E7)/E8,2)</f>
        <v>0.26</v>
      </c>
    </row>
    <row r="9" spans="2:6">
      <c r="B9" s="3028" t="s">
        <v>3092</v>
      </c>
      <c r="C9" s="3028"/>
      <c r="D9" s="3028"/>
      <c r="F9">
        <v>0.94</v>
      </c>
    </row>
    <row r="10" spans="2:6">
      <c r="B10" s="3028" t="s">
        <v>3093</v>
      </c>
      <c r="C10" s="3028"/>
      <c r="D10" s="3028"/>
      <c r="F10">
        <f>(F8+F9)/2</f>
        <v>0.6</v>
      </c>
    </row>
  </sheetData>
  <mergeCells count="3">
    <mergeCell ref="B8:D8"/>
    <mergeCell ref="B9:D9"/>
    <mergeCell ref="B10:D10"/>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7" sqref="C17"/>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29" t="s">
        <v>2083</v>
      </c>
      <c r="B1" s="3030"/>
      <c r="C1" s="3030"/>
      <c r="D1" s="3030"/>
      <c r="E1" s="3030"/>
      <c r="F1" s="3030"/>
      <c r="G1" s="303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5" t="s">
        <v>2086</v>
      </c>
      <c r="B3" s="1271" t="s">
        <v>2087</v>
      </c>
      <c r="C3" s="2373" t="s">
        <v>2088</v>
      </c>
      <c r="D3" s="2374"/>
      <c r="E3" s="431" t="s">
        <v>2086</v>
      </c>
      <c r="F3" s="2375" t="s">
        <v>2089</v>
      </c>
      <c r="G3" s="2376" t="s">
        <v>2090</v>
      </c>
      <c r="H3" s="2371"/>
      <c r="I3" s="2371"/>
      <c r="J3" s="2371"/>
      <c r="K3" s="2371"/>
      <c r="L3" s="2371"/>
      <c r="M3" s="2371"/>
      <c r="N3" s="2371"/>
      <c r="O3" s="2371"/>
      <c r="P3" s="2371"/>
      <c r="Q3" s="2371"/>
      <c r="R3" s="2371"/>
    </row>
    <row r="4" spans="1:29" ht="41.25">
      <c r="A4" s="431"/>
      <c r="B4" s="1799" t="s">
        <v>2091</v>
      </c>
      <c r="C4" s="2377" t="s">
        <v>2092</v>
      </c>
      <c r="D4" s="2374"/>
      <c r="E4" s="2378"/>
      <c r="F4" s="42" t="s">
        <v>2093</v>
      </c>
      <c r="G4" s="2379" t="s">
        <v>2094</v>
      </c>
      <c r="H4" s="2371"/>
      <c r="I4" s="2371"/>
      <c r="J4" s="2371"/>
      <c r="K4" s="2371"/>
      <c r="L4" s="2371"/>
      <c r="M4" s="2371"/>
      <c r="N4" s="2371"/>
      <c r="O4" s="2371"/>
      <c r="P4" s="2371"/>
      <c r="Q4" s="2371"/>
      <c r="R4" s="2371"/>
    </row>
    <row r="5" spans="1:29" ht="41.25">
      <c r="A5" s="431"/>
      <c r="B5" s="1799" t="s">
        <v>2095</v>
      </c>
      <c r="C5" s="2377" t="s">
        <v>2096</v>
      </c>
      <c r="D5" s="2374"/>
      <c r="E5" s="2378"/>
      <c r="F5" s="1799" t="s">
        <v>2097</v>
      </c>
      <c r="G5" s="2379" t="s">
        <v>2098</v>
      </c>
      <c r="H5" s="2371"/>
      <c r="I5" s="2371"/>
      <c r="J5" s="2371"/>
      <c r="K5" s="2371"/>
      <c r="L5" s="2371"/>
      <c r="M5" s="2371"/>
      <c r="N5" s="2371"/>
      <c r="O5" s="2371"/>
      <c r="P5" s="2371"/>
      <c r="Q5" s="2371"/>
      <c r="R5" s="2371"/>
    </row>
    <row r="6" spans="1:29" ht="54">
      <c r="A6" s="431"/>
      <c r="B6" s="1799" t="s">
        <v>2099</v>
      </c>
      <c r="C6" s="2379" t="s">
        <v>2094</v>
      </c>
      <c r="D6" s="2374"/>
      <c r="E6" s="2378"/>
      <c r="F6" s="1799" t="s">
        <v>2100</v>
      </c>
      <c r="G6" s="2379" t="s">
        <v>2101</v>
      </c>
      <c r="H6" s="2371"/>
      <c r="I6" s="2371"/>
      <c r="J6" s="2371"/>
      <c r="K6" s="2371"/>
      <c r="L6" s="2371"/>
      <c r="M6" s="2371"/>
      <c r="N6" s="2371"/>
      <c r="O6" s="2371"/>
      <c r="P6" s="2371"/>
      <c r="Q6" s="2371"/>
      <c r="R6" s="2371"/>
    </row>
    <row r="7" spans="1:29" ht="41.25" thickBot="1">
      <c r="A7" s="431"/>
      <c r="B7" s="1799" t="s">
        <v>2097</v>
      </c>
      <c r="C7" s="2379" t="s">
        <v>2098</v>
      </c>
      <c r="D7" s="2380"/>
      <c r="E7" s="2381"/>
      <c r="F7" s="2382" t="s">
        <v>2102</v>
      </c>
      <c r="G7" s="2383" t="s">
        <v>2103</v>
      </c>
      <c r="H7" s="2371"/>
      <c r="I7" s="2371"/>
      <c r="J7" s="2371"/>
      <c r="K7" s="2371"/>
      <c r="L7" s="2371"/>
      <c r="M7" s="2371"/>
      <c r="N7" s="2371"/>
      <c r="O7" s="2371"/>
      <c r="P7" s="2371"/>
      <c r="Q7" s="2371"/>
      <c r="R7" s="2371"/>
    </row>
    <row r="8" spans="1:29" ht="27">
      <c r="A8" s="431"/>
      <c r="B8" s="1799" t="s">
        <v>2100</v>
      </c>
      <c r="C8" s="2379" t="s">
        <v>2101</v>
      </c>
      <c r="D8" s="2380"/>
      <c r="E8" s="2380"/>
      <c r="F8" s="1136"/>
      <c r="G8" s="1136"/>
      <c r="H8" s="2371"/>
      <c r="I8" s="2371"/>
      <c r="J8" s="2371"/>
      <c r="K8" s="2371"/>
      <c r="L8" s="2371"/>
      <c r="M8" s="2371"/>
      <c r="N8" s="2371"/>
      <c r="O8" s="2371"/>
      <c r="P8" s="2371"/>
      <c r="Q8" s="2371"/>
      <c r="R8" s="2371"/>
    </row>
    <row r="9" spans="1:29" ht="27">
      <c r="A9" s="431"/>
      <c r="B9" s="1799" t="s">
        <v>2104</v>
      </c>
      <c r="C9" s="2377" t="s">
        <v>2105</v>
      </c>
      <c r="D9" s="2374"/>
      <c r="E9" s="2380"/>
      <c r="F9" s="1136"/>
      <c r="G9" s="1136"/>
      <c r="H9" s="2371"/>
      <c r="I9" s="2371"/>
      <c r="J9" s="2371"/>
      <c r="K9" s="2371"/>
      <c r="L9" s="2371"/>
      <c r="M9" s="2371"/>
      <c r="N9" s="2371"/>
      <c r="O9" s="2371"/>
      <c r="P9" s="2371"/>
      <c r="Q9" s="2371"/>
      <c r="R9" s="2371"/>
    </row>
    <row r="10" spans="1:29" s="117" customFormat="1" ht="15.75" thickBot="1">
      <c r="A10" s="2384"/>
      <c r="B10" s="2385" t="s">
        <v>2106</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8" t="s">
        <v>2110</v>
      </c>
      <c r="B15" s="1270" t="s">
        <v>2087</v>
      </c>
      <c r="C15" s="2406" t="str">
        <f>C3</f>
        <v>估价对象周边居住用地比例、居住小区规模和社区发展完善程度，综合评价居住社区成熟度一般</v>
      </c>
      <c r="D15" s="2374"/>
      <c r="E15" s="2407" t="s">
        <v>2111</v>
      </c>
      <c r="F15" s="1270" t="s">
        <v>2112</v>
      </c>
      <c r="G15" s="135" t="str">
        <f>G3</f>
        <v>估价对象位于XX开发区，园区建设成熟度XX，产业集聚程度XX</v>
      </c>
    </row>
    <row r="16" spans="1:29" ht="42.75">
      <c r="A16" s="645"/>
      <c r="B16" s="2408" t="s">
        <v>2091</v>
      </c>
      <c r="C16" s="2409" t="str">
        <f>C4</f>
        <v>估价对象位于XX商圈，周边商业氛围成熟，人流量大，商业繁华度好</v>
      </c>
      <c r="D16" s="2374"/>
      <c r="E16" s="2410"/>
      <c r="F16" s="2411" t="s">
        <v>2093</v>
      </c>
      <c r="G16" s="136" t="str">
        <f>G4</f>
        <v>估价对象周边道路状况、公共交通通达情况、停车便捷程度，综合评价交通便捷度较好</v>
      </c>
    </row>
    <row r="17" spans="1:18" ht="42.75">
      <c r="A17" s="645"/>
      <c r="B17" s="2408" t="s">
        <v>2095</v>
      </c>
      <c r="C17" s="2409" t="str">
        <f>C5</f>
        <v>估价对象位于XX商圈，周边办公楼项目较多，入驻率高，办公集聚程度较好</v>
      </c>
      <c r="D17" s="2380"/>
      <c r="E17" s="2410"/>
      <c r="F17" s="2411" t="s">
        <v>2113</v>
      </c>
      <c r="G17" s="1573"/>
    </row>
    <row r="18" spans="1:18" ht="57">
      <c r="A18" s="645"/>
      <c r="B18" s="2411" t="s">
        <v>2099</v>
      </c>
      <c r="C18" s="136" t="str">
        <f>C6</f>
        <v>估价对象周边道路状况、公共交通通达情况、停车便捷程度，综合评价交通便捷度较好</v>
      </c>
      <c r="D18" s="2380"/>
      <c r="E18" s="2410"/>
      <c r="F18" s="2411" t="s">
        <v>2102</v>
      </c>
      <c r="G18" s="136" t="str">
        <f>G7</f>
        <v>该园区内是否有污染型企业，绿化情况，卫生条件，整体环境状况判断</v>
      </c>
    </row>
    <row r="19" spans="1:18" ht="28.5">
      <c r="A19" s="645"/>
      <c r="B19" s="2411" t="s">
        <v>2114</v>
      </c>
      <c r="C19" s="1573"/>
      <c r="D19" s="2374"/>
      <c r="E19" s="2410"/>
      <c r="F19" s="1799" t="s">
        <v>2097</v>
      </c>
      <c r="G19" s="136" t="str">
        <f>G5</f>
        <v>估价对象所在区域公共配套设施齐备情况</v>
      </c>
    </row>
    <row r="20" spans="1:18" ht="28.5">
      <c r="A20" s="645"/>
      <c r="B20" s="2411" t="s">
        <v>2115</v>
      </c>
      <c r="C20" s="2409" t="str">
        <f>C9</f>
        <v>区域自然环境：；人文环境；综合评价环境状况一般</v>
      </c>
      <c r="D20" s="2380"/>
      <c r="E20" s="2410"/>
      <c r="F20" s="1799" t="s">
        <v>2116</v>
      </c>
      <c r="G20" s="136" t="str">
        <f>G6</f>
        <v>估价对象所在区域基础设施水平</v>
      </c>
    </row>
    <row r="21" spans="1:18" ht="28.5">
      <c r="A21" s="645"/>
      <c r="B21" s="1799" t="s">
        <v>2097</v>
      </c>
      <c r="C21" s="136" t="str">
        <f>C7</f>
        <v>估价对象所在区域公共配套设施齐备情况</v>
      </c>
      <c r="D21" s="2374"/>
      <c r="E21" s="2410"/>
      <c r="F21" s="2411" t="s">
        <v>2117</v>
      </c>
      <c r="G21" s="2412"/>
    </row>
    <row r="22" spans="1:18" ht="13.5" customHeight="1">
      <c r="A22" s="645"/>
      <c r="B22" s="1799" t="s">
        <v>2100</v>
      </c>
      <c r="C22" s="136" t="str">
        <f>C8</f>
        <v>估价对象所在区域基础设施水平</v>
      </c>
      <c r="D22" s="2374"/>
      <c r="E22" s="2410"/>
      <c r="F22" s="2411" t="s">
        <v>2106</v>
      </c>
      <c r="G22" s="1573"/>
    </row>
    <row r="23" spans="1:18" s="2371" customFormat="1" ht="15.75" thickBot="1">
      <c r="A23" s="645"/>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4734</v>
      </c>
      <c r="C1" s="1746"/>
      <c r="D1" s="1746"/>
      <c r="E1" s="1746"/>
      <c r="F1" s="1746"/>
      <c r="G1" s="1744"/>
    </row>
    <row r="2" spans="1:10" ht="16.5">
      <c r="A2" s="1747" t="s">
        <v>1354</v>
      </c>
      <c r="B2" s="1747">
        <f>SUM(C14:C23)</f>
        <v>1597.9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21995</v>
      </c>
      <c r="C5" s="1747">
        <f ca="1">ROUND(B5*10000/$B$1,0)</f>
        <v>46462</v>
      </c>
      <c r="D5" s="1747">
        <f ca="1">ROUND(B5*10000/$B$2,0)</f>
        <v>137649</v>
      </c>
      <c r="E5" s="1746"/>
      <c r="F5" s="1744"/>
      <c r="G5" s="1744"/>
    </row>
    <row r="6" spans="1:10" ht="16.5">
      <c r="A6" s="1747" t="s">
        <v>1357</v>
      </c>
      <c r="B6" s="1747">
        <f ca="1">SUM(G14:G23)</f>
        <v>21995</v>
      </c>
      <c r="C6" s="1747">
        <f ca="1">ROUND(B6*10000/$B$1,0)</f>
        <v>46462</v>
      </c>
      <c r="D6" s="1747">
        <f ca="1">ROUND(B6*10000/$B$2,0)</f>
        <v>137649</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4734</v>
      </c>
      <c r="C14" s="1745">
        <f>结果表!C118</f>
        <v>1597.9</v>
      </c>
      <c r="D14" s="1745">
        <f ca="1">结果表!H118</f>
        <v>21995</v>
      </c>
      <c r="E14" s="1745">
        <f ca="1">ROUND(D14*10000/B14,0)</f>
        <v>46462</v>
      </c>
      <c r="F14" s="1745">
        <f ca="1">ROUND(D14*10000/C14,0)</f>
        <v>137649</v>
      </c>
      <c r="G14" s="1745">
        <f ca="1">结果表!D122</f>
        <v>21995</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C35" sqref="C3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2120</v>
      </c>
      <c r="B1" s="2422"/>
      <c r="C1" s="2423"/>
      <c r="D1" s="2422"/>
      <c r="E1" s="2422"/>
      <c r="F1" s="2424" t="s">
        <v>2121</v>
      </c>
      <c r="G1" s="2074" t="s">
        <v>3055</v>
      </c>
      <c r="H1" s="2425" t="str">
        <f>IF(G1="现房","——","估价对象范围")</f>
        <v>——</v>
      </c>
      <c r="I1" s="2426"/>
    </row>
    <row r="2" spans="1:12" ht="21.75" customHeight="1" thickBot="1">
      <c r="A2" s="3103" t="str">
        <f>项目基本情况!S2</f>
        <v>北京市东城区菊儿胡同33号13幢等4幢房地产</v>
      </c>
      <c r="B2" s="3104"/>
      <c r="C2" s="3104"/>
      <c r="D2" s="3104"/>
      <c r="E2" s="3104"/>
      <c r="F2" s="3104"/>
      <c r="G2" s="3104"/>
      <c r="H2" s="3104"/>
      <c r="I2" s="3105"/>
    </row>
    <row r="3" spans="1:12" ht="12.75">
      <c r="A3" s="3106" t="s">
        <v>2122</v>
      </c>
      <c r="B3" s="3107"/>
      <c r="C3" s="3107"/>
      <c r="D3" s="3107"/>
      <c r="E3" s="3107"/>
      <c r="F3" s="3107"/>
      <c r="G3" s="3107"/>
      <c r="H3" s="3107"/>
      <c r="I3" s="3107"/>
    </row>
    <row r="4" spans="1:12" ht="14.25">
      <c r="A4" s="2429" t="s">
        <v>2123</v>
      </c>
      <c r="B4" s="2430" t="s">
        <v>2124</v>
      </c>
      <c r="C4" s="2431" t="s">
        <v>3084</v>
      </c>
      <c r="D4" s="2431" t="s">
        <v>3083</v>
      </c>
      <c r="E4" s="3087" t="s">
        <v>2125</v>
      </c>
      <c r="F4" s="3100"/>
      <c r="G4" s="3100"/>
      <c r="H4" s="3100"/>
      <c r="I4" s="308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2126</v>
      </c>
      <c r="B5" s="3003">
        <v>25</v>
      </c>
      <c r="C5" s="3108"/>
      <c r="D5" s="3096"/>
      <c r="E5" s="140" t="s">
        <v>2127</v>
      </c>
      <c r="F5" s="2433"/>
      <c r="G5" s="2433"/>
      <c r="H5" s="2433"/>
      <c r="I5" s="1835"/>
    </row>
    <row r="6" spans="1:12" ht="12.75">
      <c r="A6" s="3078"/>
      <c r="B6" s="3003"/>
      <c r="C6" s="3110"/>
      <c r="D6" s="3096"/>
      <c r="E6" s="140" t="s">
        <v>2128</v>
      </c>
      <c r="F6" s="2433"/>
      <c r="G6" s="2433"/>
      <c r="H6" s="2433"/>
      <c r="I6" s="1835"/>
    </row>
    <row r="7" spans="1:12" ht="12.75">
      <c r="A7" s="3078"/>
      <c r="B7" s="3003"/>
      <c r="C7" s="3109"/>
      <c r="D7" s="3096"/>
      <c r="E7" s="140" t="s">
        <v>2129</v>
      </c>
      <c r="F7" s="2433"/>
      <c r="G7" s="2433"/>
      <c r="H7" s="2433"/>
      <c r="I7" s="1835"/>
    </row>
    <row r="8" spans="1:12" ht="12.75">
      <c r="A8" s="3078" t="s">
        <v>2130</v>
      </c>
      <c r="B8" s="3003">
        <v>15</v>
      </c>
      <c r="C8" s="3108"/>
      <c r="D8" s="3096"/>
      <c r="E8" s="140" t="s">
        <v>2131</v>
      </c>
      <c r="F8" s="2433"/>
      <c r="G8" s="2433"/>
      <c r="H8" s="2433"/>
      <c r="I8" s="1835"/>
    </row>
    <row r="9" spans="1:12" ht="12.75">
      <c r="A9" s="3078"/>
      <c r="B9" s="3003"/>
      <c r="C9" s="3109"/>
      <c r="D9" s="3096"/>
      <c r="E9" s="140" t="s">
        <v>2132</v>
      </c>
      <c r="F9" s="2433"/>
      <c r="G9" s="2433"/>
      <c r="H9" s="2433"/>
      <c r="I9" s="1835"/>
    </row>
    <row r="10" spans="1:12" ht="12.75">
      <c r="A10" s="3078" t="s">
        <v>2133</v>
      </c>
      <c r="B10" s="3003">
        <v>15</v>
      </c>
      <c r="C10" s="3108"/>
      <c r="D10" s="3096"/>
      <c r="E10" s="140" t="s">
        <v>2134</v>
      </c>
      <c r="F10" s="2433"/>
      <c r="G10" s="2433"/>
      <c r="H10" s="2433"/>
      <c r="I10" s="1835"/>
    </row>
    <row r="11" spans="1:12" ht="12.75">
      <c r="A11" s="3078"/>
      <c r="B11" s="3003"/>
      <c r="C11" s="3109"/>
      <c r="D11" s="3096"/>
      <c r="E11" s="140" t="s">
        <v>2135</v>
      </c>
      <c r="F11" s="2433"/>
      <c r="G11" s="2433"/>
      <c r="H11" s="2433"/>
      <c r="I11" s="1835"/>
    </row>
    <row r="12" spans="1:12" ht="12.75">
      <c r="A12" s="3078" t="s">
        <v>2136</v>
      </c>
      <c r="B12" s="3003">
        <v>15</v>
      </c>
      <c r="C12" s="3108"/>
      <c r="D12" s="3096"/>
      <c r="E12" s="140" t="s">
        <v>2137</v>
      </c>
      <c r="F12" s="2433"/>
      <c r="G12" s="2433"/>
      <c r="H12" s="2433"/>
      <c r="I12" s="1835"/>
    </row>
    <row r="13" spans="1:12" ht="12.75">
      <c r="A13" s="3078"/>
      <c r="B13" s="3003"/>
      <c r="C13" s="3109"/>
      <c r="D13" s="3096"/>
      <c r="E13" s="140" t="s">
        <v>2138</v>
      </c>
      <c r="F13" s="2433"/>
      <c r="G13" s="2433"/>
      <c r="H13" s="2433"/>
      <c r="I13" s="1835"/>
    </row>
    <row r="14" spans="1:12" ht="12.75">
      <c r="A14" s="3078" t="s">
        <v>2139</v>
      </c>
      <c r="B14" s="3003">
        <v>30</v>
      </c>
      <c r="C14" s="3108">
        <v>5</v>
      </c>
      <c r="D14" s="3096">
        <v>5</v>
      </c>
      <c r="E14" s="140" t="s">
        <v>2140</v>
      </c>
      <c r="F14" s="2433"/>
      <c r="G14" s="2433"/>
      <c r="H14" s="2433"/>
      <c r="I14" s="1835"/>
    </row>
    <row r="15" spans="1:12" ht="12.75">
      <c r="A15" s="3078"/>
      <c r="B15" s="3003"/>
      <c r="C15" s="3110"/>
      <c r="D15" s="3096"/>
      <c r="E15" s="140" t="s">
        <v>2141</v>
      </c>
      <c r="F15" s="2433"/>
      <c r="G15" s="2433"/>
      <c r="H15" s="2433"/>
      <c r="I15" s="1835"/>
    </row>
    <row r="16" spans="1:12" ht="12.75">
      <c r="A16" s="3078"/>
      <c r="B16" s="3003"/>
      <c r="C16" s="3109"/>
      <c r="D16" s="3096"/>
      <c r="E16" s="140" t="s">
        <v>2142</v>
      </c>
      <c r="F16" s="2433"/>
      <c r="G16" s="2433"/>
      <c r="H16" s="2433"/>
      <c r="I16" s="1835"/>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4734</v>
      </c>
      <c r="M18" s="2432">
        <f>IF(C1="",'数据-汇总表'!E3,SUMIF(项目类型,C1,'数据-汇总表'!E17:E26))</f>
        <v>4734</v>
      </c>
    </row>
    <row r="19" spans="1:35" ht="15">
      <c r="A19" s="2438" t="s">
        <v>2148</v>
      </c>
      <c r="B19" s="2439" t="s">
        <v>2149</v>
      </c>
      <c r="C19" s="143">
        <f ca="1">SUMIF(INDIRECT("'"&amp;C4&amp;"'"&amp;"!A:A"),结果表!B19,INDIRECT("'"&amp;C4&amp;"'"&amp;"!B:B"))</f>
        <v>21851</v>
      </c>
      <c r="D19" s="144">
        <f ca="1">SUMIF(INDIRECT("'"&amp;D4&amp;"'"&amp;"!A:A"),结果表!B19,INDIRECT("'"&amp;D4&amp;"'"&amp;"!B:B"))</f>
        <v>22139</v>
      </c>
      <c r="E19" s="2438" t="s">
        <v>2150</v>
      </c>
      <c r="F19" s="2439" t="s">
        <v>2149</v>
      </c>
      <c r="G19" s="145">
        <f ca="1">ROUND(C19*$C$18+D19*$D$18,0)</f>
        <v>21995</v>
      </c>
      <c r="H19" s="2440" t="s">
        <v>2151</v>
      </c>
      <c r="I19" s="138"/>
      <c r="K19" s="2432" t="s">
        <v>2152</v>
      </c>
      <c r="L19" s="2432">
        <f>IF(C1="",'数据-汇总表'!D3,SUMIF(项目类型,C1,'数据-汇总表'!D17:D26)+SUMIF(项目类型,C1,'数据-汇总表'!H17:H27))</f>
        <v>1597.9</v>
      </c>
      <c r="M19" s="2432">
        <f>IF(C1="",'数据-汇总表'!D3,SUMIF(项目类型,C1,'数据-汇总表'!D17:D26))</f>
        <v>1597.9</v>
      </c>
    </row>
    <row r="20" spans="1:35" ht="15">
      <c r="A20" s="2441"/>
      <c r="B20" s="1250" t="s">
        <v>2153</v>
      </c>
      <c r="C20" s="146">
        <f ca="1">SUMIF(INDIRECT("'"&amp;C4&amp;"'"&amp;"!A:A"),结果表!B20,INDIRECT("'"&amp;C4&amp;"'"&amp;"!B:B"))</f>
        <v>46158</v>
      </c>
      <c r="D20" s="147">
        <f ca="1">SUMIF(INDIRECT("'"&amp;D4&amp;"'"&amp;"!A:A"),结果表!B20,INDIRECT("'"&amp;D4&amp;"'"&amp;"!B:B"))</f>
        <v>47724</v>
      </c>
      <c r="E20" s="2441"/>
      <c r="F20" s="1250" t="s">
        <v>2153</v>
      </c>
      <c r="G20" s="148">
        <f ca="1">ROUND(C20*$C$18+D20*$D$18,0)</f>
        <v>46941</v>
      </c>
      <c r="H20" s="983" t="s">
        <v>2154</v>
      </c>
      <c r="I20" s="138"/>
    </row>
    <row r="21" spans="1:35" ht="15" customHeight="1" thickBot="1">
      <c r="A21" s="1003"/>
      <c r="B21" s="2442" t="s">
        <v>2155</v>
      </c>
      <c r="C21" s="789">
        <f ca="1">ROUND(C19*10000/L19,0)</f>
        <v>136748</v>
      </c>
      <c r="D21" s="790">
        <f ca="1">ROUND(D19*10000/L19,0)</f>
        <v>138551</v>
      </c>
      <c r="E21" s="1003"/>
      <c r="F21" s="2442" t="s">
        <v>2155</v>
      </c>
      <c r="G21" s="149">
        <f ca="1">ROUND(G19*10000/L19,0)</f>
        <v>137649</v>
      </c>
      <c r="H21" s="2443" t="s">
        <v>2154</v>
      </c>
      <c r="I21" s="138"/>
    </row>
    <row r="22" spans="1:35" ht="15" thickBot="1">
      <c r="A22" s="2284" t="s">
        <v>2156</v>
      </c>
      <c r="B22" s="2444"/>
      <c r="C22" s="2445"/>
      <c r="D22" s="791">
        <f ca="1">IF(C19&lt;D19,D19/C19-1,C19/D19-1)</f>
        <v>1.3180174820374368E-2</v>
      </c>
      <c r="E22" s="138"/>
      <c r="F22" s="138"/>
      <c r="G22" s="138"/>
      <c r="H22" s="138"/>
      <c r="I22" s="138"/>
    </row>
    <row r="23" spans="1:35" ht="13.5" thickBot="1">
      <c r="A23" s="2422"/>
      <c r="B23" s="2422"/>
      <c r="C23" s="2422"/>
      <c r="D23" s="2422"/>
      <c r="E23" s="138"/>
      <c r="F23" s="138"/>
      <c r="G23" s="138"/>
      <c r="H23" s="138"/>
      <c r="I23" s="138"/>
    </row>
    <row r="24" spans="1:35" ht="14.25">
      <c r="A24" s="3117" t="s">
        <v>2157</v>
      </c>
      <c r="B24" s="2439" t="s">
        <v>2149</v>
      </c>
      <c r="C24" s="145">
        <f>IF(B30=0,0,D30)</f>
        <v>0</v>
      </c>
      <c r="D24" s="2446"/>
      <c r="E24" s="138"/>
      <c r="F24" s="138"/>
      <c r="G24" s="138"/>
      <c r="H24" s="138"/>
      <c r="I24" s="138"/>
    </row>
    <row r="25" spans="1:35" ht="14.25">
      <c r="A25" s="3118"/>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2" t="s">
        <v>3045</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21995</v>
      </c>
      <c r="D32" s="2453" t="s">
        <v>2164</v>
      </c>
      <c r="E32" s="138"/>
      <c r="F32" s="138"/>
      <c r="G32" s="138"/>
      <c r="H32" s="138"/>
      <c r="I32" s="138"/>
    </row>
    <row r="33" spans="1:15" ht="15">
      <c r="A33" s="960" t="s">
        <v>2165</v>
      </c>
      <c r="B33" s="2454"/>
      <c r="C33" s="2455" t="s">
        <v>3105</v>
      </c>
      <c r="D33" s="2456" t="s">
        <v>3084</v>
      </c>
      <c r="E33" s="2457" t="s">
        <v>2166</v>
      </c>
      <c r="F33" s="2458" t="str">
        <f>IF(D32="楼面单价","取值（单价）","取值（总价）")</f>
        <v>取值（总价）</v>
      </c>
      <c r="G33" s="138"/>
      <c r="H33" s="138"/>
      <c r="I33" s="138"/>
    </row>
    <row r="34" spans="1:15" ht="15">
      <c r="A34" s="2459"/>
      <c r="B34" s="2460" t="s">
        <v>2167</v>
      </c>
      <c r="C34" s="157">
        <f ca="1">IF(C33="自定义",F34,C32-C35)</f>
        <v>20807</v>
      </c>
      <c r="D34" s="1058">
        <f ca="1">IF(C33="自定义",ROUND(C34/C32,3),IF(C33="收益比率",SUMIF(INDIRECT("'"&amp;D33&amp;"'"&amp;"!b:b"),"土地收益比率",INDIRECT("'"&amp;D33&amp;"'"&amp;"!c:c")),SUMIF(INDIRECT("'"&amp;D33&amp;"'"&amp;"!b:b"),"土地成本比率",INDIRECT("'"&amp;D33&amp;"'"&amp;"!c:c"))))</f>
        <v>0.94599999999999995</v>
      </c>
      <c r="E34" s="2461" t="s">
        <v>2168</v>
      </c>
      <c r="F34" s="1740"/>
      <c r="G34" s="138"/>
      <c r="H34" s="138"/>
      <c r="I34" s="138"/>
    </row>
    <row r="35" spans="1:15" ht="15.75" thickBot="1">
      <c r="A35" s="2462"/>
      <c r="B35" s="2463" t="s">
        <v>2169</v>
      </c>
      <c r="C35" s="1444">
        <f ca="1">IF(C33="自定义",F35,ROUND(C32*D35,0))</f>
        <v>1188</v>
      </c>
      <c r="D35" s="1445">
        <f ca="1">IF(C33="自定义",ROUND(C35/C32,3),IF(C33="收益比率",SUMIF(INDIRECT("'"&amp;D33&amp;"'"&amp;"!b:b"),"建筑物收益比率",INDIRECT("'"&amp;D33&amp;"'"&amp;"!c:c")),SUMIF(INDIRECT("'"&amp;D33&amp;"'"&amp;"!b:b"),"建筑物成本比率",INDIRECT("'"&amp;D33&amp;"'"&amp;"!c:c"))))</f>
        <v>5.3999999999999999E-2</v>
      </c>
      <c r="E35" s="2464" t="s">
        <v>2170</v>
      </c>
      <c r="F35" s="163"/>
      <c r="G35" s="138"/>
      <c r="H35" s="138"/>
      <c r="I35" s="138"/>
    </row>
    <row r="36" spans="1:15" ht="15.75" thickBot="1">
      <c r="A36" s="3097" t="s">
        <v>2171</v>
      </c>
      <c r="B36" s="2465" t="s">
        <v>2172</v>
      </c>
      <c r="C36" s="154"/>
      <c r="D36" s="2466"/>
      <c r="E36" s="2467"/>
      <c r="F36" s="2468"/>
      <c r="G36" s="138"/>
      <c r="H36" s="138"/>
      <c r="I36" s="138"/>
    </row>
    <row r="37" spans="1:15" ht="15.75" thickBot="1">
      <c r="A37" s="3098"/>
      <c r="B37" s="2270" t="s">
        <v>2173</v>
      </c>
      <c r="C37" s="156"/>
      <c r="D37" s="1395"/>
      <c r="E37" s="1395"/>
      <c r="F37" s="2468"/>
      <c r="G37" s="138"/>
      <c r="H37" s="138"/>
      <c r="I37" s="138"/>
    </row>
    <row r="38" spans="1:15" ht="15.75" thickBot="1">
      <c r="A38" s="3099"/>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14" t="s">
        <v>2185</v>
      </c>
      <c r="B45" s="3115"/>
      <c r="C45" s="3116"/>
      <c r="D45" s="164">
        <f ca="1">ROUND(H101*F45,0)</f>
        <v>21995</v>
      </c>
      <c r="E45" s="165" t="s">
        <v>2186</v>
      </c>
      <c r="F45" s="166">
        <v>1</v>
      </c>
      <c r="G45" s="167" t="s">
        <v>2187</v>
      </c>
      <c r="H45" s="138"/>
      <c r="I45" s="138"/>
      <c r="J45" s="3033" t="s">
        <v>2188</v>
      </c>
      <c r="K45" s="3033"/>
      <c r="L45" s="3033"/>
      <c r="M45" s="3033"/>
      <c r="N45" s="3033"/>
      <c r="O45" s="3033"/>
    </row>
    <row r="46" spans="1:15" ht="14.25" customHeight="1">
      <c r="A46" s="3111" t="s">
        <v>2189</v>
      </c>
      <c r="B46" s="3112"/>
      <c r="C46" s="3112"/>
      <c r="D46" s="3112"/>
      <c r="E46" s="3112"/>
      <c r="F46" s="3112"/>
      <c r="G46" s="3113"/>
      <c r="H46" s="2484"/>
      <c r="I46" s="168"/>
      <c r="J46" s="1813">
        <v>1</v>
      </c>
      <c r="K46" s="3033" t="s">
        <v>2190</v>
      </c>
      <c r="L46" s="3033"/>
      <c r="M46" s="3034"/>
      <c r="N46" s="3034"/>
      <c r="O46" s="3034"/>
    </row>
    <row r="47" spans="1:15" ht="12" customHeight="1">
      <c r="A47" s="169" t="s">
        <v>2191</v>
      </c>
      <c r="B47" s="170"/>
      <c r="C47" s="171"/>
      <c r="D47" s="172" t="s">
        <v>2192</v>
      </c>
      <c r="E47" s="24" t="s">
        <v>2193</v>
      </c>
      <c r="F47" s="173" t="s">
        <v>2194</v>
      </c>
      <c r="G47" s="174" t="s">
        <v>2195</v>
      </c>
      <c r="H47" s="2484"/>
      <c r="I47" s="168"/>
      <c r="J47" s="1813">
        <v>2</v>
      </c>
      <c r="K47" s="3033" t="s">
        <v>2196</v>
      </c>
      <c r="L47" s="3033"/>
      <c r="M47" s="3035">
        <f>'数据-取费表'!B2</f>
        <v>43063</v>
      </c>
      <c r="N47" s="3035"/>
      <c r="O47" s="3035"/>
    </row>
    <row r="48" spans="1:15" ht="25.5">
      <c r="A48" s="3101" t="s">
        <v>2197</v>
      </c>
      <c r="B48" s="3102"/>
      <c r="C48" s="3102"/>
      <c r="D48" s="140">
        <f>IF(H48="情况1",0,IF(H48="情况2",D52,IF(H48="情况3",D53,IF(H48="情况4",D54))))</f>
        <v>0</v>
      </c>
      <c r="E48" s="1802" t="str">
        <f>IF(H48="情况4","(销售额-原购置价)×税（费）率","销售额×税（费）率")</f>
        <v>销售额×税（费）率</v>
      </c>
      <c r="F48" s="175" t="str">
        <f>IF(H48="情况1","免征",'数据-取费表'!B41)</f>
        <v>免征</v>
      </c>
      <c r="G48" s="2485" t="s">
        <v>2198</v>
      </c>
      <c r="H48" s="2486" t="s">
        <v>2199</v>
      </c>
      <c r="I48" s="2484"/>
      <c r="J48" s="1813">
        <v>3</v>
      </c>
      <c r="K48" s="3033" t="s">
        <v>2200</v>
      </c>
      <c r="L48" s="3033"/>
      <c r="M48" s="3036">
        <f ca="1">H101</f>
        <v>21995</v>
      </c>
      <c r="N48" s="3036"/>
      <c r="O48" s="3036"/>
    </row>
    <row r="49" spans="1:35" ht="25.5" customHeight="1">
      <c r="A49" s="176" t="s">
        <v>2201</v>
      </c>
      <c r="B49" s="3081" t="s">
        <v>2202</v>
      </c>
      <c r="C49" s="3081"/>
      <c r="D49" s="177">
        <v>0</v>
      </c>
      <c r="E49" s="23" t="s">
        <v>2203</v>
      </c>
      <c r="F49" s="28" t="s">
        <v>34</v>
      </c>
      <c r="G49" s="3062"/>
      <c r="H49" s="138"/>
      <c r="I49" s="2487"/>
      <c r="J49" s="1813">
        <v>4</v>
      </c>
      <c r="K49" s="3033" t="str">
        <f>IF(项目基本情况!E8="房地产抵押价值","房地产抵押价值","抵押担保权已注销时的房地产抵押价值")</f>
        <v>房地产抵押价值</v>
      </c>
      <c r="L49" s="3033"/>
      <c r="M49" s="3036">
        <f ca="1">IF(项目基本情况!E8="房地产抵押价值",H107,H109)</f>
        <v>21995</v>
      </c>
      <c r="N49" s="3036"/>
      <c r="O49" s="3036"/>
    </row>
    <row r="50" spans="1:35" ht="25.5" customHeight="1">
      <c r="A50" s="178"/>
      <c r="B50" s="3081" t="s">
        <v>2204</v>
      </c>
      <c r="C50" s="3081"/>
      <c r="D50" s="179"/>
      <c r="E50" s="31"/>
      <c r="F50" s="180"/>
      <c r="G50" s="3063"/>
      <c r="H50" s="138"/>
      <c r="I50" s="2487"/>
      <c r="J50" s="3033" t="s">
        <v>2205</v>
      </c>
      <c r="K50" s="3033"/>
      <c r="L50" s="3033"/>
      <c r="M50" s="3033"/>
      <c r="N50" s="3033"/>
      <c r="O50" s="3033"/>
    </row>
    <row r="51" spans="1:35" ht="12" customHeight="1">
      <c r="A51" s="181"/>
      <c r="B51" s="3081" t="s">
        <v>2206</v>
      </c>
      <c r="C51" s="3081"/>
      <c r="D51" s="182"/>
      <c r="E51" s="30"/>
      <c r="F51" s="180"/>
      <c r="G51" s="3064"/>
      <c r="H51" s="138"/>
      <c r="I51" s="2487"/>
      <c r="J51" s="2488" t="s">
        <v>2207</v>
      </c>
      <c r="K51" s="3033" t="s">
        <v>2208</v>
      </c>
      <c r="L51" s="3033"/>
      <c r="M51" s="2488" t="s">
        <v>2209</v>
      </c>
      <c r="N51" s="2488" t="s">
        <v>2210</v>
      </c>
      <c r="O51" s="2488" t="s">
        <v>2211</v>
      </c>
    </row>
    <row r="52" spans="1:35" ht="24" customHeight="1">
      <c r="A52" s="183" t="s">
        <v>2212</v>
      </c>
      <c r="B52" s="3081" t="s">
        <v>2213</v>
      </c>
      <c r="C52" s="3081"/>
      <c r="D52" s="182">
        <f ca="1">ROUND(D45*'数据-取费表'!B41/(1+'数据-取费表'!C42),0)</f>
        <v>1173</v>
      </c>
      <c r="E52" s="11" t="s">
        <v>2214</v>
      </c>
      <c r="F52" s="184">
        <f>'数据-取费表'!B41</f>
        <v>5.6000000000000001E-2</v>
      </c>
      <c r="G52" s="2489"/>
      <c r="H52" s="138"/>
      <c r="I52" s="2487"/>
      <c r="J52" s="1813">
        <v>1</v>
      </c>
      <c r="K52" s="3056" t="s">
        <v>2215</v>
      </c>
      <c r="L52" s="3056"/>
      <c r="M52" s="1755">
        <f>D48</f>
        <v>0</v>
      </c>
      <c r="N52" s="1813" t="str">
        <f>E48</f>
        <v>销售额×税（费）率</v>
      </c>
      <c r="O52" s="1756" t="str">
        <f>F48</f>
        <v>免征</v>
      </c>
    </row>
    <row r="53" spans="1:35" ht="12" customHeight="1">
      <c r="A53" s="183" t="s">
        <v>2216</v>
      </c>
      <c r="B53" s="3082" t="s">
        <v>2217</v>
      </c>
      <c r="C53" s="3083"/>
      <c r="D53" s="182">
        <f ca="1">ROUND(D45*'数据-取费表'!B41/(1+'数据-取费表'!C42),0)</f>
        <v>1173</v>
      </c>
      <c r="E53" s="11" t="s">
        <v>2214</v>
      </c>
      <c r="F53" s="184">
        <f>'数据-取费表'!B41</f>
        <v>5.6000000000000001E-2</v>
      </c>
      <c r="G53" s="2489"/>
      <c r="H53" s="138"/>
      <c r="I53" s="2487"/>
      <c r="J53" s="1813">
        <v>2</v>
      </c>
      <c r="K53" s="3056" t="s">
        <v>2218</v>
      </c>
      <c r="L53" s="3056"/>
      <c r="M53" s="1755">
        <f t="shared" ref="M53:O54" ca="1" si="0">D55</f>
        <v>11</v>
      </c>
      <c r="N53" s="1813" t="str">
        <f t="shared" si="0"/>
        <v>销售额×税（费）率</v>
      </c>
      <c r="O53" s="1756">
        <f t="shared" si="0"/>
        <v>5.0000000000000001E-4</v>
      </c>
    </row>
    <row r="54" spans="1:35" ht="12" customHeight="1">
      <c r="A54" s="183" t="s">
        <v>2219</v>
      </c>
      <c r="B54" s="3082" t="s">
        <v>2220</v>
      </c>
      <c r="C54" s="3083"/>
      <c r="D54" s="182">
        <f ca="1">C68</f>
        <v>1173</v>
      </c>
      <c r="E54" s="30" t="s">
        <v>2221</v>
      </c>
      <c r="F54" s="184">
        <f>'数据-取费表'!B41</f>
        <v>5.6000000000000001E-2</v>
      </c>
      <c r="G54" s="2489"/>
      <c r="H54" s="2490"/>
      <c r="I54" s="2487"/>
      <c r="J54" s="1813">
        <v>3</v>
      </c>
      <c r="K54" s="3056" t="s">
        <v>2222</v>
      </c>
      <c r="L54" s="3056"/>
      <c r="M54" s="1755">
        <f t="shared" ca="1" si="0"/>
        <v>12449</v>
      </c>
      <c r="N54" s="1813" t="str">
        <f t="shared" si="0"/>
        <v>增值额×税（费）率</v>
      </c>
      <c r="O54" s="1757" t="str">
        <f t="shared" si="0"/>
        <v>——</v>
      </c>
    </row>
    <row r="55" spans="1:35" ht="24" customHeight="1">
      <c r="A55" s="3120" t="s">
        <v>2223</v>
      </c>
      <c r="B55" s="3102"/>
      <c r="C55" s="3102"/>
      <c r="D55" s="185">
        <f ca="1">IF(H55="个人住宅",0,ROUND(D45*I55,0))</f>
        <v>11</v>
      </c>
      <c r="E55" s="11" t="s">
        <v>2224</v>
      </c>
      <c r="F55" s="184">
        <f>IF(H55="正常",I55,"免征")</f>
        <v>5.0000000000000001E-4</v>
      </c>
      <c r="G55" s="2489"/>
      <c r="H55" s="2486" t="s">
        <v>2225</v>
      </c>
      <c r="I55" s="186">
        <f>'数据-取费表'!B49</f>
        <v>5.0000000000000001E-4</v>
      </c>
      <c r="J55" s="1813" t="str">
        <f>IF(H59="非个人房产","",4)</f>
        <v/>
      </c>
      <c r="K55" s="3056" t="str">
        <f>IF(H59="非个人房产","——","个人所得税")</f>
        <v>——</v>
      </c>
      <c r="L55" s="3056"/>
      <c r="M55" s="1758" t="str">
        <f>D59</f>
        <v>——</v>
      </c>
      <c r="N55" s="1811" t="str">
        <f>E59</f>
        <v>——</v>
      </c>
      <c r="O55" s="1759" t="str">
        <f>F59</f>
        <v>——</v>
      </c>
    </row>
    <row r="56" spans="1:35" ht="24.75">
      <c r="A56" s="3120" t="s">
        <v>2226</v>
      </c>
      <c r="B56" s="3102"/>
      <c r="C56" s="3102"/>
      <c r="D56" s="185">
        <f ca="1">IF(H56="个人住宅",D57,D58)</f>
        <v>12449</v>
      </c>
      <c r="E56" s="11" t="s">
        <v>2227</v>
      </c>
      <c r="F56" s="184" t="str">
        <f>IF(H56="正常",F58,"免征")</f>
        <v>——</v>
      </c>
      <c r="G56" s="2491" t="s">
        <v>2228</v>
      </c>
      <c r="H56" s="2492" t="s">
        <v>2225</v>
      </c>
      <c r="I56" s="2493"/>
      <c r="J56" s="1813" t="str">
        <f>IF(项目基本情况!K6="上海银行",IF(J55="",4,J55+1),"")</f>
        <v/>
      </c>
      <c r="K56" s="3039" t="str">
        <f>IF(项目基本情况!K6="上海银行","其他处置费用","")</f>
        <v/>
      </c>
      <c r="L56" s="3040"/>
      <c r="M56" s="1755" t="str">
        <f>IF(项目基本情况!K6="上海银行",M69,"")</f>
        <v/>
      </c>
      <c r="N56" s="3042" t="str">
        <f>IF(项目基本情况!K6="上海银行","包含处置中涉及的律师、诉讼、拍卖、评估等费用","")</f>
        <v/>
      </c>
      <c r="O56" s="3043"/>
    </row>
    <row r="57" spans="1:35" ht="12.75">
      <c r="A57" s="183" t="s">
        <v>2201</v>
      </c>
      <c r="B57" s="3087" t="s">
        <v>2229</v>
      </c>
      <c r="C57" s="3088"/>
      <c r="D57" s="187">
        <v>0</v>
      </c>
      <c r="E57" s="23" t="s">
        <v>2203</v>
      </c>
      <c r="F57" s="155"/>
      <c r="G57" s="2489"/>
      <c r="H57" s="2493"/>
      <c r="I57" s="2493"/>
      <c r="J57" s="3056">
        <f>IF(AND(J55="",J56=""),4,IF(项目基本情况!K6="上海银行",结果表!J56+1,结果表!J55+1))</f>
        <v>4</v>
      </c>
      <c r="K57" s="3056" t="s">
        <v>2230</v>
      </c>
      <c r="L57" s="2494" t="s">
        <v>2231</v>
      </c>
      <c r="M57" s="1760"/>
      <c r="N57" s="1761">
        <f ca="1">SUMIF(M52:M56,"&lt;9e307")</f>
        <v>12460</v>
      </c>
      <c r="O57" s="2495"/>
      <c r="P57" s="1754">
        <f ca="1">N57/M49</f>
        <v>0.5664923846328711</v>
      </c>
    </row>
    <row r="58" spans="1:35" ht="24.75">
      <c r="A58" s="183" t="s">
        <v>2212</v>
      </c>
      <c r="B58" s="3087" t="s">
        <v>2232</v>
      </c>
      <c r="C58" s="3100"/>
      <c r="D58" s="185">
        <f ca="1">IF(H58="转让取得",C81,C97)</f>
        <v>12449</v>
      </c>
      <c r="E58" s="11" t="s">
        <v>2227</v>
      </c>
      <c r="F58" s="24" t="s">
        <v>34</v>
      </c>
      <c r="G58" s="2489"/>
      <c r="H58" s="2492" t="s">
        <v>2233</v>
      </c>
      <c r="I58" s="2493"/>
      <c r="J58" s="3056"/>
      <c r="K58" s="3056"/>
      <c r="L58" s="2494" t="s">
        <v>2234</v>
      </c>
      <c r="M58" s="1762"/>
      <c r="N58" s="2496" t="str">
        <f ca="1">NUMBERSTRING(INT(N57*10000),2)&amp;"元整"</f>
        <v>壹亿贰仟肆佰陆拾万元整</v>
      </c>
      <c r="O58" s="2497"/>
    </row>
    <row r="59" spans="1:35" ht="24.75" thickBot="1">
      <c r="A59" s="3060" t="s">
        <v>2235</v>
      </c>
      <c r="B59" s="3061"/>
      <c r="C59" s="3061"/>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58">
        <f>J57+1</f>
        <v>5</v>
      </c>
      <c r="K59" s="3056" t="s">
        <v>2237</v>
      </c>
      <c r="L59" s="1813" t="s">
        <v>2231</v>
      </c>
      <c r="M59" s="1763"/>
      <c r="N59" s="1764">
        <f ca="1">M49-N57</f>
        <v>9535</v>
      </c>
      <c r="O59" s="2499"/>
    </row>
    <row r="60" spans="1:35" ht="12" customHeight="1">
      <c r="A60" s="2500"/>
      <c r="B60" s="2422"/>
      <c r="C60" s="2422"/>
      <c r="D60" s="2422"/>
      <c r="E60" s="2169"/>
      <c r="F60" s="2493"/>
      <c r="G60" s="2493"/>
      <c r="H60" s="2501"/>
      <c r="I60" s="138"/>
      <c r="J60" s="3059"/>
      <c r="K60" s="3056"/>
      <c r="L60" s="2494" t="s">
        <v>2234</v>
      </c>
      <c r="M60" s="1762"/>
      <c r="N60" s="2496" t="str">
        <f ca="1">NUMBERSTRING(INT(N59*10000),2)&amp;"元整"</f>
        <v>玖仟伍佰叁拾伍万元整</v>
      </c>
      <c r="O60" s="2497"/>
    </row>
    <row r="61" spans="1:35" ht="13.5" thickBot="1">
      <c r="A61" s="3119" t="s">
        <v>2238</v>
      </c>
      <c r="B61" s="3119"/>
      <c r="C61" s="3119"/>
      <c r="D61" s="3119"/>
      <c r="E61" s="3119"/>
      <c r="F61" s="2493"/>
      <c r="G61" s="2493"/>
      <c r="H61" s="2501"/>
      <c r="I61" s="138"/>
      <c r="J61" s="1813">
        <f>J59+1</f>
        <v>6</v>
      </c>
      <c r="K61" s="3056" t="s">
        <v>2239</v>
      </c>
      <c r="L61" s="3056"/>
      <c r="M61" s="1765"/>
      <c r="N61" s="1766">
        <f ca="1">ROUND(N59*10000/'数据-汇总表'!E3,0)</f>
        <v>20142</v>
      </c>
      <c r="O61" s="2502"/>
    </row>
    <row r="62" spans="1:35" ht="12.75">
      <c r="A62" s="3076" t="s">
        <v>2240</v>
      </c>
      <c r="B62" s="3077"/>
      <c r="C62" s="1805"/>
      <c r="D62" s="1805" t="s">
        <v>2241</v>
      </c>
      <c r="E62" s="192" t="s">
        <v>2242</v>
      </c>
      <c r="F62" s="2493"/>
      <c r="G62" s="2493"/>
      <c r="H62" s="2501"/>
      <c r="I62" s="138"/>
    </row>
    <row r="63" spans="1:35" ht="12.75">
      <c r="A63" s="203" t="s">
        <v>775</v>
      </c>
      <c r="B63" s="193" t="s">
        <v>2243</v>
      </c>
      <c r="C63" s="194">
        <f ca="1">ROUND((C64+C65)/(1+'数据-取费表'!C42),0)</f>
        <v>20948</v>
      </c>
      <c r="D63" s="195"/>
      <c r="E63" s="196"/>
      <c r="F63" s="2493"/>
      <c r="G63" s="2493"/>
      <c r="H63" s="2501"/>
      <c r="I63" s="138"/>
      <c r="J63" s="3041" t="s">
        <v>2244</v>
      </c>
      <c r="K63" s="2503" t="s">
        <v>2245</v>
      </c>
      <c r="L63" s="1753">
        <f ca="1">IF(M49&gt;10000,M49*0.5%,IF(AND(M49&gt;1000,M49&lt;=10000),M49*1%,IF(AND(M49&gt;100,M49&lt;=1000),M49*3%,IF(AND(M49&gt;10,M49&lt;=100),M49*5%,M49*8%))))</f>
        <v>109.97500000000001</v>
      </c>
      <c r="M63" s="24">
        <f ca="1">ROUND(L63,1)</f>
        <v>110</v>
      </c>
      <c r="Z63" s="2427"/>
      <c r="AI63" s="2428"/>
    </row>
    <row r="64" spans="1:35" ht="14.25" customHeight="1">
      <c r="A64" s="197" t="s">
        <v>770</v>
      </c>
      <c r="B64" s="198" t="s">
        <v>2246</v>
      </c>
      <c r="C64" s="199">
        <f ca="1">D45</f>
        <v>21995</v>
      </c>
      <c r="D64" s="200" t="s">
        <v>32</v>
      </c>
      <c r="E64" s="201"/>
      <c r="F64" s="2493"/>
      <c r="G64" s="2493"/>
      <c r="H64" s="2501"/>
      <c r="I64" s="138"/>
      <c r="J64" s="3041"/>
      <c r="K64" s="2503" t="s">
        <v>2247</v>
      </c>
      <c r="L64" s="1753">
        <f ca="1">IF(M49&gt;2000,M49*0.5%,IF(AND(M49&gt;1000,M49&lt;=2000),M49*0.6%,IF(AND(M49&gt;500,M49&lt;=1000),M49*0.7%,IF(AND(M49&gt;200,M49&lt;=500),M49*0.8%,IF(AND(M49&gt;100,M49&lt;=200),M49*0.9%,IF(AND(M49&gt;50,M49&lt;=100),M49*1%,IF(AND(M49&gt;20,M49&lt;=50),M49*1.5%,IF(AND(M49&gt;10,M49&lt;=20),M49*2%,IF(AND(M49&gt;1,M49&lt;=10),M49*2.5%)))))))))</f>
        <v>109.97500000000001</v>
      </c>
      <c r="M64" s="24">
        <f t="shared" ref="M64:M65" ca="1" si="1">ROUND(L64,1)</f>
        <v>110</v>
      </c>
      <c r="N64" s="138" t="s">
        <v>2248</v>
      </c>
      <c r="Z64" s="2427"/>
      <c r="AI64" s="2428"/>
    </row>
    <row r="65" spans="1:35" ht="14.25" customHeight="1">
      <c r="A65" s="197" t="s">
        <v>771</v>
      </c>
      <c r="B65" s="198" t="s">
        <v>2249</v>
      </c>
      <c r="C65" s="202"/>
      <c r="D65" s="200"/>
      <c r="E65" s="201"/>
      <c r="F65" s="2493"/>
      <c r="G65" s="2493"/>
      <c r="H65" s="2501"/>
      <c r="I65" s="138"/>
      <c r="J65" s="3041"/>
      <c r="K65" s="2503" t="s">
        <v>2250</v>
      </c>
      <c r="L65" s="1753">
        <f ca="1">IF(M49&gt;1000,M49*0.1%,IF(AND(M49&gt;500,M49&lt;=1000),M49*0.5%,IF(AND(M49&gt;50,M49&lt;=500),M49*1%,IF(AND(M49&gt;1,M49&lt;=50),M49*1.5%))))</f>
        <v>21.995000000000001</v>
      </c>
      <c r="M65" s="24">
        <f t="shared" ca="1" si="1"/>
        <v>22</v>
      </c>
      <c r="N65" s="138" t="s">
        <v>2248</v>
      </c>
      <c r="Z65" s="2427"/>
      <c r="AI65" s="2428"/>
    </row>
    <row r="66" spans="1:35" ht="14.25" customHeight="1">
      <c r="A66" s="203" t="s">
        <v>772</v>
      </c>
      <c r="B66" s="204" t="s">
        <v>2251</v>
      </c>
      <c r="C66" s="205"/>
      <c r="D66" s="206" t="s">
        <v>32</v>
      </c>
      <c r="E66" s="1777" t="s">
        <v>1372</v>
      </c>
      <c r="F66" s="2493"/>
      <c r="G66" s="2493"/>
      <c r="H66" s="2501"/>
      <c r="I66" s="138"/>
      <c r="J66" s="3041"/>
      <c r="K66" s="2503" t="s">
        <v>2252</v>
      </c>
      <c r="L66" s="1753">
        <f ca="1">M49*0.5%</f>
        <v>109.97500000000001</v>
      </c>
      <c r="M66" s="24">
        <f ca="1">IF(L66&gt;0.5,0.5,ROUND(L66,0))</f>
        <v>0.5</v>
      </c>
      <c r="N66" s="138" t="s">
        <v>2253</v>
      </c>
      <c r="Z66" s="2427"/>
      <c r="AI66" s="2428"/>
    </row>
    <row r="67" spans="1:35" ht="14.25" customHeight="1">
      <c r="A67" s="203" t="s">
        <v>773</v>
      </c>
      <c r="B67" s="204" t="s">
        <v>2254</v>
      </c>
      <c r="C67" s="207">
        <f ca="1">C63-C66</f>
        <v>20948</v>
      </c>
      <c r="D67" s="200" t="s">
        <v>32</v>
      </c>
      <c r="E67" s="201"/>
      <c r="F67" s="2493"/>
      <c r="G67" s="2493"/>
      <c r="H67" s="2501"/>
      <c r="I67" s="138"/>
      <c r="J67" s="3041"/>
      <c r="K67" s="2503" t="s">
        <v>2255</v>
      </c>
      <c r="L67" s="1753">
        <f ca="1">IF(M49&gt;=10000,(8.25+(M49-10000)*0.01%),IF(AND(M49&gt;=8000,M49&lt;10000),(7.85+(M49-8000)*0.02%),IF(AND(M49&gt;=5000,M49&lt;8000),(6.65+(M49-5000)*0.04%),IF(AND(M49&gt;=2000,M49&lt;5000),(4.25+(PM49-2000)*0.08%),IF(AND(M49&gt;=1000,M49&lt;2000),(2.75+(M49-1000)*0.15%),IF(AND(M49&gt;=100,M49&lt;1000),(0.5+(M49-100)*0.25%),IF(AND(M49&gt;0,M49&lt;100),M49*0.5%)))))))</f>
        <v>9.4495000000000005</v>
      </c>
      <c r="M67" s="24">
        <f ca="1">ROUND(L67*0.9,1)</f>
        <v>8.5</v>
      </c>
      <c r="Z67" s="2427"/>
      <c r="AI67" s="2428"/>
    </row>
    <row r="68" spans="1:35" ht="14.25" customHeight="1" thickBot="1">
      <c r="A68" s="208" t="s">
        <v>774</v>
      </c>
      <c r="B68" s="209" t="s">
        <v>2256</v>
      </c>
      <c r="C68" s="210">
        <f ca="1">IF(C67&lt;=0,0,ROUND(C67*D68,0))</f>
        <v>1173</v>
      </c>
      <c r="D68" s="211">
        <f>'数据-取费表'!B41</f>
        <v>5.6000000000000001E-2</v>
      </c>
      <c r="E68" s="212"/>
      <c r="F68" s="2493"/>
      <c r="G68" s="2493"/>
      <c r="H68" s="2501"/>
      <c r="I68" s="138"/>
      <c r="J68" s="3041"/>
      <c r="K68" s="2503" t="s">
        <v>2257</v>
      </c>
      <c r="L68" s="1753">
        <f ca="1">IF(M49&gt;10000,M49*0.5%,IF(AND(M49&gt;5000,M49&lt;=10000),M49*1%,IF(AND(M49&gt;1000,M49&lt;=5000),M49*2%,IF(AND(M49&gt;200,M49&lt;=1000),M49*3%,M49*5%))))</f>
        <v>109.97500000000001</v>
      </c>
      <c r="M68" s="24">
        <f ca="1">ROUND(L68,1)</f>
        <v>110</v>
      </c>
      <c r="Z68" s="2427"/>
      <c r="AI68" s="2428"/>
    </row>
    <row r="69" spans="1:35" s="2450" customFormat="1" ht="16.5" customHeight="1">
      <c r="A69" s="2504"/>
      <c r="B69" s="2505"/>
      <c r="C69" s="2506"/>
      <c r="D69" s="2507"/>
      <c r="E69" s="2508"/>
      <c r="F69" s="2169"/>
      <c r="G69" s="2169"/>
      <c r="H69" s="2168"/>
      <c r="I69" s="2422"/>
      <c r="J69" s="3041"/>
      <c r="K69" s="2503" t="s">
        <v>2258</v>
      </c>
      <c r="L69" s="2509"/>
      <c r="M69" s="24">
        <f ca="1">ROUND(SUM(M63:M68),0)</f>
        <v>361</v>
      </c>
      <c r="N69" s="1754">
        <f ca="1">M69/M49</f>
        <v>1.6412821095703568E-2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85" t="s">
        <v>2259</v>
      </c>
      <c r="B70" s="3086"/>
      <c r="C70" s="3086"/>
      <c r="D70" s="3086"/>
      <c r="E70" s="3086"/>
      <c r="F70" s="3086"/>
      <c r="G70" s="3086"/>
      <c r="H70" s="308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6" t="s">
        <v>2240</v>
      </c>
      <c r="B71" s="3077"/>
      <c r="C71" s="1805"/>
      <c r="D71" s="1805"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20948</v>
      </c>
      <c r="D72" s="200" t="s">
        <v>32</v>
      </c>
      <c r="E72" s="1804"/>
      <c r="F72" s="1798"/>
      <c r="G72" s="179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126</v>
      </c>
      <c r="D73" s="200" t="s">
        <v>32</v>
      </c>
      <c r="E73" s="1804"/>
      <c r="F73" s="1798"/>
      <c r="G73" s="179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4"/>
      <c r="F74" s="1798"/>
      <c r="G74" s="179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82" t="s">
        <v>2268</v>
      </c>
      <c r="F76" s="3081"/>
      <c r="G76" s="3081"/>
      <c r="H76" s="308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7" t="s">
        <v>2271</v>
      </c>
      <c r="H77" s="1809"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126</v>
      </c>
      <c r="D78" s="226">
        <f>'数据-取费表'!B43</f>
        <v>6.000000000000001E-3</v>
      </c>
      <c r="E78" s="3073" t="s">
        <v>2273</v>
      </c>
      <c r="F78" s="3074"/>
      <c r="G78" s="3074"/>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20822</v>
      </c>
      <c r="D79" s="200" t="s">
        <v>32</v>
      </c>
      <c r="E79" s="1804"/>
      <c r="F79" s="1798"/>
      <c r="G79" s="179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165.25396825396825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12449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85" t="s">
        <v>2277</v>
      </c>
      <c r="B83" s="3086"/>
      <c r="C83" s="3086"/>
      <c r="D83" s="3086"/>
      <c r="E83" s="3086"/>
      <c r="F83" s="3086"/>
      <c r="G83" s="3086"/>
      <c r="H83" s="308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6" t="s">
        <v>2240</v>
      </c>
      <c r="B84" s="3077"/>
      <c r="C84" s="1805"/>
      <c r="D84" s="1805"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20948</v>
      </c>
      <c r="D85" s="200" t="s">
        <v>32</v>
      </c>
      <c r="E85" s="1804"/>
      <c r="F85" s="1798"/>
      <c r="G85" s="179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126</v>
      </c>
      <c r="D86" s="235"/>
      <c r="E86" s="1804"/>
      <c r="F86" s="1798"/>
      <c r="G86" s="179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800"/>
      <c r="F87" s="1801"/>
      <c r="G87" s="1801"/>
      <c r="H87" s="180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1"/>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3.0499999999999999E-2</v>
      </c>
      <c r="E89" s="237" t="s">
        <v>2282</v>
      </c>
      <c r="F89" s="1801"/>
      <c r="G89" s="1801"/>
      <c r="H89" s="180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1"/>
      <c r="G90" s="1801"/>
      <c r="H90" s="180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73" t="s">
        <v>2286</v>
      </c>
      <c r="F91" s="3074"/>
      <c r="G91" s="3074"/>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73" t="s">
        <v>2290</v>
      </c>
      <c r="F92" s="3074"/>
      <c r="G92" s="3074"/>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126</v>
      </c>
      <c r="D93" s="226">
        <f>'数据-取费表'!B43</f>
        <v>6.000000000000001E-3</v>
      </c>
      <c r="E93" s="3073" t="s">
        <v>2273</v>
      </c>
      <c r="F93" s="3074"/>
      <c r="G93" s="3074"/>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21" t="s">
        <v>2294</v>
      </c>
      <c r="F94" s="3122"/>
      <c r="G94" s="3122"/>
      <c r="H94" s="312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20822</v>
      </c>
      <c r="D95" s="200" t="s">
        <v>32</v>
      </c>
      <c r="E95" s="1804"/>
      <c r="F95" s="1798"/>
      <c r="G95" s="179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165.25396825396825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12449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24" t="s">
        <v>2296</v>
      </c>
      <c r="B100" s="3025"/>
      <c r="C100" s="3025"/>
      <c r="D100" s="3057"/>
      <c r="E100" s="3025" t="s">
        <v>2297</v>
      </c>
      <c r="F100" s="3025"/>
      <c r="G100" s="3025"/>
      <c r="H100" s="3057"/>
      <c r="I100" s="138"/>
    </row>
    <row r="101" spans="1:35" ht="18.75" customHeight="1">
      <c r="A101" s="3065" t="s">
        <v>2298</v>
      </c>
      <c r="B101" s="3066"/>
      <c r="C101" s="736" t="str">
        <f>C4</f>
        <v>成本法</v>
      </c>
      <c r="D101" s="737" t="str">
        <f>D4</f>
        <v>收益法</v>
      </c>
      <c r="E101" s="3037" t="s">
        <v>2299</v>
      </c>
      <c r="F101" s="3038"/>
      <c r="G101" s="2524" t="s">
        <v>2300</v>
      </c>
      <c r="H101" s="1048">
        <f ca="1">H118</f>
        <v>21995</v>
      </c>
      <c r="I101" s="138"/>
    </row>
    <row r="102" spans="1:35" ht="18.75" customHeight="1">
      <c r="A102" s="3067" t="s">
        <v>2301</v>
      </c>
      <c r="B102" s="2524" t="s">
        <v>2300</v>
      </c>
      <c r="C102" s="736">
        <f ca="1">C19</f>
        <v>21851</v>
      </c>
      <c r="D102" s="737">
        <f ca="1">D19</f>
        <v>22139</v>
      </c>
      <c r="E102" s="3037"/>
      <c r="F102" s="3038"/>
      <c r="G102" s="2524" t="s">
        <v>2302</v>
      </c>
      <c r="H102" s="371">
        <f ca="1">I118</f>
        <v>46462</v>
      </c>
      <c r="I102" s="138"/>
    </row>
    <row r="103" spans="1:35" ht="42.75" customHeight="1">
      <c r="A103" s="3067"/>
      <c r="B103" s="2524" t="s">
        <v>2302</v>
      </c>
      <c r="C103" s="738">
        <f ca="1">C20</f>
        <v>46158</v>
      </c>
      <c r="D103" s="739">
        <f ca="1">D20</f>
        <v>47724</v>
      </c>
      <c r="E103" s="3031" t="s">
        <v>2303</v>
      </c>
      <c r="F103" s="3032"/>
      <c r="G103" s="2525" t="s">
        <v>2304</v>
      </c>
      <c r="H103" s="1048">
        <f>IF(D36="正常操作",H104+H105+H106,H105+H106)</f>
        <v>0</v>
      </c>
      <c r="I103" s="138"/>
    </row>
    <row r="104" spans="1:35" ht="18.75" customHeight="1">
      <c r="A104" s="3067" t="s">
        <v>2305</v>
      </c>
      <c r="B104" s="2526" t="s">
        <v>2300</v>
      </c>
      <c r="C104" s="740">
        <f ca="1">H118</f>
        <v>21995</v>
      </c>
      <c r="D104" s="741"/>
      <c r="E104" s="2270" t="s">
        <v>2306</v>
      </c>
      <c r="F104" s="2261"/>
      <c r="G104" s="2525" t="s">
        <v>2304</v>
      </c>
      <c r="H104" s="1049">
        <f>IF(D36="同一抵押权人同一抵押物续贷",C36&amp;"（未扣减，详见特别提示）",C36)</f>
        <v>0</v>
      </c>
      <c r="I104" s="138"/>
    </row>
    <row r="105" spans="1:35" ht="18.75" customHeight="1" thickBot="1">
      <c r="A105" s="3079"/>
      <c r="B105" s="2527" t="s">
        <v>2302</v>
      </c>
      <c r="C105" s="742">
        <f ca="1">I118</f>
        <v>46462</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68" t="str">
        <f>IF(项目基本情况!E8="已注销","——","3.房地产抵押价值")</f>
        <v>3.房地产抵押价值</v>
      </c>
      <c r="F107" s="3038"/>
      <c r="G107" s="2524" t="s">
        <v>2300</v>
      </c>
      <c r="H107" s="1048">
        <f ca="1">IF(E107="——","——",H101-H103)</f>
        <v>21995</v>
      </c>
      <c r="I107" s="138"/>
    </row>
    <row r="108" spans="1:35" ht="18.75" customHeight="1">
      <c r="A108" s="138"/>
      <c r="B108" s="138"/>
      <c r="C108" s="138"/>
      <c r="D108" s="138"/>
      <c r="E108" s="3068"/>
      <c r="F108" s="3038"/>
      <c r="G108" s="2524" t="s">
        <v>2302</v>
      </c>
      <c r="H108" s="371">
        <f ca="1">ROUND(H107*10000/'数据-汇总表'!E3,0)</f>
        <v>46462</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38"/>
      <c r="G109" s="2524" t="s">
        <v>2300</v>
      </c>
      <c r="H109" s="348" t="str">
        <f>IF(E109="——","——",H101-H105-H106)</f>
        <v>——</v>
      </c>
      <c r="I109" s="138"/>
    </row>
    <row r="110" spans="1:35" ht="18.75" customHeight="1">
      <c r="A110" s="138"/>
      <c r="B110" s="138"/>
      <c r="C110" s="138"/>
      <c r="D110" s="138"/>
      <c r="E110" s="3068"/>
      <c r="F110" s="3038"/>
      <c r="G110" s="2524" t="s">
        <v>2302</v>
      </c>
      <c r="H110" s="371" t="str">
        <f>IF(H109="——","——",ROUND(H109*10000/'数据-汇总表'!E3,0))</f>
        <v>——</v>
      </c>
      <c r="I110" s="138"/>
    </row>
    <row r="111" spans="1:35" ht="18.75" customHeight="1">
      <c r="A111" s="138"/>
      <c r="B111" s="138"/>
      <c r="C111" s="138"/>
      <c r="D111" s="138"/>
      <c r="E111" s="3069" t="str">
        <f>IF(项目基本情况!E9="抵押净值",IF(OR(项目基本情况!E8="已注销",项目基本情况!E8="房地产抵押价值"),"4.抵押净值","5.抵押净值"),"——")</f>
        <v>——</v>
      </c>
      <c r="F111" s="3070"/>
      <c r="G111" s="2524" t="s">
        <v>2300</v>
      </c>
      <c r="H111" s="1048" t="str">
        <f>IF(E111="——","——",N59)</f>
        <v>——</v>
      </c>
      <c r="I111" s="138"/>
    </row>
    <row r="112" spans="1:35" ht="18.75" customHeight="1" thickBot="1">
      <c r="A112" s="138"/>
      <c r="B112" s="138"/>
      <c r="C112" s="138"/>
      <c r="D112" s="138"/>
      <c r="E112" s="3071"/>
      <c r="F112" s="3072"/>
      <c r="G112" s="2529" t="s">
        <v>2302</v>
      </c>
      <c r="H112" s="790" t="str">
        <f>IF(E111="——","——",N61)</f>
        <v>——</v>
      </c>
      <c r="I112" s="138"/>
    </row>
    <row r="113" spans="1:11" ht="18.75" customHeight="1">
      <c r="A113" s="138"/>
      <c r="B113" s="138"/>
      <c r="C113" s="138"/>
      <c r="D113" s="138"/>
      <c r="E113" s="3080" t="s">
        <v>2308</v>
      </c>
      <c r="F113" s="3080"/>
      <c r="G113" s="3080"/>
      <c r="H113" s="3080"/>
      <c r="I113" s="138"/>
    </row>
    <row r="114" spans="1:11" ht="3.75" customHeight="1">
      <c r="A114" s="2422"/>
      <c r="B114" s="2422"/>
      <c r="C114" s="2422"/>
      <c r="D114" s="2422"/>
      <c r="E114" s="2500"/>
      <c r="F114" s="2500"/>
      <c r="G114" s="2500"/>
      <c r="H114" s="2500"/>
      <c r="I114" s="2422"/>
    </row>
    <row r="115" spans="1:11" ht="18.75" customHeight="1">
      <c r="A115" s="3093" t="s">
        <v>2310</v>
      </c>
      <c r="B115" s="3094"/>
      <c r="C115" s="3094"/>
      <c r="D115" s="3094"/>
      <c r="E115" s="3094"/>
      <c r="F115" s="3094"/>
      <c r="G115" s="3094"/>
      <c r="H115" s="3094"/>
      <c r="I115" s="3095"/>
    </row>
    <row r="116" spans="1:11" ht="27" customHeight="1">
      <c r="A116" s="3003" t="s">
        <v>2311</v>
      </c>
      <c r="B116" s="3047" t="s">
        <v>2312</v>
      </c>
      <c r="C116" s="3047" t="s">
        <v>2313</v>
      </c>
      <c r="D116" s="3053" t="s">
        <v>2314</v>
      </c>
      <c r="E116" s="3054"/>
      <c r="F116" s="3089" t="s">
        <v>2315</v>
      </c>
      <c r="G116" s="3089"/>
      <c r="H116" s="3003" t="s">
        <v>2316</v>
      </c>
      <c r="I116" s="3003"/>
    </row>
    <row r="117" spans="1:11" ht="18.75" customHeight="1">
      <c r="A117" s="3003"/>
      <c r="B117" s="3048"/>
      <c r="C117" s="3048"/>
      <c r="D117" s="1799" t="s">
        <v>2317</v>
      </c>
      <c r="E117" s="1799" t="s">
        <v>2318</v>
      </c>
      <c r="F117" s="1799" t="s">
        <v>2317</v>
      </c>
      <c r="G117" s="1799" t="s">
        <v>2319</v>
      </c>
      <c r="H117" s="1799" t="s">
        <v>2317</v>
      </c>
      <c r="I117" s="1799" t="s">
        <v>2319</v>
      </c>
    </row>
    <row r="118" spans="1:11" ht="24.75" customHeight="1">
      <c r="A118" s="2530" t="str">
        <f>项目基本情况!S2</f>
        <v>北京市东城区菊儿胡同33号13幢等4幢房地产</v>
      </c>
      <c r="B118" s="1799">
        <f>M18</f>
        <v>4734</v>
      </c>
      <c r="C118" s="1799">
        <f>M19</f>
        <v>1597.9</v>
      </c>
      <c r="D118" s="1799">
        <f ca="1">ROUND(IF(D32="总价",C34,E118*B118/10000),0)</f>
        <v>20807</v>
      </c>
      <c r="E118" s="1799">
        <f ca="1">ROUND(IF(C33="自定义",IF(D32="楼面单价",C34,D118*10000/B118),I118-G118),0)</f>
        <v>43952</v>
      </c>
      <c r="F118" s="1799">
        <f ca="1">ROUND(IF(D32="总价",C35,G118*B118/10000),0)</f>
        <v>1188</v>
      </c>
      <c r="G118" s="1799">
        <f ca="1">ROUND(IF(D32="楼面单价",C35,F118*10000/B118),0)</f>
        <v>2510</v>
      </c>
      <c r="H118" s="1799">
        <f ca="1">ROUND(IF(D32="总价",C32,I118*B118/10000),0)</f>
        <v>21995</v>
      </c>
      <c r="I118" s="1799">
        <f ca="1">ROUND(IF(D32="楼面单价",C32,H118*10000/B118),0)</f>
        <v>46462</v>
      </c>
    </row>
    <row r="119" spans="1:11" ht="18.75" customHeight="1">
      <c r="A119" s="3003" t="s">
        <v>2320</v>
      </c>
      <c r="B119" s="3003"/>
      <c r="C119" s="3003"/>
      <c r="D119" s="3049" t="str">
        <f ca="1">NUMBERSTRING(INT(D118*10000),2)&amp;"元整"</f>
        <v>贰亿零捌佰零柒万元整</v>
      </c>
      <c r="E119" s="3050"/>
      <c r="F119" s="3049" t="str">
        <f ca="1">NUMBERSTRING(INT(F118*10000),2)&amp;"元整"</f>
        <v>壹仟壹佰捌拾捌万元整</v>
      </c>
      <c r="G119" s="3050"/>
      <c r="H119" s="3049" t="str">
        <f ca="1">NUMBERSTRING(INT(H118*10000),2)&amp;"元整"</f>
        <v>贰亿壹仟玖佰玖拾伍万元整</v>
      </c>
      <c r="I119" s="3050"/>
    </row>
    <row r="120" spans="1:11" ht="18.75" customHeight="1">
      <c r="A120" s="3044" t="str">
        <f>IF(项目基本情况!B9="房地产市场价值","",MID(E103,3,LEN(E103)-2))</f>
        <v>估价师知悉的法定优先受偿款</v>
      </c>
      <c r="B120" s="3045"/>
      <c r="C120" s="3046"/>
      <c r="D120" s="3044">
        <f>H103</f>
        <v>0</v>
      </c>
      <c r="E120" s="3045"/>
      <c r="F120" s="3045"/>
      <c r="G120" s="3045"/>
      <c r="H120" s="3045"/>
      <c r="I120" s="3046"/>
      <c r="K120" s="2427" t="str">
        <f>IF(D120=0,"故，本次评估不存在"&amp;A120,"故，本次评估"&amp;A120&amp;"为人民币"&amp;D120&amp;"万元整。")</f>
        <v>故，本次评估不存在估价师知悉的法定优先受偿款</v>
      </c>
    </row>
    <row r="121" spans="1:11" ht="18.75" customHeight="1">
      <c r="A121" s="3090" t="s">
        <v>2320</v>
      </c>
      <c r="B121" s="3091"/>
      <c r="C121" s="3092"/>
      <c r="D121" s="3049" t="str">
        <f>IF(D120=0,"零元整",NUMBERSTRING(INT(D120*10000),2)&amp;"元整")</f>
        <v>零元整</v>
      </c>
      <c r="E121" s="3051"/>
      <c r="F121" s="3051"/>
      <c r="G121" s="3051"/>
      <c r="H121" s="3051"/>
      <c r="I121" s="3050"/>
    </row>
    <row r="122" spans="1:11" ht="18.75" customHeight="1">
      <c r="A122" s="3055" t="str">
        <f>IF(项目基本情况!B9="房地产市场价值","",MID(E107,3,LEN(E107)-2))</f>
        <v>房地产抵押价值</v>
      </c>
      <c r="B122" s="3055"/>
      <c r="C122" s="3055"/>
      <c r="D122" s="3044">
        <f ca="1">H107</f>
        <v>21995</v>
      </c>
      <c r="E122" s="3045"/>
      <c r="F122" s="3045"/>
      <c r="G122" s="3045"/>
      <c r="H122" s="3045"/>
      <c r="I122" s="3046"/>
    </row>
    <row r="123" spans="1:11" ht="18.75" customHeight="1">
      <c r="A123" s="3003" t="s">
        <v>2320</v>
      </c>
      <c r="B123" s="3003"/>
      <c r="C123" s="3003"/>
      <c r="D123" s="3049" t="str">
        <f ca="1">NUMBERSTRING(INT(D122*10000),2)&amp;"元整"</f>
        <v>贰亿壹仟玖佰玖拾伍万元整</v>
      </c>
      <c r="E123" s="3051"/>
      <c r="F123" s="3051"/>
      <c r="G123" s="3051"/>
      <c r="H123" s="3051"/>
      <c r="I123" s="3050"/>
    </row>
    <row r="124" spans="1:11" ht="18.75" customHeight="1">
      <c r="A124" s="3055" t="str">
        <f>IF(项目基本情况!B9="房地产市场价值","",MID(E109,3,LEN(E109)-2))</f>
        <v/>
      </c>
      <c r="B124" s="3055"/>
      <c r="C124" s="3055"/>
      <c r="D124" s="3044" t="str">
        <f>H109</f>
        <v>——</v>
      </c>
      <c r="E124" s="3045"/>
      <c r="F124" s="3045"/>
      <c r="G124" s="3045"/>
      <c r="H124" s="3045"/>
      <c r="I124" s="3046"/>
    </row>
    <row r="125" spans="1:11" ht="18.75" customHeight="1">
      <c r="A125" s="3003" t="s">
        <v>2320</v>
      </c>
      <c r="B125" s="3003"/>
      <c r="C125" s="3003"/>
      <c r="D125" s="3049" t="e">
        <f>NUMBERSTRING(INT(D124*10000),2)&amp;"元整"</f>
        <v>#VALUE!</v>
      </c>
      <c r="E125" s="3051"/>
      <c r="F125" s="3051"/>
      <c r="G125" s="3051"/>
      <c r="H125" s="3051"/>
      <c r="I125" s="3050"/>
    </row>
    <row r="126" spans="1:11" ht="18.75" customHeight="1">
      <c r="A126" s="3055" t="str">
        <f>IF(项目基本情况!B9="房地产市场价值","",MID(E111,3,LEN(E111)-2))</f>
        <v/>
      </c>
      <c r="B126" s="3055"/>
      <c r="C126" s="3055"/>
      <c r="D126" s="3044" t="str">
        <f>H111</f>
        <v>——</v>
      </c>
      <c r="E126" s="3045"/>
      <c r="F126" s="3045"/>
      <c r="G126" s="3045"/>
      <c r="H126" s="3045"/>
      <c r="I126" s="3046"/>
    </row>
    <row r="127" spans="1:11" ht="18.75" customHeight="1">
      <c r="A127" s="3003" t="s">
        <v>2320</v>
      </c>
      <c r="B127" s="3003"/>
      <c r="C127" s="3003"/>
      <c r="D127" s="3049" t="e">
        <f>NUMBERSTRING(INT(D126*10000),2)&amp;"元整"</f>
        <v>#VALUE!</v>
      </c>
      <c r="E127" s="3051"/>
      <c r="F127" s="3051"/>
      <c r="G127" s="3051"/>
      <c r="H127" s="3051"/>
      <c r="I127" s="3050"/>
    </row>
    <row r="128" spans="1:11" ht="21.75" customHeight="1">
      <c r="A128" s="3052" t="s">
        <v>2321</v>
      </c>
      <c r="B128" s="3052"/>
      <c r="C128" s="3052"/>
      <c r="D128" s="3052"/>
      <c r="E128" s="3052"/>
      <c r="F128" s="3052"/>
      <c r="G128" s="3052"/>
      <c r="H128" s="3052"/>
      <c r="I128" s="3052"/>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7" t="str">
        <f>项目基本情况!B1</f>
        <v>北京市东城区菊儿胡同33号13幢等4幢房地产抵押价值预评估</v>
      </c>
      <c r="C37" s="2937"/>
      <c r="D37" s="2937"/>
      <c r="E37" s="2937"/>
      <c r="F37" s="2937"/>
      <c r="G37" s="2937"/>
      <c r="H37" s="2937"/>
      <c r="I37" s="2937"/>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21851</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46158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15204</v>
      </c>
      <c r="D5" s="255" t="s">
        <v>2337</v>
      </c>
      <c r="E5" s="256" t="s">
        <v>2338</v>
      </c>
      <c r="F5" s="256" t="s">
        <v>2339</v>
      </c>
      <c r="G5" s="257"/>
    </row>
    <row r="6" spans="1:9" s="258" customFormat="1" ht="13.5" customHeight="1">
      <c r="A6" s="952" t="s">
        <v>2340</v>
      </c>
      <c r="B6" s="259" t="s">
        <v>2341</v>
      </c>
      <c r="C6" s="260">
        <f ca="1">基准地价修正!B2</f>
        <v>14662</v>
      </c>
      <c r="D6" s="261"/>
      <c r="E6" s="262"/>
      <c r="F6" s="262"/>
      <c r="G6" s="263"/>
    </row>
    <row r="7" spans="1:9" s="258" customFormat="1" ht="13.5" customHeight="1">
      <c r="A7" s="952" t="s">
        <v>2342</v>
      </c>
      <c r="B7" s="259" t="s">
        <v>2343</v>
      </c>
      <c r="C7" s="264">
        <f ca="1">ROUND(C6*F7,0)</f>
        <v>447</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95</v>
      </c>
      <c r="D8" s="266"/>
      <c r="E8" s="264"/>
      <c r="F8" s="265"/>
      <c r="G8" s="2556" t="s">
        <v>3076</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3077</v>
      </c>
      <c r="H9" s="1393"/>
      <c r="I9" s="2558" t="s">
        <v>2347</v>
      </c>
    </row>
    <row r="10" spans="1:9" s="258" customFormat="1" ht="13.5" customHeight="1">
      <c r="A10" s="953" t="s">
        <v>801</v>
      </c>
      <c r="B10" s="268" t="s">
        <v>2348</v>
      </c>
      <c r="C10" s="269">
        <f ca="1">ROUND(D10*E10/10000,0)</f>
        <v>95</v>
      </c>
      <c r="D10" s="1035">
        <f ca="1">IF(B1="",'数据-汇总表'!E6,IF(INDIRECT("'数据-取费表'!c"&amp;$G$1)="住宅",INDIRECT("'数据-取费表'!s"&amp;$G$1),INDIRECT("'数据-取费表'!k"&amp;$G$1)+INDIRECT("'数据-取费表'!s"&amp;$G$1)))</f>
        <v>4734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4734</v>
      </c>
      <c r="E19" s="255">
        <f>'数据-取费表'!B31</f>
        <v>200</v>
      </c>
      <c r="F19" s="275"/>
      <c r="G19" s="2556" t="s">
        <v>3078</v>
      </c>
    </row>
    <row r="20" spans="1:7" s="258" customFormat="1" ht="13.5" customHeight="1">
      <c r="A20" s="299" t="s">
        <v>2361</v>
      </c>
      <c r="B20" s="254" t="s">
        <v>2362</v>
      </c>
      <c r="C20" s="276">
        <f ca="1">ROUND((C5+C19)*F20,0)</f>
        <v>228</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666</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661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5</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3086</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3086</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20664</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1481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1326</v>
      </c>
      <c r="D34" s="261"/>
      <c r="E34" s="264"/>
      <c r="F34" s="301">
        <f ca="1">IF('数据-取费表'!B24=0,1,IF(B1="",'数据-取费表'!N16,INDIRECT("'数据-取费表'!n"&amp;$G$1)))</f>
        <v>1</v>
      </c>
      <c r="G34" s="263" t="s">
        <v>2394</v>
      </c>
    </row>
    <row r="35" spans="1:7" ht="13.5" customHeight="1">
      <c r="A35" s="954" t="s">
        <v>796</v>
      </c>
      <c r="B35" s="259" t="s">
        <v>2395</v>
      </c>
      <c r="C35" s="264">
        <f ca="1">ROUND(C34*F35,0)</f>
        <v>40</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95</v>
      </c>
      <c r="D37" s="261">
        <f ca="1">D19</f>
        <v>4734</v>
      </c>
      <c r="E37" s="293">
        <f>'数据-取费表'!B35</f>
        <v>200</v>
      </c>
      <c r="F37" s="303"/>
      <c r="G37" s="305" t="s">
        <v>2400</v>
      </c>
    </row>
    <row r="38" spans="1:7" ht="13.5" customHeight="1">
      <c r="A38" s="954" t="s">
        <v>799</v>
      </c>
      <c r="B38" s="259" t="s">
        <v>2401</v>
      </c>
      <c r="C38" s="264">
        <f ca="1">ROUND(C34*F38,0)</f>
        <v>20</v>
      </c>
      <c r="D38" s="264"/>
      <c r="E38" s="264"/>
      <c r="F38" s="303">
        <f>'数据-取费表'!B36</f>
        <v>1.4999999999999999E-2</v>
      </c>
      <c r="G38" s="263" t="s">
        <v>2396</v>
      </c>
    </row>
    <row r="39" spans="1:7" s="258" customFormat="1" ht="13.5" customHeight="1">
      <c r="A39" s="299" t="s">
        <v>2402</v>
      </c>
      <c r="B39" s="254" t="s">
        <v>2403</v>
      </c>
      <c r="C39" s="276">
        <f ca="1">ROUND(C33*F20,0)</f>
        <v>22</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32</v>
      </c>
      <c r="D42" s="282"/>
      <c r="E42" s="282"/>
      <c r="F42" s="283"/>
      <c r="G42" s="3124" t="s">
        <v>2412</v>
      </c>
    </row>
    <row r="43" spans="1:7" ht="13.5" customHeight="1">
      <c r="A43" s="954" t="s">
        <v>792</v>
      </c>
      <c r="B43" s="259" t="s">
        <v>2413</v>
      </c>
      <c r="C43" s="282">
        <f ca="1">ROUND(IF('数据-取费表'!B22&lt;=1,C39*F22*'数据-取费表'!B21/2,C39*(POWER((1+F22),'数据-取费表'!B21/2)-1)),0)</f>
        <v>0</v>
      </c>
      <c r="D43" s="282"/>
      <c r="E43" s="282"/>
      <c r="F43" s="283"/>
      <c r="G43" s="3125"/>
    </row>
    <row r="44" spans="1:7" ht="13.5" customHeight="1">
      <c r="A44" s="954" t="s">
        <v>793</v>
      </c>
      <c r="B44" s="259" t="s">
        <v>2414</v>
      </c>
      <c r="C44" s="282">
        <f ca="1">ROUND(IF('数据-取费表'!B22&lt;=1,C40*F22*'数据-取费表'!B21/2,C40*(POWER((1+F22),'数据-取费表'!B21/2)-1)),4)</f>
        <v>2.9999999999999997E-4</v>
      </c>
      <c r="D44" s="282"/>
      <c r="E44" s="282"/>
      <c r="F44" s="283"/>
      <c r="G44" s="3126"/>
    </row>
    <row r="45" spans="1:7" s="258" customFormat="1" ht="13.5" customHeight="1">
      <c r="A45" s="299" t="s">
        <v>2415</v>
      </c>
      <c r="B45" s="288" t="s">
        <v>2381</v>
      </c>
      <c r="C45" s="289">
        <f ca="1">C46</f>
        <v>301</v>
      </c>
      <c r="D45" s="279">
        <f ca="1">C47</f>
        <v>3.0000000000000001E-3</v>
      </c>
      <c r="E45" s="280" t="s">
        <v>2407</v>
      </c>
      <c r="F45" s="290"/>
      <c r="G45" s="291" t="s">
        <v>2416</v>
      </c>
    </row>
    <row r="46" spans="1:7" s="258" customFormat="1" ht="13.5" customHeight="1">
      <c r="A46" s="954" t="s">
        <v>791</v>
      </c>
      <c r="B46" s="292" t="s">
        <v>2417</v>
      </c>
      <c r="C46" s="293">
        <f ca="1">ROUND((C33+C39)*F27,0)</f>
        <v>301</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1978</v>
      </c>
      <c r="D49" s="276"/>
      <c r="E49" s="276"/>
      <c r="F49" s="308"/>
      <c r="G49" s="278" t="s">
        <v>2422</v>
      </c>
    </row>
    <row r="50" spans="1:7" s="302" customFormat="1" ht="24">
      <c r="A50" s="299" t="s">
        <v>2423</v>
      </c>
      <c r="B50" s="254" t="s">
        <v>2424</v>
      </c>
      <c r="C50" s="276"/>
      <c r="D50" s="276"/>
      <c r="E50" s="276"/>
      <c r="F50" s="308">
        <f>IF('数据-取费表'!B24=0,'数据-取费表'!N16,1)</f>
        <v>0.6</v>
      </c>
      <c r="G50" s="291" t="s">
        <v>2425</v>
      </c>
    </row>
    <row r="51" spans="1:7" ht="16.5" customHeight="1">
      <c r="A51" s="299" t="s">
        <v>2426</v>
      </c>
      <c r="B51" s="254" t="s">
        <v>2427</v>
      </c>
      <c r="C51" s="276">
        <f ca="1">ROUND(C49*F50,0)</f>
        <v>1187</v>
      </c>
      <c r="D51" s="276"/>
      <c r="E51" s="276"/>
      <c r="F51" s="308"/>
      <c r="G51" s="278" t="s">
        <v>2428</v>
      </c>
    </row>
    <row r="52" spans="1:7" s="252" customFormat="1" ht="16.5" thickBot="1">
      <c r="A52" s="309" t="s">
        <v>2429</v>
      </c>
      <c r="B52" s="310"/>
      <c r="C52" s="311">
        <f ca="1">C31+C51</f>
        <v>21851</v>
      </c>
      <c r="D52" s="310"/>
      <c r="E52" s="310"/>
      <c r="F52" s="310"/>
      <c r="G52" s="312"/>
    </row>
    <row r="55" spans="1:7" ht="15">
      <c r="B55" s="314" t="s">
        <v>2430</v>
      </c>
      <c r="C55" s="315"/>
    </row>
    <row r="56" spans="1:7">
      <c r="B56" s="317" t="s">
        <v>1515</v>
      </c>
      <c r="C56" s="319">
        <f ca="1">1-C57</f>
        <v>0.94599999999999995</v>
      </c>
    </row>
    <row r="57" spans="1:7">
      <c r="B57" s="317" t="s">
        <v>1516</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3048</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946800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946800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946800</v>
      </c>
      <c r="D10" s="1035">
        <f ca="1">IF(B1="",'数据-汇总表'!E6,IF(INDIRECT("'数据-取费表'!c"&amp;$G$1)="住宅",INDIRECT("'数据-取费表'!s"&amp;$G$1),INDIRECT("'数据-取费表'!k"&amp;$G$1)+INDIRECT("'数据-取费表'!s"&amp;$G$1)))</f>
        <v>4734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946800</v>
      </c>
      <c r="D19" s="1039">
        <f ca="1">D9+D10</f>
        <v>4734</v>
      </c>
      <c r="E19" s="255">
        <f>'数据-取费表'!B31</f>
        <v>200</v>
      </c>
      <c r="F19" s="275"/>
      <c r="G19" s="2556"/>
    </row>
    <row r="20" spans="1:7" s="258" customFormat="1" ht="13.5" customHeight="1">
      <c r="A20" s="299" t="s">
        <v>2442</v>
      </c>
      <c r="B20" s="254" t="s">
        <v>2443</v>
      </c>
      <c r="C20" s="276">
        <f ca="1">ROUND((C5+C19)*F20,0)</f>
        <v>28404</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82990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41186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41186</v>
      </c>
      <c r="D24" s="282"/>
      <c r="E24" s="282"/>
      <c r="F24" s="283"/>
      <c r="G24" s="284" t="s">
        <v>2454</v>
      </c>
    </row>
    <row r="25" spans="1:7" s="258" customFormat="1" ht="24">
      <c r="A25" s="954" t="s">
        <v>2344</v>
      </c>
      <c r="B25" s="259" t="s">
        <v>2455</v>
      </c>
      <c r="C25" s="1384">
        <f ca="1">ROUND(IF('数据-取费表'!B22&lt;=1,C20*F22*'数据-取费表'!B22/2,C20*(POWER((1+F22),'数据-取费表'!B22/2)-1)),0)</f>
        <v>618</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384401</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384401</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2573670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14798484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13255200</v>
      </c>
      <c r="D34" s="261"/>
      <c r="E34" s="264"/>
      <c r="F34" s="301"/>
      <c r="G34" s="263"/>
    </row>
    <row r="35" spans="1:7" ht="13.5" customHeight="1">
      <c r="A35" s="954" t="s">
        <v>796</v>
      </c>
      <c r="B35" s="259" t="s">
        <v>2395</v>
      </c>
      <c r="C35" s="264">
        <f ca="1">ROUND(C34*F35,0)</f>
        <v>397656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946800</v>
      </c>
      <c r="D37" s="261">
        <f ca="1">D19</f>
        <v>4734</v>
      </c>
      <c r="E37" s="293">
        <f>'数据-取费表'!B35</f>
        <v>200</v>
      </c>
      <c r="F37" s="303"/>
      <c r="G37" s="305"/>
    </row>
    <row r="38" spans="1:7" ht="13.5" customHeight="1">
      <c r="A38" s="954" t="s">
        <v>799</v>
      </c>
      <c r="B38" s="259" t="s">
        <v>2401</v>
      </c>
      <c r="C38" s="264">
        <f ca="1">ROUND(C34*F38,0)</f>
        <v>198828</v>
      </c>
      <c r="D38" s="264"/>
      <c r="E38" s="264"/>
      <c r="F38" s="303">
        <f>'数据-取费表'!B36</f>
        <v>1.4999999999999999E-2</v>
      </c>
      <c r="G38" s="263" t="s">
        <v>2396</v>
      </c>
    </row>
    <row r="39" spans="1:7" s="258" customFormat="1" ht="13.5" customHeight="1">
      <c r="A39" s="299" t="s">
        <v>2402</v>
      </c>
      <c r="B39" s="254" t="s">
        <v>2403</v>
      </c>
      <c r="C39" s="276">
        <f ca="1">ROUND(C33*F20,0)</f>
        <v>221977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326695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321867</v>
      </c>
      <c r="D42" s="282"/>
      <c r="E42" s="282"/>
      <c r="F42" s="283"/>
      <c r="G42" s="3124" t="s">
        <v>2459</v>
      </c>
    </row>
    <row r="43" spans="1:7" ht="13.5" customHeight="1">
      <c r="A43" s="954" t="s">
        <v>792</v>
      </c>
      <c r="B43" s="259" t="s">
        <v>2413</v>
      </c>
      <c r="C43" s="282">
        <f ca="1">ROUND(IF('数据-取费表'!B22&lt;=1,C39*F22*'数据-取费表'!B20/2,C39*(POWER((1+F22),'数据-取费表'!B20/2)-1)),0)</f>
        <v>4828</v>
      </c>
      <c r="D43" s="282"/>
      <c r="E43" s="282"/>
      <c r="F43" s="283"/>
      <c r="G43" s="3125"/>
    </row>
    <row r="44" spans="1:7" ht="13.5" customHeight="1">
      <c r="A44" s="954" t="s">
        <v>793</v>
      </c>
      <c r="B44" s="259" t="s">
        <v>2414</v>
      </c>
      <c r="C44" s="282">
        <f ca="1">ROUND(IF('数据-取费表'!B22&lt;=1,C40*F22*'数据-取费表'!B20/2,C40*(POWER((1+F22),'数据-取费表'!B20/2)-1)),4)</f>
        <v>2.9999999999999997E-4</v>
      </c>
      <c r="D44" s="282"/>
      <c r="E44" s="282"/>
      <c r="F44" s="283"/>
      <c r="G44" s="3126"/>
    </row>
    <row r="45" spans="1:7" s="258" customFormat="1" ht="13.5" customHeight="1">
      <c r="A45" s="299" t="s">
        <v>2415</v>
      </c>
      <c r="B45" s="288" t="s">
        <v>2381</v>
      </c>
      <c r="C45" s="289">
        <f ca="1">C46</f>
        <v>3004092</v>
      </c>
      <c r="D45" s="279">
        <f ca="1">C47</f>
        <v>3.0000000000000001E-3</v>
      </c>
      <c r="E45" s="280" t="s">
        <v>2407</v>
      </c>
      <c r="F45" s="290"/>
      <c r="G45" s="291" t="s">
        <v>2416</v>
      </c>
    </row>
    <row r="46" spans="1:7" s="258" customFormat="1" ht="13.5" customHeight="1">
      <c r="A46" s="954" t="s">
        <v>791</v>
      </c>
      <c r="B46" s="292" t="s">
        <v>2417</v>
      </c>
      <c r="C46" s="293">
        <f ca="1">ROUND((C33+C39)*F27,0)</f>
        <v>3004092</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19766532</v>
      </c>
      <c r="D49" s="276"/>
      <c r="E49" s="276"/>
      <c r="F49" s="308"/>
      <c r="G49" s="278" t="s">
        <v>2422</v>
      </c>
    </row>
    <row r="50" spans="1:7" s="302" customFormat="1">
      <c r="A50" s="299" t="s">
        <v>2423</v>
      </c>
      <c r="B50" s="254" t="s">
        <v>2424</v>
      </c>
      <c r="C50" s="276"/>
      <c r="D50" s="276"/>
      <c r="E50" s="276"/>
      <c r="F50" s="308">
        <f>IF('数据-取费表'!B24=0,'数据-取费表'!N16,1)</f>
        <v>0.6</v>
      </c>
      <c r="G50" s="291"/>
    </row>
    <row r="51" spans="1:7" ht="16.5" customHeight="1">
      <c r="A51" s="299" t="s">
        <v>2426</v>
      </c>
      <c r="B51" s="254" t="s">
        <v>2461</v>
      </c>
      <c r="C51" s="276">
        <f ca="1">ROUND(C49*F50,0)</f>
        <v>11859919</v>
      </c>
      <c r="D51" s="276"/>
      <c r="E51" s="276"/>
      <c r="F51" s="308"/>
      <c r="G51" s="278" t="s">
        <v>2428</v>
      </c>
    </row>
    <row r="52" spans="1:7" s="252" customFormat="1" ht="16.5" thickBot="1">
      <c r="A52" s="309" t="s">
        <v>2429</v>
      </c>
      <c r="B52" s="310"/>
      <c r="C52" s="311">
        <f ca="1">C31+C51</f>
        <v>14433589</v>
      </c>
      <c r="D52" s="310"/>
      <c r="E52" s="310"/>
      <c r="F52" s="310"/>
      <c r="G52" s="312"/>
    </row>
    <row r="55" spans="1:7" ht="15">
      <c r="B55" s="314" t="s">
        <v>2430</v>
      </c>
      <c r="C55" s="315"/>
    </row>
    <row r="56" spans="1:7">
      <c r="B56" s="317" t="s">
        <v>1515</v>
      </c>
      <c r="C56" s="319">
        <f ca="1">1-C57</f>
        <v>0.17800000000000005</v>
      </c>
    </row>
    <row r="57" spans="1:7">
      <c r="B57" s="317" t="s">
        <v>1516</v>
      </c>
      <c r="C57" s="318">
        <f ca="1">ROUND(C51/C52,3)</f>
        <v>0.82199999999999995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4734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4734</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2"/>
      <c r="H18" s="1581"/>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95</v>
      </c>
      <c r="D20" s="1036">
        <f ca="1">IF(C1="",'数据-汇总表'!E6,IF(INDIRECT("'数据-取费表'!c"&amp;$K$1)="住宅",INDIRECT("'数据-取费表'!s"&amp;$K$1),INDIRECT("'数据-取费表'!k"&amp;$K$1)+INDIRECT("'数据-取费表'!s"&amp;$K$1)))</f>
        <v>4734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9" zoomScale="85" zoomScaleNormal="85" zoomScaleSheetLayoutView="90" workbookViewId="0">
      <selection activeCell="E56" sqref="E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39.840000000000003</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22139</v>
      </c>
      <c r="C2" s="1849" t="s">
        <v>1518</v>
      </c>
      <c r="D2" s="1849"/>
      <c r="E2" s="1850"/>
      <c r="F2" s="1851"/>
      <c r="G2" s="1852"/>
      <c r="H2" s="1844"/>
      <c r="I2" s="1844"/>
      <c r="J2" s="1844"/>
      <c r="K2" s="1845"/>
      <c r="L2" s="1844"/>
      <c r="M2" s="1844"/>
    </row>
    <row r="3" spans="1:37" ht="18" customHeight="1" thickBot="1">
      <c r="A3" s="1853" t="s">
        <v>1519</v>
      </c>
      <c r="B3" s="1854">
        <f ca="1">IF(ISERROR(B2*10000/F43),0,ROUND(B2*10000/F43,0))</f>
        <v>47724</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1047</v>
      </c>
      <c r="D5" s="1826" t="s">
        <v>1403</v>
      </c>
      <c r="E5" s="1296"/>
      <c r="F5" s="1297"/>
      <c r="G5" s="1855"/>
      <c r="H5" s="344">
        <v>1</v>
      </c>
      <c r="I5" s="345" t="s">
        <v>1402</v>
      </c>
      <c r="J5" s="1295">
        <f ca="1">J6+J10+J12</f>
        <v>0</v>
      </c>
      <c r="K5" s="1826" t="s">
        <v>1403</v>
      </c>
      <c r="L5" s="1296"/>
      <c r="M5" s="1297"/>
    </row>
    <row r="6" spans="1:37" ht="18" customHeight="1">
      <c r="A6" s="1294" t="s">
        <v>1035</v>
      </c>
      <c r="B6" s="3129" t="s">
        <v>1404</v>
      </c>
      <c r="C6" s="1299">
        <f ca="1">ROUND(F6*F8*F7*(1-F9)/10000,0)</f>
        <v>1046</v>
      </c>
      <c r="D6" s="164" t="s">
        <v>3038</v>
      </c>
      <c r="E6" s="347" t="s">
        <v>1406</v>
      </c>
      <c r="F6" s="348">
        <f ca="1">INDIRECT("'数据-取费表'!u"&amp;$G$1)</f>
        <v>6.5</v>
      </c>
      <c r="G6" s="1855"/>
      <c r="H6" s="1294" t="s">
        <v>1035</v>
      </c>
      <c r="I6" s="3129" t="s">
        <v>1404</v>
      </c>
      <c r="J6" s="346">
        <f ca="1">ROUND(M6*M8*M7*(1-M9)/10000,0)</f>
        <v>0</v>
      </c>
      <c r="K6" s="164" t="s">
        <v>3037</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4639</v>
      </c>
      <c r="G7" s="1855"/>
      <c r="H7" s="349"/>
      <c r="I7" s="3130"/>
      <c r="J7" s="351"/>
      <c r="K7" s="352"/>
      <c r="L7" s="347" t="s">
        <v>1407</v>
      </c>
      <c r="M7" s="348">
        <f ca="1">F7</f>
        <v>4639</v>
      </c>
    </row>
    <row r="8" spans="1:37" ht="18" customHeight="1">
      <c r="A8" s="349"/>
      <c r="B8" s="3130"/>
      <c r="C8" s="351"/>
      <c r="D8" s="352"/>
      <c r="E8" s="347" t="s">
        <v>1408</v>
      </c>
      <c r="F8" s="348">
        <f ca="1">INDIRECT("'数据-取费表'!ai"&amp;$G$1)</f>
        <v>365</v>
      </c>
      <c r="G8" s="1855"/>
      <c r="H8" s="349"/>
      <c r="I8" s="3130"/>
      <c r="J8" s="351"/>
      <c r="K8" s="352"/>
      <c r="L8" s="347" t="s">
        <v>1408</v>
      </c>
      <c r="M8" s="348">
        <f ca="1">INDIRECT("'数据-取费表'!ai"&amp;$G$1)</f>
        <v>365</v>
      </c>
    </row>
    <row r="9" spans="1:37" ht="18" customHeight="1">
      <c r="A9" s="349"/>
      <c r="B9" s="3131"/>
      <c r="C9" s="351"/>
      <c r="D9" s="352"/>
      <c r="E9" s="347" t="s">
        <v>1409</v>
      </c>
      <c r="F9" s="357">
        <f ca="1">INDIRECT("'数据-取费表'!w"&amp;$G$1)</f>
        <v>0.05</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3039</v>
      </c>
      <c r="E10" s="358" t="s">
        <v>1412</v>
      </c>
      <c r="F10" s="1369" t="s">
        <v>3079</v>
      </c>
      <c r="G10" s="1855"/>
      <c r="H10" s="1294" t="s">
        <v>1039</v>
      </c>
      <c r="I10" s="1827" t="s">
        <v>1410</v>
      </c>
      <c r="J10" s="346">
        <f ca="1">ROUND(IF(M10="押一",M6*M8*M7/12*M11,IF(M10="押二",M6*M8*M7/12*2*M11,IF(M10="押三",M6*M8*M7/12*3*M11,J11*M11)))/10000,0)</f>
        <v>0</v>
      </c>
      <c r="K10" s="1828" t="s">
        <v>3040</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1187</v>
      </c>
      <c r="D13" s="1334" t="s">
        <v>1417</v>
      </c>
      <c r="E13" s="1334" t="s">
        <v>1418</v>
      </c>
      <c r="F13" s="1335">
        <f ca="1">INDIRECT("'数据-取费表'!y"&amp;$G$1)</f>
        <v>0.6</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1326</v>
      </c>
      <c r="D14" s="1804" t="s">
        <v>1420</v>
      </c>
      <c r="E14" s="1798"/>
      <c r="F14" s="364"/>
      <c r="G14" s="1855"/>
      <c r="H14" s="1204" t="s">
        <v>1035</v>
      </c>
      <c r="I14" s="347" t="s">
        <v>1421</v>
      </c>
      <c r="J14" s="24">
        <f ca="1">C29</f>
        <v>1978</v>
      </c>
      <c r="K14" s="15"/>
      <c r="L14" s="982"/>
      <c r="M14" s="983"/>
    </row>
    <row r="15" spans="1:37" s="1862" customFormat="1" ht="18" customHeight="1" thickBot="1">
      <c r="A15" s="1204" t="s">
        <v>1036</v>
      </c>
      <c r="B15" s="347" t="s">
        <v>1422</v>
      </c>
      <c r="C15" s="24">
        <f ca="1">ROUND(C14*F15,0)</f>
        <v>40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50</v>
      </c>
      <c r="K16" s="1340" t="s">
        <v>1427</v>
      </c>
      <c r="L16" s="1341"/>
      <c r="M16" s="1297"/>
    </row>
    <row r="17" spans="1:37" s="1862" customFormat="1" ht="18" customHeight="1">
      <c r="A17" s="1204" t="s">
        <v>1391</v>
      </c>
      <c r="B17" s="347" t="s">
        <v>1428</v>
      </c>
      <c r="C17" s="24">
        <f ca="1">ROUND(F17*(F43+INDIRECT("'数据-取费表'!S"&amp;$G$1))/10000,0)</f>
        <v>95</v>
      </c>
      <c r="D17" s="347" t="s">
        <v>1429</v>
      </c>
      <c r="E17" s="347" t="s">
        <v>1430</v>
      </c>
      <c r="F17" s="26">
        <f>'数据-取费表'!B35</f>
        <v>200</v>
      </c>
      <c r="G17" s="1858"/>
      <c r="H17" s="1204" t="s">
        <v>1035</v>
      </c>
      <c r="I17" s="347" t="s">
        <v>1431</v>
      </c>
      <c r="J17" s="24">
        <f ca="1">ROUND(IF(项目基本情况!B11="自然人",J5*M17,J18+J19+J20),1)</f>
        <v>20.5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20</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1481</v>
      </c>
      <c r="D19" s="140" t="s">
        <v>1438</v>
      </c>
      <c r="E19" s="1822"/>
      <c r="F19" s="26"/>
      <c r="G19" s="1855"/>
      <c r="H19" s="1204" t="s">
        <v>1036</v>
      </c>
      <c r="I19" s="347" t="s">
        <v>1439</v>
      </c>
      <c r="J19" s="24">
        <f ca="1">IF(K19="按租金收入计税",ROUND(J5*M19,2),ROUND(C29*M19*0.7,2))</f>
        <v>16.62</v>
      </c>
      <c r="K19" s="1832" t="s">
        <v>1440</v>
      </c>
      <c r="L19" s="347" t="s">
        <v>1424</v>
      </c>
      <c r="M19" s="367">
        <f>IF(K19="按租金收入计税",'数据-取费表'!B51,'数据-取费表'!B50)</f>
        <v>1.2E-2</v>
      </c>
    </row>
    <row r="20" spans="1:37" s="1862" customFormat="1" ht="18" customHeight="1">
      <c r="A20" s="1204" t="s">
        <v>1039</v>
      </c>
      <c r="B20" s="347" t="s">
        <v>1441</v>
      </c>
      <c r="C20" s="24">
        <f ca="1">ROUND(C19*F20,0)</f>
        <v>22</v>
      </c>
      <c r="D20" s="369" t="s">
        <v>1442</v>
      </c>
      <c r="E20" s="347" t="s">
        <v>1424</v>
      </c>
      <c r="F20" s="367">
        <f>'数据-取费表'!B37</f>
        <v>1.4999999999999999E-2</v>
      </c>
      <c r="G20" s="1858"/>
      <c r="H20" s="1204" t="s">
        <v>1390</v>
      </c>
      <c r="I20" s="164" t="s">
        <v>1443</v>
      </c>
      <c r="J20" s="25">
        <f ca="1">ROUND(M20*M21/10000,2)</f>
        <v>3.83</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1597.8999999999999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29.7</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-50</v>
      </c>
      <c r="K25" s="1348" t="s">
        <v>1466</v>
      </c>
      <c r="L25" s="1349"/>
      <c r="M25" s="1350"/>
    </row>
    <row r="26" spans="1:37">
      <c r="A26" s="1204" t="s">
        <v>1034</v>
      </c>
      <c r="B26" s="347" t="s">
        <v>1467</v>
      </c>
      <c r="C26" s="24">
        <f ca="1">ROUND((C19+C20)*F26,0)</f>
        <v>301</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0.06</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1978</v>
      </c>
      <c r="D29" s="1345"/>
      <c r="E29" s="1343"/>
      <c r="F29" s="1346"/>
      <c r="G29" s="1858"/>
      <c r="H29" s="380" t="s">
        <v>1033</v>
      </c>
      <c r="I29" s="381" t="s">
        <v>1481</v>
      </c>
      <c r="J29" s="382">
        <f ca="1">ROUND(J26/(1+F40)^F41,0)</f>
        <v>0</v>
      </c>
      <c r="K29" s="383" t="s">
        <v>1482</v>
      </c>
      <c r="L29" s="384"/>
      <c r="M29" s="385">
        <f ca="1">INDIRECT("'数据-取费表'!k"&amp;$G$1)</f>
        <v>4639</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145</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76.3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55.84</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16.62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3.83</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1597.8999999999999</v>
      </c>
      <c r="G35" s="1855"/>
      <c r="H35" s="745"/>
      <c r="I35" s="1864"/>
      <c r="J35" s="1865"/>
      <c r="K35" s="1866"/>
      <c r="L35" s="1863"/>
      <c r="M35" s="1863"/>
    </row>
    <row r="36" spans="1:18" ht="18" customHeight="1">
      <c r="A36" s="1355" t="s">
        <v>1039</v>
      </c>
      <c r="B36" s="347" t="s">
        <v>1451</v>
      </c>
      <c r="C36" s="24">
        <f ca="1">ROUND(C29*F36,1)</f>
        <v>29.7</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23.7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15.7</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902</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22139</v>
      </c>
      <c r="D40" s="370" t="s">
        <v>1471</v>
      </c>
      <c r="E40" s="347" t="s">
        <v>1472</v>
      </c>
      <c r="F40" s="357">
        <f ca="1">INDIRECT("'数据-取费表'!I"&amp;$G$1)</f>
        <v>0.06</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39.840000000000003</v>
      </c>
      <c r="G41" s="1855"/>
      <c r="H41" s="732"/>
      <c r="I41" s="1864"/>
      <c r="J41" s="1865"/>
      <c r="K41" s="751"/>
      <c r="L41" s="732"/>
      <c r="M41" s="732"/>
    </row>
    <row r="42" spans="1:18" ht="18" customHeight="1">
      <c r="A42" s="353"/>
      <c r="B42" s="354"/>
      <c r="C42" s="355"/>
      <c r="D42" s="373"/>
      <c r="E42" s="347" t="s">
        <v>1479</v>
      </c>
      <c r="F42" s="357">
        <f ca="1">INDIRECT("'数据-取费表'!v"&amp;$G$1)</f>
        <v>3.5000000000000003E-2</v>
      </c>
      <c r="G42" s="1855"/>
      <c r="H42" s="732"/>
      <c r="I42" s="1864"/>
      <c r="J42" s="1865"/>
      <c r="K42" s="751"/>
      <c r="L42" s="732"/>
      <c r="M42" s="732"/>
    </row>
    <row r="43" spans="1:18" ht="18" customHeight="1" thickBot="1">
      <c r="A43" s="380" t="s">
        <v>1033</v>
      </c>
      <c r="B43" s="381" t="s">
        <v>1489</v>
      </c>
      <c r="C43" s="382">
        <f ca="1">ROUND(C40*10000/F43,0)</f>
        <v>47724</v>
      </c>
      <c r="D43" s="383" t="s">
        <v>1490</v>
      </c>
      <c r="E43" s="384" t="s">
        <v>1491</v>
      </c>
      <c r="F43" s="385">
        <f ca="1">INDIRECT("'数据-取费表'!k"&amp;$G$1)</f>
        <v>4639</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-23251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3080</v>
      </c>
      <c r="K47" s="1886" t="s">
        <v>1529</v>
      </c>
      <c r="L47" s="1887">
        <f ca="1">INDIRECT("'数据-取费表'!d"&amp;$G$1)</f>
        <v>50</v>
      </c>
      <c r="M47" s="1842" t="str">
        <f>IF(ISNUMBER(FIND("住宅",C1)),"住宅","非住宅")</f>
        <v>非住宅</v>
      </c>
      <c r="O47" s="1888" t="s">
        <v>1040</v>
      </c>
      <c r="P47" s="1889" t="s">
        <v>1530</v>
      </c>
      <c r="Q47" s="1890">
        <f ca="1">C40+J29</f>
        <v>22139</v>
      </c>
      <c r="R47" s="1890" t="s">
        <v>1531</v>
      </c>
    </row>
    <row r="48" spans="1:18" s="1846" customFormat="1" ht="28.5" thickBot="1">
      <c r="A48" s="1363" t="s">
        <v>1135</v>
      </c>
      <c r="B48" s="345" t="s">
        <v>1402</v>
      </c>
      <c r="C48" s="1821">
        <f ca="1">C49+C53+C55</f>
        <v>0</v>
      </c>
      <c r="D48" s="1365"/>
      <c r="E48" s="1366"/>
      <c r="F48" s="1184"/>
      <c r="G48" s="792"/>
      <c r="H48" s="793"/>
      <c r="I48" s="1891" t="s">
        <v>1532</v>
      </c>
      <c r="J48" s="1892" t="s">
        <v>3081</v>
      </c>
      <c r="K48" s="1893" t="s">
        <v>1533</v>
      </c>
      <c r="L48" s="1894">
        <f ca="1">INDIRECT("'数据-取费表'!f"&amp;$G$1)</f>
        <v>39.840000000000003</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3041</v>
      </c>
      <c r="E49" s="1834" t="s">
        <v>1493</v>
      </c>
      <c r="F49" s="1284"/>
      <c r="G49" s="1895"/>
      <c r="H49" s="793"/>
      <c r="I49" s="1891" t="s">
        <v>1536</v>
      </c>
      <c r="J49" s="1896"/>
      <c r="K49" s="1893" t="s">
        <v>1537</v>
      </c>
      <c r="L49" s="1897"/>
      <c r="O49" s="1898" t="s">
        <v>1042</v>
      </c>
      <c r="P49" s="1889" t="s">
        <v>1538</v>
      </c>
      <c r="Q49" s="1890">
        <f ca="1">C29</f>
        <v>1978</v>
      </c>
      <c r="R49" s="1890" t="s">
        <v>1531</v>
      </c>
    </row>
    <row r="50" spans="1:18" s="1846" customFormat="1" ht="13.5" thickBot="1">
      <c r="A50" s="1198"/>
      <c r="B50" s="1201"/>
      <c r="C50" s="1371"/>
      <c r="D50" s="1175"/>
      <c r="E50" s="1280" t="s">
        <v>1407</v>
      </c>
      <c r="F50" s="1281">
        <f ca="1">F7</f>
        <v>4639</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12840</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f ca="1">J53</f>
        <v>39.840000000000003</v>
      </c>
      <c r="R52" s="1890" t="s">
        <v>1548</v>
      </c>
    </row>
    <row r="53" spans="1:18" s="1846" customFormat="1" ht="24.75" thickBot="1">
      <c r="A53" s="1408" t="s">
        <v>1137</v>
      </c>
      <c r="B53" s="1835" t="s">
        <v>1410</v>
      </c>
      <c r="C53" s="361">
        <f ca="1">ROUND(IF(F53="押一",F49*F51*F50/12*F11,IF(F53="押二",F49*F51*F50/12*2*F11,IF(F53="押三",F49*F51*F50/12*3*F11,C54*F11)))/10000,0)</f>
        <v>0</v>
      </c>
      <c r="D53" s="1828" t="s">
        <v>3039</v>
      </c>
      <c r="E53" s="358" t="s">
        <v>1412</v>
      </c>
      <c r="F53" s="1369"/>
      <c r="I53" s="1909" t="s">
        <v>1549</v>
      </c>
      <c r="J53" s="1910">
        <f ca="1">IF(M47="住宅",J51,IF(D1="——",MIN(J51,L48),IF(D1="在建（套用方法）",MIN(J51,L48-'数据-取费表'!B24),IF(D1="土地（套用方法）",MIN(J51,L48-'数据-取费表'!B20)))))</f>
        <v>39.840000000000003</v>
      </c>
      <c r="K53" s="3127" t="s">
        <v>1550</v>
      </c>
      <c r="L53" s="3128"/>
      <c r="O53" s="1888" t="s">
        <v>1046</v>
      </c>
      <c r="P53" s="1889" t="s">
        <v>1551</v>
      </c>
      <c r="Q53" s="1890">
        <f ca="1">Q47+Q48</f>
        <v>22139</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3082</v>
      </c>
      <c r="O55" s="1881" t="s">
        <v>1524</v>
      </c>
      <c r="P55" s="1882" t="s">
        <v>1525</v>
      </c>
      <c r="Q55" s="1883" t="s">
        <v>1526</v>
      </c>
      <c r="R55" s="1883" t="s">
        <v>1527</v>
      </c>
    </row>
    <row r="56" spans="1:18" s="1846" customFormat="1" ht="25.5" thickTop="1" thickBot="1">
      <c r="A56" s="1179">
        <v>2</v>
      </c>
      <c r="B56" s="1180" t="s">
        <v>1416</v>
      </c>
      <c r="C56" s="276">
        <f ca="1">C13</f>
        <v>1187</v>
      </c>
      <c r="D56" s="1918"/>
      <c r="E56" s="1919"/>
      <c r="F56" s="1911"/>
      <c r="I56" s="1920" t="s">
        <v>1555</v>
      </c>
      <c r="J56" s="1921" t="s">
        <v>3065</v>
      </c>
      <c r="K56" s="1891" t="s">
        <v>1556</v>
      </c>
      <c r="L56" s="1894" t="str">
        <f ca="1">IF(L48&lt;J51,"——",L48-J53)</f>
        <v>——</v>
      </c>
      <c r="O56" s="1888" t="s">
        <v>1040</v>
      </c>
      <c r="P56" s="1889" t="s">
        <v>1530</v>
      </c>
      <c r="Q56" s="1890">
        <f ca="1">C40+J29</f>
        <v>22139</v>
      </c>
      <c r="R56" s="1890" t="s">
        <v>1531</v>
      </c>
    </row>
    <row r="57" spans="1:18" s="1846" customFormat="1" ht="24.75" thickBot="1">
      <c r="A57" s="1922"/>
      <c r="B57" s="1172" t="s">
        <v>1480</v>
      </c>
      <c r="C57" s="282">
        <f ca="1">C29</f>
        <v>1978</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1426</v>
      </c>
      <c r="C58" s="361">
        <f ca="1">ROUND(C59+C64+C65+C66,0)</f>
        <v>74</v>
      </c>
      <c r="D58" s="1182" t="s">
        <v>1427</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20.5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16.62</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1497</v>
      </c>
      <c r="B62" s="1171" t="s">
        <v>1498</v>
      </c>
      <c r="C62" s="25">
        <f ca="1">IF(项目基本情况!B11="自然人","——",ROUND(F62*F63/10000,2))</f>
        <v>3.83</v>
      </c>
      <c r="D62" s="1187" t="s">
        <v>1499</v>
      </c>
      <c r="E62" s="1172" t="s">
        <v>1500</v>
      </c>
      <c r="F62" s="371">
        <f t="shared" si="0"/>
        <v>24</v>
      </c>
      <c r="I62" s="1933" t="s">
        <v>1571</v>
      </c>
      <c r="J62" s="1934" t="s">
        <v>1572</v>
      </c>
      <c r="K62" s="1934" t="s">
        <v>1573</v>
      </c>
      <c r="L62" s="1934" t="s">
        <v>1574</v>
      </c>
      <c r="M62" s="1935" t="s">
        <v>1575</v>
      </c>
      <c r="O62" s="1888" t="s">
        <v>1046</v>
      </c>
      <c r="P62" s="1889" t="s">
        <v>1576</v>
      </c>
      <c r="Q62" s="1890">
        <f ca="1">Q56+Q57</f>
        <v>22139</v>
      </c>
      <c r="R62" s="1890" t="s">
        <v>1047</v>
      </c>
    </row>
    <row r="63" spans="1:18" s="1846" customFormat="1" ht="13.5" thickBot="1">
      <c r="A63" s="372"/>
      <c r="B63" s="1178"/>
      <c r="C63" s="29"/>
      <c r="D63" s="1188"/>
      <c r="E63" s="1172" t="s">
        <v>1501</v>
      </c>
      <c r="F63" s="348">
        <f t="shared" ca="1" si="0"/>
        <v>1597.8999999999999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29.7</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23.7</v>
      </c>
      <c r="D65" s="1186" t="s">
        <v>1456</v>
      </c>
      <c r="E65" s="1172" t="s">
        <v>1457</v>
      </c>
      <c r="F65" s="376">
        <f t="shared" ca="1" si="0"/>
        <v>0.02</v>
      </c>
      <c r="I65" s="1933" t="s">
        <v>1580</v>
      </c>
      <c r="J65" s="1934">
        <v>40</v>
      </c>
      <c r="K65" s="1934">
        <v>30</v>
      </c>
      <c r="L65" s="1934">
        <v>50</v>
      </c>
      <c r="M65" s="1936">
        <v>0.02</v>
      </c>
      <c r="O65" s="1888" t="s">
        <v>1040</v>
      </c>
      <c r="P65" s="1889" t="s">
        <v>1581</v>
      </c>
      <c r="Q65" s="1890">
        <f ca="1">C40+J29</f>
        <v>22139</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-74</v>
      </c>
      <c r="D67" s="1185" t="s">
        <v>1466</v>
      </c>
      <c r="E67" s="1190"/>
      <c r="F67" s="1191"/>
      <c r="O67" s="1898" t="s">
        <v>1042</v>
      </c>
      <c r="P67" s="1889" t="s">
        <v>1563</v>
      </c>
      <c r="Q67" s="1937">
        <f ca="1">L51</f>
        <v>12840</v>
      </c>
      <c r="R67" s="1890" t="s">
        <v>1583</v>
      </c>
    </row>
    <row r="68" spans="1:18" s="1846" customFormat="1" ht="16.5" thickBot="1">
      <c r="A68" s="1169" t="s">
        <v>1032</v>
      </c>
      <c r="B68" s="1170" t="s">
        <v>1487</v>
      </c>
      <c r="C68" s="346">
        <f ca="1">ROUND(C67*(1-((1+F70)/(1+F68))^F69)/(F68-F70),0)</f>
        <v>-1112</v>
      </c>
      <c r="D68" s="1187" t="s">
        <v>1471</v>
      </c>
      <c r="E68" s="1172" t="s">
        <v>1472</v>
      </c>
      <c r="F68" s="357">
        <f ca="1">F40</f>
        <v>0.06</v>
      </c>
      <c r="O68" s="1898" t="s">
        <v>1043</v>
      </c>
      <c r="P68" s="1938" t="s">
        <v>1584</v>
      </c>
      <c r="Q68" s="1890">
        <f ca="1">ROUND(Q69-Q70*Q71,0)</f>
        <v>801</v>
      </c>
      <c r="R68" s="1890" t="s">
        <v>1051</v>
      </c>
    </row>
    <row r="69" spans="1:18" s="1846" customFormat="1" ht="13.5" thickBot="1">
      <c r="A69" s="1173"/>
      <c r="B69" s="1174"/>
      <c r="C69" s="351"/>
      <c r="D69" s="1192" t="s">
        <v>1475</v>
      </c>
      <c r="E69" s="1172" t="s">
        <v>1476</v>
      </c>
      <c r="F69" s="379">
        <f ca="1">F41</f>
        <v>39.840000000000003</v>
      </c>
      <c r="O69" s="1898" t="s">
        <v>1048</v>
      </c>
      <c r="P69" s="1938" t="s">
        <v>1585</v>
      </c>
      <c r="Q69" s="1890">
        <f ca="1">C39</f>
        <v>902</v>
      </c>
      <c r="R69" s="1890" t="s">
        <v>1531</v>
      </c>
    </row>
    <row r="70" spans="1:18" s="1846" customFormat="1" ht="13.5" thickBot="1">
      <c r="A70" s="1176"/>
      <c r="B70" s="1177"/>
      <c r="C70" s="355"/>
      <c r="D70" s="1188"/>
      <c r="E70" s="1172" t="s">
        <v>1479</v>
      </c>
      <c r="F70" s="1278"/>
      <c r="O70" s="1898" t="s">
        <v>1049</v>
      </c>
      <c r="P70" s="1938" t="s">
        <v>1586</v>
      </c>
      <c r="Q70" s="1890">
        <f ca="1">C13</f>
        <v>1187</v>
      </c>
      <c r="R70" s="1890" t="s">
        <v>1531</v>
      </c>
    </row>
    <row r="71" spans="1:18" s="1846" customFormat="1" ht="13.5" thickBot="1">
      <c r="A71" s="1193" t="s">
        <v>1033</v>
      </c>
      <c r="B71" s="1194" t="s">
        <v>1489</v>
      </c>
      <c r="C71" s="382">
        <f ca="1">ROUND(C68*10000/F71,0)</f>
        <v>-2397</v>
      </c>
      <c r="D71" s="1195" t="s">
        <v>1490</v>
      </c>
      <c r="E71" s="1196" t="s">
        <v>1491</v>
      </c>
      <c r="F71" s="385">
        <f ca="1">F43</f>
        <v>4639</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1508</v>
      </c>
      <c r="C75" s="387">
        <f ca="1">ROUND(C13*C76,0)</f>
        <v>101</v>
      </c>
      <c r="D75" s="1846"/>
      <c r="E75" s="1846"/>
      <c r="F75" s="1846"/>
      <c r="K75" s="1872"/>
      <c r="L75" s="1846"/>
      <c r="O75" s="1888" t="s">
        <v>1046</v>
      </c>
      <c r="P75" s="1889" t="s">
        <v>1551</v>
      </c>
      <c r="Q75" s="1890">
        <f ca="1">Q65+Q66</f>
        <v>22139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0.88800000000000001</v>
      </c>
    </row>
    <row r="80" spans="1:18">
      <c r="B80" s="386" t="s">
        <v>1513</v>
      </c>
      <c r="C80" s="318">
        <f ca="1">ROUND(C75/C39,3)</f>
        <v>0.112</v>
      </c>
    </row>
    <row r="81" spans="2:3">
      <c r="B81" s="314" t="s">
        <v>1514</v>
      </c>
      <c r="C81" s="282"/>
    </row>
    <row r="82" spans="2:3">
      <c r="B82" s="317" t="s">
        <v>1515</v>
      </c>
      <c r="C82" s="319">
        <f ca="1">1-C83</f>
        <v>0.94599999999999995</v>
      </c>
    </row>
    <row r="83" spans="2:3">
      <c r="B83" s="317" t="s">
        <v>1516</v>
      </c>
      <c r="C83" s="318">
        <f ca="1">ROUND(C13/C40,3)</f>
        <v>5.3999999999999999E-2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9" t="s">
        <v>1404</v>
      </c>
      <c r="C6" s="1299">
        <f ca="1">ROUND(F6*F8*F7*(1-F9),0)</f>
        <v>0</v>
      </c>
      <c r="D6" s="164" t="s">
        <v>3033</v>
      </c>
      <c r="E6" s="347" t="s">
        <v>1406</v>
      </c>
      <c r="F6" s="348">
        <f ca="1">INDIRECT("'数据-取费表'!u"&amp;$G$1)</f>
        <v>0</v>
      </c>
      <c r="G6" s="1855"/>
      <c r="H6" s="1294" t="s">
        <v>1035</v>
      </c>
      <c r="I6" s="3129" t="s">
        <v>1404</v>
      </c>
      <c r="J6" s="346">
        <f ca="1">ROUND(M6*M8*M7*(1-M9),0)</f>
        <v>0</v>
      </c>
      <c r="K6" s="1838" t="s">
        <v>3036</v>
      </c>
      <c r="L6" s="347" t="s">
        <v>1406</v>
      </c>
      <c r="M6" s="348">
        <f ca="1">INDIRECT("'数据-取费表'!z"&amp;$G$1)</f>
        <v>0</v>
      </c>
    </row>
    <row r="7" spans="1:37" ht="18" customHeight="1">
      <c r="A7" s="1298"/>
      <c r="B7" s="3130"/>
      <c r="C7" s="1300"/>
      <c r="D7" s="352"/>
      <c r="E7" s="1301" t="s">
        <v>1407</v>
      </c>
      <c r="F7" s="348">
        <f ca="1">IF(INDIRECT("'数据-取费表'!ah"&amp;$G$1)="",INDIRECT("'数据-取费表'!k"&amp;$G$1),INDIRECT("'数据-取费表'!ah"&amp;$G$1))</f>
        <v>0</v>
      </c>
      <c r="G7" s="1855"/>
      <c r="H7" s="349"/>
      <c r="I7" s="3130"/>
      <c r="J7" s="351"/>
      <c r="K7" s="352"/>
      <c r="L7" s="347" t="s">
        <v>1407</v>
      </c>
      <c r="M7" s="348">
        <f ca="1">F7</f>
        <v>0</v>
      </c>
    </row>
    <row r="8" spans="1:37" ht="18" customHeight="1">
      <c r="A8" s="349"/>
      <c r="B8" s="3130"/>
      <c r="C8" s="351"/>
      <c r="D8" s="352"/>
      <c r="E8" s="347" t="s">
        <v>1408</v>
      </c>
      <c r="F8" s="348">
        <f ca="1">INDIRECT("'数据-取费表'!ai"&amp;$G$1)</f>
        <v>0</v>
      </c>
      <c r="G8" s="1855"/>
      <c r="H8" s="349"/>
      <c r="I8" s="3130"/>
      <c r="J8" s="351"/>
      <c r="K8" s="352"/>
      <c r="L8" s="347" t="s">
        <v>1408</v>
      </c>
      <c r="M8" s="348">
        <f ca="1">INDIRECT("'数据-取费表'!ai"&amp;$G$1)</f>
        <v>0</v>
      </c>
    </row>
    <row r="9" spans="1:37" ht="18" customHeight="1">
      <c r="A9" s="349"/>
      <c r="B9" s="3131"/>
      <c r="C9" s="351"/>
      <c r="D9" s="352"/>
      <c r="E9" s="347" t="s">
        <v>1409</v>
      </c>
      <c r="F9" s="357">
        <f ca="1">INDIRECT("'数据-取费表'!w"&amp;$G$1)</f>
        <v>0</v>
      </c>
      <c r="G9" s="1855"/>
      <c r="H9" s="349"/>
      <c r="I9" s="313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3034</v>
      </c>
      <c r="E10" s="358" t="s">
        <v>1412</v>
      </c>
      <c r="F10" s="1369"/>
      <c r="G10" s="1855"/>
      <c r="H10" s="1294" t="s">
        <v>1039</v>
      </c>
      <c r="I10" s="1827" t="s">
        <v>1410</v>
      </c>
      <c r="J10" s="346">
        <f ca="1">ROUND(IF(M10="押一",M6*M8*M7/12*M11,IF(M10="押二",M6*M8*M7/12*2*M11,IF(M10="押三",M6*M8*M7/12*3*M11,J11*M11))),0)</f>
        <v>0</v>
      </c>
      <c r="K10" s="1839" t="s">
        <v>3035</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24</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24</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7" t="s">
        <v>1550</v>
      </c>
      <c r="L53" s="3128"/>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24</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7" t="s">
        <v>2529</v>
      </c>
      <c r="B1" s="2568"/>
      <c r="C1" s="2568"/>
      <c r="D1" s="2568"/>
      <c r="E1" s="2569"/>
    </row>
    <row r="2" spans="1:6" ht="15.75">
      <c r="A2" s="2570" t="s">
        <v>2330</v>
      </c>
      <c r="B2" s="2571">
        <f ca="1">SUMIF(B6:B13,"&lt;&gt;#ref!",B6:B13)</f>
        <v>22139</v>
      </c>
      <c r="C2" s="2572" t="s">
        <v>2522</v>
      </c>
      <c r="D2" s="2573" t="s">
        <v>2523</v>
      </c>
      <c r="E2" s="2574">
        <f>SUM(E6:E13)</f>
        <v>4734</v>
      </c>
    </row>
    <row r="3" spans="1:6" ht="15.75">
      <c r="A3" s="2570" t="s">
        <v>1396</v>
      </c>
      <c r="B3" s="2571">
        <f ca="1">ROUND(B2*10000/E2,0)</f>
        <v>46766</v>
      </c>
      <c r="C3" s="2572" t="s">
        <v>2530</v>
      </c>
      <c r="D3" s="2575"/>
      <c r="E3" s="2576"/>
    </row>
    <row r="4" spans="1:6" ht="15.75">
      <c r="A4" s="2577"/>
      <c r="B4" s="2575"/>
      <c r="C4" s="2575"/>
      <c r="D4" s="2575"/>
      <c r="E4" s="2576"/>
    </row>
    <row r="5" spans="1:6" ht="15">
      <c r="A5" s="2578" t="s">
        <v>2524</v>
      </c>
      <c r="B5" s="3132" t="s">
        <v>2525</v>
      </c>
      <c r="C5" s="3132"/>
      <c r="D5" s="2579"/>
      <c r="E5" s="2580" t="s">
        <v>2526</v>
      </c>
      <c r="F5" s="2581" t="s">
        <v>2527</v>
      </c>
    </row>
    <row r="6" spans="1:6">
      <c r="A6" s="2582" t="str">
        <f>'数据-取费表'!AN6</f>
        <v>收益法</v>
      </c>
      <c r="B6" s="2581">
        <f ca="1">IF(F6="是",'数据-取费表'!AO6,0)</f>
        <v>22139</v>
      </c>
      <c r="C6" s="2572" t="s">
        <v>2522</v>
      </c>
      <c r="D6" s="2575"/>
      <c r="E6" s="2583">
        <f>IF(OR(A6=0,F6="否"),0,'数据-取费表'!K6+'数据-取费表'!S6)</f>
        <v>4734</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3" t="s">
        <v>1076</v>
      </c>
      <c r="B1" s="3134"/>
      <c r="C1" s="3135"/>
      <c r="D1" s="3136">
        <f>SUM(I10,I15,I20,I21,I23)</f>
        <v>0</v>
      </c>
      <c r="E1" s="3136"/>
      <c r="F1" s="3136"/>
      <c r="G1" s="3136"/>
      <c r="H1" s="3136"/>
      <c r="I1" s="3137"/>
    </row>
    <row r="2" spans="1:9">
      <c r="A2" s="3138" t="s">
        <v>1077</v>
      </c>
      <c r="B2" s="3139" t="s">
        <v>1078</v>
      </c>
      <c r="C2" s="3139"/>
      <c r="D2" s="1304" t="s">
        <v>1079</v>
      </c>
      <c r="E2" s="1304" t="s">
        <v>1080</v>
      </c>
      <c r="F2" s="1304" t="s">
        <v>1081</v>
      </c>
      <c r="G2" s="1304" t="s">
        <v>1082</v>
      </c>
      <c r="H2" s="1304" t="s">
        <v>1083</v>
      </c>
      <c r="I2" s="1305" t="s">
        <v>1084</v>
      </c>
    </row>
    <row r="3" spans="1:9">
      <c r="A3" s="3138"/>
      <c r="B3" s="3139" t="s">
        <v>1085</v>
      </c>
      <c r="C3" s="3139"/>
      <c r="D3" s="1306"/>
      <c r="E3" s="1304"/>
      <c r="F3" s="1307"/>
      <c r="G3" s="1307"/>
      <c r="H3" s="1308"/>
      <c r="I3" s="1309">
        <f>ROUND(D3*E3*F3*G3*H3/10000,0)</f>
        <v>0</v>
      </c>
    </row>
    <row r="4" spans="1:9">
      <c r="A4" s="3138"/>
      <c r="B4" s="3139" t="s">
        <v>1086</v>
      </c>
      <c r="C4" s="3139"/>
      <c r="D4" s="1306"/>
      <c r="E4" s="1304"/>
      <c r="F4" s="1307"/>
      <c r="G4" s="1307"/>
      <c r="H4" s="1308"/>
      <c r="I4" s="1309">
        <f t="shared" ref="I4:I9" si="0">ROUND(D4*E4*F4*G4*H4/10000,0)</f>
        <v>0</v>
      </c>
    </row>
    <row r="5" spans="1:9">
      <c r="A5" s="3138"/>
      <c r="B5" s="3139" t="s">
        <v>1087</v>
      </c>
      <c r="C5" s="3139"/>
      <c r="D5" s="1306"/>
      <c r="E5" s="1304"/>
      <c r="F5" s="1307"/>
      <c r="G5" s="1307"/>
      <c r="H5" s="1308"/>
      <c r="I5" s="1309">
        <f t="shared" si="0"/>
        <v>0</v>
      </c>
    </row>
    <row r="6" spans="1:9">
      <c r="A6" s="3138"/>
      <c r="B6" s="3139" t="s">
        <v>1088</v>
      </c>
      <c r="C6" s="3139"/>
      <c r="D6" s="1306"/>
      <c r="E6" s="1304"/>
      <c r="F6" s="1307"/>
      <c r="G6" s="1307"/>
      <c r="H6" s="1308"/>
      <c r="I6" s="1309">
        <f t="shared" si="0"/>
        <v>0</v>
      </c>
    </row>
    <row r="7" spans="1:9">
      <c r="A7" s="3138"/>
      <c r="B7" s="3139" t="s">
        <v>1089</v>
      </c>
      <c r="C7" s="3139"/>
      <c r="D7" s="1306"/>
      <c r="E7" s="1304"/>
      <c r="F7" s="1307"/>
      <c r="G7" s="1307"/>
      <c r="H7" s="1308"/>
      <c r="I7" s="1309">
        <f t="shared" si="0"/>
        <v>0</v>
      </c>
    </row>
    <row r="8" spans="1:9">
      <c r="A8" s="3138"/>
      <c r="B8" s="3139" t="s">
        <v>1090</v>
      </c>
      <c r="C8" s="3139"/>
      <c r="D8" s="1306"/>
      <c r="E8" s="1304"/>
      <c r="F8" s="1307"/>
      <c r="G8" s="1307"/>
      <c r="H8" s="1308"/>
      <c r="I8" s="1309">
        <f t="shared" si="0"/>
        <v>0</v>
      </c>
    </row>
    <row r="9" spans="1:9">
      <c r="A9" s="3138"/>
      <c r="B9" s="3139" t="s">
        <v>1091</v>
      </c>
      <c r="C9" s="3139"/>
      <c r="D9" s="1306"/>
      <c r="E9" s="1304"/>
      <c r="F9" s="1307"/>
      <c r="G9" s="1307"/>
      <c r="H9" s="1308"/>
      <c r="I9" s="1309">
        <f t="shared" si="0"/>
        <v>0</v>
      </c>
    </row>
    <row r="10" spans="1:9">
      <c r="A10" s="3138"/>
      <c r="B10" s="3140" t="s">
        <v>1092</v>
      </c>
      <c r="C10" s="3140"/>
      <c r="D10" s="1310"/>
      <c r="E10" s="1310" t="e">
        <f>ROUND(D1*10000/D10/H9,0)</f>
        <v>#DIV/0!</v>
      </c>
      <c r="F10" s="1311"/>
      <c r="G10" s="1311"/>
      <c r="H10" s="1312"/>
      <c r="I10" s="1313">
        <f>SUM(I3:I9)</f>
        <v>0</v>
      </c>
    </row>
    <row r="11" spans="1:9" ht="14.25">
      <c r="A11" s="3138" t="s">
        <v>1093</v>
      </c>
      <c r="B11" s="3139" t="s">
        <v>1094</v>
      </c>
      <c r="C11" s="3139"/>
      <c r="D11" s="1306" t="s">
        <v>1095</v>
      </c>
      <c r="E11" s="1306" t="s">
        <v>1096</v>
      </c>
      <c r="F11" s="1307" t="s">
        <v>1097</v>
      </c>
      <c r="G11" s="1307" t="s">
        <v>1083</v>
      </c>
      <c r="H11" s="1314" t="s">
        <v>1098</v>
      </c>
      <c r="I11" s="1305" t="s">
        <v>1084</v>
      </c>
    </row>
    <row r="12" spans="1:9">
      <c r="A12" s="3138"/>
      <c r="B12" s="3139" t="s">
        <v>1099</v>
      </c>
      <c r="C12" s="3139"/>
      <c r="D12" s="1306"/>
      <c r="E12" s="1306"/>
      <c r="F12" s="1307"/>
      <c r="G12" s="1308"/>
      <c r="H12" s="1315"/>
      <c r="I12" s="1305">
        <f>ROUND(D12*E12*F12*G12/10000,0)</f>
        <v>0</v>
      </c>
    </row>
    <row r="13" spans="1:9">
      <c r="A13" s="3138"/>
      <c r="B13" s="3139" t="s">
        <v>1100</v>
      </c>
      <c r="C13" s="3139"/>
      <c r="D13" s="1306"/>
      <c r="E13" s="1306"/>
      <c r="F13" s="1307"/>
      <c r="G13" s="1308"/>
      <c r="H13" s="1315"/>
      <c r="I13" s="1305">
        <f>ROUND(D13*E13*F13*G13/10000,0)</f>
        <v>0</v>
      </c>
    </row>
    <row r="14" spans="1:9">
      <c r="A14" s="3138"/>
      <c r="B14" s="3139" t="s">
        <v>1101</v>
      </c>
      <c r="C14" s="3139"/>
      <c r="D14" s="1306"/>
      <c r="E14" s="1306"/>
      <c r="F14" s="1307"/>
      <c r="G14" s="1308"/>
      <c r="H14" s="1315"/>
      <c r="I14" s="1305">
        <f>ROUND(D14*E14*F14*G14/10000,0)</f>
        <v>0</v>
      </c>
    </row>
    <row r="15" spans="1:9">
      <c r="A15" s="3138"/>
      <c r="B15" s="3140" t="s">
        <v>1092</v>
      </c>
      <c r="C15" s="3140"/>
      <c r="D15" s="1310"/>
      <c r="E15" s="1310">
        <f>SUM(E12:E14)</f>
        <v>0</v>
      </c>
      <c r="F15" s="1311"/>
      <c r="G15" s="1308"/>
      <c r="H15" s="1315"/>
      <c r="I15" s="1316">
        <f>SUM(I12:I14)</f>
        <v>0</v>
      </c>
    </row>
    <row r="16" spans="1:9" ht="24">
      <c r="A16" s="3138" t="s">
        <v>1102</v>
      </c>
      <c r="B16" s="3139" t="s">
        <v>1103</v>
      </c>
      <c r="C16" s="3139"/>
      <c r="D16" s="1306" t="s">
        <v>1079</v>
      </c>
      <c r="E16" s="1317" t="s">
        <v>1104</v>
      </c>
      <c r="F16" s="1307" t="s">
        <v>1105</v>
      </c>
      <c r="G16" s="1308" t="s">
        <v>1083</v>
      </c>
      <c r="H16" s="1314" t="s">
        <v>1098</v>
      </c>
      <c r="I16" s="1305" t="s">
        <v>1084</v>
      </c>
    </row>
    <row r="17" spans="1:9" ht="14.25">
      <c r="A17" s="3138"/>
      <c r="B17" s="3139" t="s">
        <v>1106</v>
      </c>
      <c r="C17" s="3139"/>
      <c r="D17" s="1306"/>
      <c r="E17" s="1306"/>
      <c r="F17" s="1307"/>
      <c r="G17" s="1308"/>
      <c r="H17" s="1318"/>
      <c r="I17" s="1319">
        <f>ROUND(D17*E17*F17*G17/10000,0)</f>
        <v>0</v>
      </c>
    </row>
    <row r="18" spans="1:9" ht="14.25">
      <c r="A18" s="3138"/>
      <c r="B18" s="3139" t="s">
        <v>1107</v>
      </c>
      <c r="C18" s="3139"/>
      <c r="D18" s="1306"/>
      <c r="E18" s="1306"/>
      <c r="F18" s="1307"/>
      <c r="G18" s="1308"/>
      <c r="H18" s="1318"/>
      <c r="I18" s="1319">
        <f>ROUND(D18*E18*F18*G18/10000,0)</f>
        <v>0</v>
      </c>
    </row>
    <row r="19" spans="1:9" ht="14.25">
      <c r="A19" s="3138"/>
      <c r="B19" s="3139" t="s">
        <v>1108</v>
      </c>
      <c r="C19" s="3139"/>
      <c r="D19" s="1306"/>
      <c r="E19" s="1306"/>
      <c r="F19" s="1307"/>
      <c r="G19" s="1308"/>
      <c r="H19" s="1318"/>
      <c r="I19" s="1319">
        <f>ROUND(D19*E19*F19*G19/10000,0)</f>
        <v>0</v>
      </c>
    </row>
    <row r="20" spans="1:9">
      <c r="A20" s="3138"/>
      <c r="B20" s="3140" t="s">
        <v>1092</v>
      </c>
      <c r="C20" s="3140"/>
      <c r="D20" s="1310">
        <f>SUM(D17:D19)</f>
        <v>0</v>
      </c>
      <c r="E20" s="1310"/>
      <c r="F20" s="1311"/>
      <c r="G20" s="1308"/>
      <c r="H20" s="1315"/>
      <c r="I20" s="1316">
        <f>SUM(I17:I19)</f>
        <v>0</v>
      </c>
    </row>
    <row r="21" spans="1:9">
      <c r="A21" s="3138" t="s">
        <v>1109</v>
      </c>
      <c r="B21" s="3142"/>
      <c r="C21" s="3142"/>
      <c r="D21" s="3142"/>
      <c r="E21" s="3142"/>
      <c r="F21" s="3142"/>
      <c r="G21" s="3142"/>
      <c r="H21" s="1769">
        <v>0.1</v>
      </c>
      <c r="I21" s="1313">
        <f>ROUND(I10*H21,0)</f>
        <v>0</v>
      </c>
    </row>
    <row r="22" spans="1:9" ht="14.25">
      <c r="A22" s="3143" t="s">
        <v>1110</v>
      </c>
      <c r="B22" s="3144"/>
      <c r="C22" s="3145"/>
      <c r="D22" s="1320" t="s">
        <v>1111</v>
      </c>
      <c r="E22" s="1320" t="s">
        <v>1112</v>
      </c>
      <c r="F22" s="1321" t="s">
        <v>1113</v>
      </c>
      <c r="G22" s="1321" t="s">
        <v>1114</v>
      </c>
      <c r="H22" s="1314" t="s">
        <v>1115</v>
      </c>
      <c r="I22" s="1305" t="s">
        <v>1116</v>
      </c>
    </row>
    <row r="23" spans="1:9" ht="14.25" thickBot="1">
      <c r="A23" s="3146"/>
      <c r="B23" s="3147"/>
      <c r="C23" s="3148"/>
      <c r="D23" s="1322"/>
      <c r="E23" s="1322"/>
      <c r="F23" s="1322"/>
      <c r="G23" s="1323"/>
      <c r="H23" s="1324"/>
      <c r="I23" s="1325">
        <f>ROUND(E23*D23*F23*(1-G23)/10000,0)</f>
        <v>0</v>
      </c>
    </row>
    <row r="26" spans="1:9">
      <c r="A26" s="1326" t="s">
        <v>1117</v>
      </c>
      <c r="B26" s="1326"/>
      <c r="C26" s="1326"/>
      <c r="D26" s="1326"/>
      <c r="E26" s="3149">
        <f>C27-C30-C31-C32</f>
        <v>0</v>
      </c>
      <c r="F26" s="3149"/>
      <c r="G26" s="3149"/>
      <c r="H26" s="1741" t="s">
        <v>1341</v>
      </c>
    </row>
    <row r="27" spans="1:9">
      <c r="A27" s="1327">
        <v>1</v>
      </c>
      <c r="B27" s="1328" t="s">
        <v>1118</v>
      </c>
      <c r="C27" s="1328">
        <f>C28+C29</f>
        <v>0</v>
      </c>
      <c r="D27" s="1328"/>
      <c r="E27" s="3150"/>
      <c r="F27" s="3150"/>
      <c r="G27" s="3150"/>
    </row>
    <row r="28" spans="1:9">
      <c r="A28" s="1329" t="s">
        <v>1119</v>
      </c>
      <c r="B28" s="1328" t="s">
        <v>1120</v>
      </c>
      <c r="C28" s="1328"/>
      <c r="D28" s="1328"/>
      <c r="E28" s="3150"/>
      <c r="F28" s="3150"/>
      <c r="G28" s="31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1"/>
      <c r="F32" s="3141"/>
      <c r="G32" s="3141"/>
    </row>
    <row r="33" spans="1:7" hidden="1">
      <c r="A33" s="3151" t="s">
        <v>1129</v>
      </c>
      <c r="B33" s="3152"/>
      <c r="C33" s="3152"/>
      <c r="D33" s="3153"/>
      <c r="E33" s="3149"/>
      <c r="F33" s="3149"/>
      <c r="G33" s="3149"/>
    </row>
    <row r="34" spans="1:7" hidden="1">
      <c r="A34" s="1331">
        <v>1</v>
      </c>
      <c r="B34" s="1328" t="s">
        <v>1130</v>
      </c>
      <c r="C34" s="1328"/>
      <c r="D34" s="1328"/>
      <c r="E34" s="3150"/>
      <c r="F34" s="3150"/>
      <c r="G34" s="3150"/>
    </row>
    <row r="35" spans="1:7" hidden="1">
      <c r="A35" s="1331">
        <v>2</v>
      </c>
      <c r="B35" s="1328" t="s">
        <v>1131</v>
      </c>
      <c r="C35" s="1328"/>
      <c r="D35" s="1328"/>
      <c r="E35" s="3150"/>
      <c r="F35" s="3150"/>
      <c r="G35" s="3150"/>
    </row>
    <row r="36" spans="1:7" hidden="1">
      <c r="A36" s="1331">
        <v>3</v>
      </c>
      <c r="B36" s="1328" t="s">
        <v>1132</v>
      </c>
      <c r="C36" s="1328"/>
      <c r="D36" s="1328"/>
      <c r="E36" s="3150"/>
      <c r="F36" s="3150"/>
      <c r="G36" s="3150"/>
    </row>
    <row r="37" spans="1:7" hidden="1">
      <c r="A37" s="1331">
        <v>4</v>
      </c>
      <c r="B37" s="1328" t="s">
        <v>1133</v>
      </c>
      <c r="C37" s="1328"/>
      <c r="D37" s="1328"/>
      <c r="E37" s="3150"/>
      <c r="F37" s="3150"/>
      <c r="G37" s="3150"/>
    </row>
    <row r="38" spans="1:7" hidden="1">
      <c r="A38" s="3151" t="s">
        <v>1134</v>
      </c>
      <c r="B38" s="3152"/>
      <c r="C38" s="3152"/>
      <c r="D38" s="3153"/>
      <c r="E38" s="3149"/>
      <c r="F38" s="3149"/>
      <c r="G38" s="31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2532</v>
      </c>
      <c r="C1" s="1638" t="s">
        <v>2533</v>
      </c>
      <c r="D1" s="1625"/>
      <c r="E1" s="2589"/>
      <c r="F1" s="2590" t="s">
        <v>2534</v>
      </c>
      <c r="G1" s="1635" t="s">
        <v>2535</v>
      </c>
      <c r="H1" s="1634"/>
      <c r="I1" s="1634"/>
      <c r="J1" s="1634"/>
      <c r="K1" s="1636"/>
      <c r="L1" s="1637"/>
      <c r="M1" s="1638"/>
      <c r="N1" s="1638"/>
      <c r="O1" s="1638"/>
      <c r="P1" s="2591"/>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1396</v>
      </c>
      <c r="B3" s="399" t="e">
        <f ca="1">IF(C2="——",C49,ROUND(B2*10000/D3,0))</f>
        <v>#DIV/0!</v>
      </c>
      <c r="C3" s="400" t="s">
        <v>2537</v>
      </c>
      <c r="D3" s="399">
        <f>IF(D1="",'数据-汇总表'!E3,SUMIF('数据-汇总表'!$C19:$C33,D1,'数据-汇总表'!$E19:$E33))</f>
        <v>4734</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2" t="s">
        <v>2539</v>
      </c>
      <c r="D4" s="3173"/>
      <c r="E4" s="3174" t="s">
        <v>2540</v>
      </c>
      <c r="F4" s="3175"/>
      <c r="G4" s="3172" t="s">
        <v>2541</v>
      </c>
      <c r="H4" s="3173"/>
      <c r="I4" s="3172" t="s">
        <v>2542</v>
      </c>
      <c r="J4" s="3173"/>
      <c r="K4" s="2602" t="s">
        <v>2543</v>
      </c>
      <c r="L4" s="1133"/>
      <c r="M4" s="1134"/>
      <c r="N4" s="1134"/>
      <c r="O4" s="1134"/>
      <c r="P4" s="3176" t="s">
        <v>2544</v>
      </c>
      <c r="Q4" s="3177"/>
      <c r="R4" s="3159" t="s">
        <v>2540</v>
      </c>
      <c r="S4" s="3160"/>
      <c r="T4" s="3159" t="s">
        <v>2541</v>
      </c>
      <c r="U4" s="3160"/>
      <c r="V4" s="3184" t="s">
        <v>2542</v>
      </c>
      <c r="W4" s="3184"/>
      <c r="X4" s="1817"/>
      <c r="Y4" s="3159" t="s">
        <v>2544</v>
      </c>
      <c r="Z4" s="3160"/>
      <c r="AA4" s="3154" t="s">
        <v>2540</v>
      </c>
      <c r="AB4" s="3154" t="s">
        <v>2541</v>
      </c>
      <c r="AC4" s="3154" t="s">
        <v>2542</v>
      </c>
    </row>
    <row r="5" spans="1:29" ht="15">
      <c r="A5" s="404"/>
      <c r="B5" s="405"/>
      <c r="C5" s="3165" t="s">
        <v>2545</v>
      </c>
      <c r="D5" s="3166"/>
      <c r="E5" s="3163" t="s">
        <v>2546</v>
      </c>
      <c r="F5" s="3164"/>
      <c r="G5" s="3165" t="s">
        <v>2547</v>
      </c>
      <c r="H5" s="3166"/>
      <c r="I5" s="3165" t="s">
        <v>2548</v>
      </c>
      <c r="J5" s="3166"/>
      <c r="K5" s="2603"/>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2603"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7" t="s">
        <v>2552</v>
      </c>
      <c r="Q7" s="3185"/>
      <c r="R7" s="770" t="s">
        <v>23</v>
      </c>
      <c r="S7" s="771">
        <f t="shared" ref="S7:S15" si="0">F7</f>
        <v>0</v>
      </c>
      <c r="T7" s="770" t="s">
        <v>23</v>
      </c>
      <c r="U7" s="771">
        <f t="shared" ref="U7:U15" si="1">H7</f>
        <v>0</v>
      </c>
      <c r="V7" s="770" t="s">
        <v>23</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7" t="s">
        <v>2555</v>
      </c>
      <c r="Q8" s="3158"/>
      <c r="R8" s="770" t="s">
        <v>23</v>
      </c>
      <c r="S8" s="771">
        <f t="shared" si="0"/>
        <v>0</v>
      </c>
      <c r="T8" s="770" t="s">
        <v>23</v>
      </c>
      <c r="U8" s="771">
        <f t="shared" si="1"/>
        <v>0</v>
      </c>
      <c r="V8" s="770" t="s">
        <v>23</v>
      </c>
      <c r="W8" s="771">
        <f t="shared" si="2"/>
        <v>0</v>
      </c>
      <c r="X8" s="772"/>
      <c r="Y8" s="3157" t="s">
        <v>2555</v>
      </c>
      <c r="Z8" s="315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9"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1"/>
      <c r="Q12" s="1799">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1"/>
      <c r="Q13" s="1799">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1"/>
      <c r="Q14" s="1799">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2562</v>
      </c>
      <c r="B15" s="69" t="s">
        <v>2087</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2563</v>
      </c>
      <c r="Q15" s="1814" t="str">
        <f t="shared" si="6"/>
        <v>居住社区成熟度</v>
      </c>
      <c r="R15" s="774" t="s">
        <v>21</v>
      </c>
      <c r="S15" s="775">
        <f t="shared" si="0"/>
        <v>100</v>
      </c>
      <c r="T15" s="774" t="s">
        <v>21</v>
      </c>
      <c r="U15" s="775">
        <f t="shared" si="1"/>
        <v>100</v>
      </c>
      <c r="V15" s="774" t="s">
        <v>21</v>
      </c>
      <c r="W15" s="775">
        <f t="shared" si="2"/>
        <v>100</v>
      </c>
      <c r="X15" s="1817"/>
      <c r="Y15" s="3191" t="s">
        <v>2563</v>
      </c>
      <c r="Z15" s="1818" t="str">
        <f t="shared" si="7"/>
        <v>居住社区成熟度</v>
      </c>
      <c r="AA15" s="1815">
        <f t="shared" si="3"/>
        <v>1</v>
      </c>
      <c r="AB15" s="1815">
        <f t="shared" si="4"/>
        <v>1</v>
      </c>
      <c r="AC15" s="1815">
        <f t="shared" si="5"/>
        <v>1</v>
      </c>
    </row>
    <row r="16" spans="1:29" ht="15">
      <c r="A16" s="428"/>
      <c r="B16" s="446"/>
      <c r="C16" s="447"/>
      <c r="D16" s="448"/>
      <c r="E16" s="2610"/>
      <c r="F16" s="448"/>
      <c r="G16" s="2611"/>
      <c r="H16" s="450"/>
      <c r="I16" s="2611"/>
      <c r="J16" s="448"/>
      <c r="K16" s="2612"/>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4" t="str">
        <f>B17</f>
        <v>交通便捷度</v>
      </c>
      <c r="R17" s="774" t="s">
        <v>21</v>
      </c>
      <c r="S17" s="775">
        <f>F17</f>
        <v>100</v>
      </c>
      <c r="T17" s="774" t="s">
        <v>21</v>
      </c>
      <c r="U17" s="775">
        <f>H17</f>
        <v>100</v>
      </c>
      <c r="V17" s="774" t="s">
        <v>21</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5"/>
      <c r="F18" s="450"/>
      <c r="G18" s="2616"/>
      <c r="H18" s="448"/>
      <c r="I18" s="2616"/>
      <c r="J18" s="448"/>
      <c r="K18" s="2612"/>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2097</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4" t="str">
        <f>B19</f>
        <v>公共配套设施</v>
      </c>
      <c r="R19" s="774" t="s">
        <v>21</v>
      </c>
      <c r="S19" s="775">
        <f>F19</f>
        <v>100</v>
      </c>
      <c r="T19" s="774" t="s">
        <v>21</v>
      </c>
      <c r="U19" s="775">
        <f>H19</f>
        <v>100</v>
      </c>
      <c r="V19" s="774" t="s">
        <v>21</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0"/>
      <c r="F20" s="448"/>
      <c r="G20" s="2611"/>
      <c r="H20" s="448"/>
      <c r="I20" s="2611"/>
      <c r="J20" s="448"/>
      <c r="K20" s="2612"/>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8"/>
      <c r="G22" s="2617"/>
      <c r="H22" s="448"/>
      <c r="I22" s="447"/>
      <c r="J22" s="448"/>
      <c r="K22" s="2618"/>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4" t="str">
        <f>B23</f>
        <v>自然及人文环境</v>
      </c>
      <c r="R23" s="774" t="s">
        <v>21</v>
      </c>
      <c r="S23" s="775">
        <f>F23</f>
        <v>100</v>
      </c>
      <c r="T23" s="774" t="s">
        <v>21</v>
      </c>
      <c r="U23" s="775">
        <f>H23</f>
        <v>100</v>
      </c>
      <c r="V23" s="774" t="s">
        <v>21</v>
      </c>
      <c r="W23" s="775">
        <f>J23</f>
        <v>100</v>
      </c>
      <c r="X23" s="1817"/>
      <c r="Y23" s="3192"/>
      <c r="Z23" s="1818" t="str">
        <f>Q23</f>
        <v>自然及人文环境</v>
      </c>
      <c r="AA23" s="1815">
        <f>D23/F23</f>
        <v>1</v>
      </c>
      <c r="AB23" s="1815">
        <f>D23/H23</f>
        <v>1</v>
      </c>
      <c r="AC23" s="1815">
        <f>D23/J23</f>
        <v>1</v>
      </c>
    </row>
    <row r="24" spans="1:29" ht="15">
      <c r="A24" s="428"/>
      <c r="B24" s="456"/>
      <c r="C24" s="447"/>
      <c r="D24" s="448"/>
      <c r="E24" s="2610"/>
      <c r="F24" s="448"/>
      <c r="G24" s="2611"/>
      <c r="H24" s="448"/>
      <c r="I24" s="2611"/>
      <c r="J24" s="448"/>
      <c r="K24" s="2612"/>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92"/>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9"/>
      <c r="Q26" s="1814" t="str">
        <f t="shared" si="11"/>
        <v>朝向</v>
      </c>
      <c r="R26" s="774" t="s">
        <v>21</v>
      </c>
      <c r="S26" s="775">
        <f t="shared" si="12"/>
        <v>100</v>
      </c>
      <c r="T26" s="774" t="s">
        <v>21</v>
      </c>
      <c r="U26" s="775">
        <f t="shared" si="13"/>
        <v>100</v>
      </c>
      <c r="V26" s="774" t="s">
        <v>21</v>
      </c>
      <c r="W26" s="775">
        <f t="shared" si="14"/>
        <v>100</v>
      </c>
      <c r="X26" s="1817"/>
      <c r="Y26" s="3192"/>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9"/>
      <c r="Q27" s="1799">
        <f t="shared" si="11"/>
        <v>111</v>
      </c>
      <c r="R27" s="770" t="s">
        <v>21</v>
      </c>
      <c r="S27" s="771">
        <f t="shared" si="12"/>
        <v>100</v>
      </c>
      <c r="T27" s="770" t="s">
        <v>21</v>
      </c>
      <c r="U27" s="771">
        <f t="shared" si="13"/>
        <v>100</v>
      </c>
      <c r="V27" s="770" t="s">
        <v>21</v>
      </c>
      <c r="W27" s="771">
        <f t="shared" si="14"/>
        <v>100</v>
      </c>
      <c r="X27" s="772"/>
      <c r="Y27" s="3192"/>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9"/>
      <c r="Q28" s="1814">
        <f t="shared" si="11"/>
        <v>111</v>
      </c>
      <c r="R28" s="774" t="s">
        <v>21</v>
      </c>
      <c r="S28" s="775">
        <f t="shared" si="12"/>
        <v>100</v>
      </c>
      <c r="T28" s="774" t="s">
        <v>21</v>
      </c>
      <c r="U28" s="775">
        <f t="shared" si="13"/>
        <v>100</v>
      </c>
      <c r="V28" s="774" t="s">
        <v>21</v>
      </c>
      <c r="W28" s="775">
        <f t="shared" si="14"/>
        <v>100</v>
      </c>
      <c r="X28" s="1817"/>
      <c r="Y28" s="3192"/>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9"/>
      <c r="Q29" s="1814">
        <f t="shared" si="11"/>
        <v>111</v>
      </c>
      <c r="R29" s="774" t="s">
        <v>21</v>
      </c>
      <c r="S29" s="775">
        <f t="shared" si="12"/>
        <v>100</v>
      </c>
      <c r="T29" s="774" t="s">
        <v>21</v>
      </c>
      <c r="U29" s="775">
        <f t="shared" si="13"/>
        <v>100</v>
      </c>
      <c r="V29" s="774" t="s">
        <v>21</v>
      </c>
      <c r="W29" s="775">
        <f t="shared" si="14"/>
        <v>100</v>
      </c>
      <c r="X29" s="1817"/>
      <c r="Y29" s="3192"/>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9"/>
      <c r="Q30" s="1814">
        <f t="shared" si="11"/>
        <v>111</v>
      </c>
      <c r="R30" s="774" t="s">
        <v>21</v>
      </c>
      <c r="S30" s="775">
        <f t="shared" si="12"/>
        <v>100</v>
      </c>
      <c r="T30" s="774" t="s">
        <v>21</v>
      </c>
      <c r="U30" s="775">
        <f t="shared" si="13"/>
        <v>100</v>
      </c>
      <c r="V30" s="774" t="s">
        <v>21</v>
      </c>
      <c r="W30" s="775">
        <f t="shared" si="14"/>
        <v>100</v>
      </c>
      <c r="X30" s="1817"/>
      <c r="Y30" s="3192"/>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9"/>
      <c r="Q31" s="1814">
        <f t="shared" si="11"/>
        <v>111</v>
      </c>
      <c r="R31" s="774" t="s">
        <v>21</v>
      </c>
      <c r="S31" s="775">
        <f t="shared" si="12"/>
        <v>100</v>
      </c>
      <c r="T31" s="774" t="s">
        <v>21</v>
      </c>
      <c r="U31" s="775">
        <f t="shared" si="13"/>
        <v>100</v>
      </c>
      <c r="V31" s="774" t="s">
        <v>21</v>
      </c>
      <c r="W31" s="775">
        <f t="shared" si="14"/>
        <v>100</v>
      </c>
      <c r="X31" s="1817"/>
      <c r="Y31" s="3192"/>
      <c r="Z31" s="1818">
        <f t="shared" si="18"/>
        <v>111</v>
      </c>
      <c r="AA31" s="1815">
        <f t="shared" si="15"/>
        <v>1</v>
      </c>
      <c r="AB31" s="1815">
        <f t="shared" si="16"/>
        <v>1</v>
      </c>
      <c r="AC31" s="1815">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3" t="s">
        <v>2568</v>
      </c>
      <c r="Q32" s="1814" t="str">
        <f t="shared" si="11"/>
        <v>建筑类型</v>
      </c>
      <c r="R32" s="774" t="s">
        <v>21</v>
      </c>
      <c r="S32" s="775">
        <f t="shared" si="12"/>
        <v>100</v>
      </c>
      <c r="T32" s="774" t="s">
        <v>21</v>
      </c>
      <c r="U32" s="775">
        <f t="shared" si="13"/>
        <v>100</v>
      </c>
      <c r="V32" s="774" t="s">
        <v>21</v>
      </c>
      <c r="W32" s="775">
        <f t="shared" si="14"/>
        <v>100</v>
      </c>
      <c r="X32" s="1817"/>
      <c r="Y32" s="3196"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5" t="e">
        <f t="shared" si="15"/>
        <v>#N/A</v>
      </c>
      <c r="AB33" s="1815" t="e">
        <f t="shared" si="16"/>
        <v>#N/A</v>
      </c>
      <c r="AC33" s="1815"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4"/>
      <c r="Q34" s="1814" t="str">
        <f t="shared" si="11"/>
        <v>建筑结构</v>
      </c>
      <c r="R34" s="774" t="s">
        <v>21</v>
      </c>
      <c r="S34" s="775">
        <f t="shared" si="12"/>
        <v>100</v>
      </c>
      <c r="T34" s="774" t="s">
        <v>21</v>
      </c>
      <c r="U34" s="775">
        <f t="shared" si="13"/>
        <v>100</v>
      </c>
      <c r="V34" s="774" t="s">
        <v>21</v>
      </c>
      <c r="W34" s="775">
        <f t="shared" si="14"/>
        <v>100</v>
      </c>
      <c r="X34" s="1817"/>
      <c r="Y34" s="3196"/>
      <c r="Z34" s="1818" t="str">
        <f t="shared" si="18"/>
        <v>建筑结构</v>
      </c>
      <c r="AA34" s="1815">
        <f t="shared" si="15"/>
        <v>1</v>
      </c>
      <c r="AB34" s="1815">
        <f t="shared" si="16"/>
        <v>1</v>
      </c>
      <c r="AC34" s="1815">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4"/>
      <c r="Q35" s="1814" t="str">
        <f t="shared" si="11"/>
        <v>建筑品质</v>
      </c>
      <c r="R35" s="774" t="s">
        <v>21</v>
      </c>
      <c r="S35" s="775">
        <f t="shared" si="12"/>
        <v>100</v>
      </c>
      <c r="T35" s="774" t="s">
        <v>21</v>
      </c>
      <c r="U35" s="775">
        <f t="shared" si="13"/>
        <v>100</v>
      </c>
      <c r="V35" s="774" t="s">
        <v>21</v>
      </c>
      <c r="W35" s="775">
        <f t="shared" si="14"/>
        <v>100</v>
      </c>
      <c r="X35" s="1817"/>
      <c r="Y35" s="3196"/>
      <c r="Z35" s="1818" t="str">
        <f t="shared" si="18"/>
        <v>建筑品质</v>
      </c>
      <c r="AA35" s="1815">
        <f t="shared" si="15"/>
        <v>1</v>
      </c>
      <c r="AB35" s="1815">
        <f t="shared" si="16"/>
        <v>1</v>
      </c>
      <c r="AC35" s="1815">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4"/>
      <c r="Q36" s="1814" t="str">
        <f t="shared" si="11"/>
        <v>公共部分装修</v>
      </c>
      <c r="R36" s="774" t="s">
        <v>21</v>
      </c>
      <c r="S36" s="775">
        <f t="shared" si="12"/>
        <v>100</v>
      </c>
      <c r="T36" s="774" t="s">
        <v>21</v>
      </c>
      <c r="U36" s="775">
        <f t="shared" si="13"/>
        <v>100</v>
      </c>
      <c r="V36" s="774" t="s">
        <v>21</v>
      </c>
      <c r="W36" s="775">
        <f t="shared" si="14"/>
        <v>100</v>
      </c>
      <c r="X36" s="1817"/>
      <c r="Y36" s="3196"/>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9"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4" t="s">
        <v>2568</v>
      </c>
      <c r="Q38" s="1814" t="str">
        <f t="shared" si="11"/>
        <v>物业管理</v>
      </c>
      <c r="R38" s="774" t="s">
        <v>21</v>
      </c>
      <c r="S38" s="775">
        <f t="shared" si="12"/>
        <v>100</v>
      </c>
      <c r="T38" s="774" t="s">
        <v>21</v>
      </c>
      <c r="U38" s="775">
        <f t="shared" si="13"/>
        <v>100</v>
      </c>
      <c r="V38" s="774" t="s">
        <v>21</v>
      </c>
      <c r="W38" s="775">
        <f t="shared" si="14"/>
        <v>100</v>
      </c>
      <c r="X38" s="1817"/>
      <c r="Y38" s="3196" t="s">
        <v>2568</v>
      </c>
      <c r="Z38" s="1818" t="str">
        <f t="shared" si="18"/>
        <v>物业管理</v>
      </c>
      <c r="AA38" s="1815">
        <f t="shared" si="15"/>
        <v>1</v>
      </c>
      <c r="AB38" s="1815">
        <f t="shared" si="16"/>
        <v>1</v>
      </c>
      <c r="AC38" s="1815">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4"/>
      <c r="Q39" s="1814" t="str">
        <f t="shared" si="11"/>
        <v>市政基础设施</v>
      </c>
      <c r="R39" s="774" t="s">
        <v>21</v>
      </c>
      <c r="S39" s="775">
        <f t="shared" si="12"/>
        <v>100</v>
      </c>
      <c r="T39" s="774" t="s">
        <v>21</v>
      </c>
      <c r="U39" s="775">
        <f t="shared" si="13"/>
        <v>100</v>
      </c>
      <c r="V39" s="774" t="s">
        <v>21</v>
      </c>
      <c r="W39" s="775">
        <f t="shared" si="14"/>
        <v>100</v>
      </c>
      <c r="X39" s="1817"/>
      <c r="Y39" s="3196"/>
      <c r="Z39" s="1818" t="str">
        <f t="shared" si="18"/>
        <v>市政基础设施</v>
      </c>
      <c r="AA39" s="1815">
        <f t="shared" si="15"/>
        <v>1</v>
      </c>
      <c r="AB39" s="1815">
        <f t="shared" si="16"/>
        <v>1</v>
      </c>
      <c r="AC39" s="1815">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4"/>
      <c r="Q40" s="1814" t="str">
        <f t="shared" si="11"/>
        <v>房型</v>
      </c>
      <c r="R40" s="774" t="s">
        <v>21</v>
      </c>
      <c r="S40" s="775">
        <f t="shared" si="12"/>
        <v>100</v>
      </c>
      <c r="T40" s="774" t="s">
        <v>21</v>
      </c>
      <c r="U40" s="775">
        <f t="shared" si="13"/>
        <v>100</v>
      </c>
      <c r="V40" s="774" t="s">
        <v>21</v>
      </c>
      <c r="W40" s="775">
        <f t="shared" si="14"/>
        <v>100</v>
      </c>
      <c r="X40" s="1817"/>
      <c r="Y40" s="3196"/>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5">
        <f t="shared" si="15"/>
        <v>1</v>
      </c>
      <c r="AB41" s="1815">
        <f t="shared" si="16"/>
        <v>1</v>
      </c>
      <c r="AC41" s="1815">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4"/>
      <c r="Q42" s="1814" t="str">
        <f t="shared" si="11"/>
        <v>内部装修</v>
      </c>
      <c r="R42" s="774" t="s">
        <v>21</v>
      </c>
      <c r="S42" s="775">
        <f t="shared" si="12"/>
        <v>100</v>
      </c>
      <c r="T42" s="774" t="s">
        <v>21</v>
      </c>
      <c r="U42" s="775">
        <f t="shared" si="13"/>
        <v>100</v>
      </c>
      <c r="V42" s="774" t="s">
        <v>21</v>
      </c>
      <c r="W42" s="775">
        <f t="shared" si="14"/>
        <v>100</v>
      </c>
      <c r="X42" s="1817"/>
      <c r="Y42" s="3196"/>
      <c r="Z42" s="1818" t="str">
        <f t="shared" si="18"/>
        <v>内部装修</v>
      </c>
      <c r="AA42" s="1815">
        <f t="shared" si="15"/>
        <v>1</v>
      </c>
      <c r="AB42" s="1815">
        <f t="shared" si="16"/>
        <v>1</v>
      </c>
      <c r="AC42" s="1815">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4"/>
      <c r="Q43" s="1814" t="str">
        <f t="shared" si="11"/>
        <v>内部装修维护情况</v>
      </c>
      <c r="R43" s="774" t="s">
        <v>21</v>
      </c>
      <c r="S43" s="775">
        <f t="shared" si="12"/>
        <v>100</v>
      </c>
      <c r="T43" s="774" t="s">
        <v>21</v>
      </c>
      <c r="U43" s="775">
        <f t="shared" si="13"/>
        <v>100</v>
      </c>
      <c r="V43" s="774" t="s">
        <v>21</v>
      </c>
      <c r="W43" s="775">
        <f t="shared" si="14"/>
        <v>100</v>
      </c>
      <c r="X43" s="1817"/>
      <c r="Y43" s="3196"/>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4"/>
      <c r="Q44" s="1799">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4"/>
      <c r="Q45" s="1814">
        <f t="shared" si="11"/>
        <v>111</v>
      </c>
      <c r="R45" s="774" t="s">
        <v>21</v>
      </c>
      <c r="S45" s="775">
        <f t="shared" si="12"/>
        <v>100</v>
      </c>
      <c r="T45" s="774" t="s">
        <v>21</v>
      </c>
      <c r="U45" s="775">
        <f t="shared" si="13"/>
        <v>100</v>
      </c>
      <c r="V45" s="774" t="s">
        <v>21</v>
      </c>
      <c r="W45" s="775">
        <f t="shared" si="14"/>
        <v>100</v>
      </c>
      <c r="X45" s="1817"/>
      <c r="Y45" s="3196"/>
      <c r="Z45" s="1818">
        <f t="shared" si="18"/>
        <v>111</v>
      </c>
      <c r="AA45" s="1815">
        <f t="shared" si="15"/>
        <v>1</v>
      </c>
      <c r="AB45" s="1815">
        <f t="shared" si="16"/>
        <v>1</v>
      </c>
      <c r="AC45" s="1815">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5"/>
      <c r="Q46" s="1814">
        <f t="shared" si="11"/>
        <v>111</v>
      </c>
      <c r="R46" s="774" t="s">
        <v>20</v>
      </c>
      <c r="S46" s="775">
        <f t="shared" si="12"/>
        <v>100</v>
      </c>
      <c r="T46" s="774" t="s">
        <v>20</v>
      </c>
      <c r="U46" s="775">
        <f t="shared" si="13"/>
        <v>100</v>
      </c>
      <c r="V46" s="774" t="s">
        <v>20</v>
      </c>
      <c r="W46" s="775">
        <f t="shared" si="14"/>
        <v>100</v>
      </c>
      <c r="X46" s="1817"/>
      <c r="Y46" s="3197"/>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7"/>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3"/>
      <c r="C59" s="1577">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8" t="s">
        <v>2645</v>
      </c>
      <c r="C1" s="1638" t="s">
        <v>2533</v>
      </c>
      <c r="D1" s="1625"/>
      <c r="E1" s="2663"/>
      <c r="F1" s="2590"/>
      <c r="G1" s="1635" t="s">
        <v>2646</v>
      </c>
      <c r="H1" s="1634"/>
      <c r="I1" s="1634"/>
      <c r="J1" s="1634"/>
      <c r="K1" s="1636"/>
      <c r="L1" s="1637"/>
      <c r="M1" s="1638"/>
      <c r="N1" s="1638"/>
      <c r="O1" s="1638"/>
      <c r="P1" s="2664"/>
      <c r="Q1" s="2665"/>
      <c r="R1" s="2665"/>
      <c r="S1" s="2665"/>
      <c r="T1" s="2665"/>
      <c r="U1" s="2665"/>
      <c r="V1" s="2665"/>
      <c r="W1" s="2665"/>
      <c r="X1" s="2665"/>
      <c r="Y1" s="2665"/>
      <c r="Z1" s="2665"/>
      <c r="AA1" s="2665"/>
      <c r="AB1" s="2665"/>
      <c r="AC1" s="2666"/>
    </row>
    <row r="2" spans="1:29" s="398" customFormat="1" ht="28.5" customHeight="1" thickTop="1">
      <c r="A2" s="1621"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84"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84"/>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84"/>
      <c r="AC6" s="3156"/>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2563</v>
      </c>
      <c r="Q15" s="1814" t="str">
        <f t="shared" si="6"/>
        <v>商业繁华度</v>
      </c>
      <c r="R15" s="774" t="s">
        <v>17</v>
      </c>
      <c r="S15" s="775">
        <f t="shared" si="0"/>
        <v>100</v>
      </c>
      <c r="T15" s="774" t="s">
        <v>17</v>
      </c>
      <c r="U15" s="775">
        <f t="shared" si="1"/>
        <v>100</v>
      </c>
      <c r="V15" s="774" t="s">
        <v>17</v>
      </c>
      <c r="W15" s="775">
        <f t="shared" si="2"/>
        <v>100</v>
      </c>
      <c r="X15" s="1817"/>
      <c r="Y15" s="3191"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1815">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1815">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34"/>
      <c r="P22" s="3199"/>
      <c r="Q22" s="1814"/>
      <c r="R22" s="774"/>
      <c r="S22" s="775"/>
      <c r="T22" s="774"/>
      <c r="U22" s="775"/>
      <c r="V22" s="774"/>
      <c r="W22" s="775"/>
      <c r="X22" s="1817"/>
      <c r="Y22" s="3192"/>
      <c r="Z22" s="1818"/>
      <c r="AA22" s="1815">
        <v>1</v>
      </c>
      <c r="AB22" s="1815">
        <v>1</v>
      </c>
      <c r="AC22" s="1815">
        <v>1</v>
      </c>
    </row>
    <row r="23" spans="1:29" ht="57">
      <c r="A23" s="428"/>
      <c r="B23" s="451" t="s">
        <v>2104</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4" t="str">
        <f>B23</f>
        <v>自然及人文环境</v>
      </c>
      <c r="R23" s="774" t="s">
        <v>17</v>
      </c>
      <c r="S23" s="775">
        <f>F23</f>
        <v>100</v>
      </c>
      <c r="T23" s="774" t="s">
        <v>17</v>
      </c>
      <c r="U23" s="775">
        <f>H23</f>
        <v>100</v>
      </c>
      <c r="V23" s="774" t="s">
        <v>17</v>
      </c>
      <c r="W23" s="775">
        <f>J23</f>
        <v>100</v>
      </c>
      <c r="X23" s="1817"/>
      <c r="Y23" s="3192"/>
      <c r="Z23" s="1818" t="str">
        <f>Q23</f>
        <v>自然及人文环境</v>
      </c>
      <c r="AA23" s="1815">
        <f t="shared" si="3"/>
        <v>1</v>
      </c>
      <c r="AB23" s="1815">
        <f t="shared" si="4"/>
        <v>1</v>
      </c>
      <c r="AC23" s="1815">
        <f t="shared" si="5"/>
        <v>1</v>
      </c>
    </row>
    <row r="24" spans="1:29" ht="15">
      <c r="A24" s="428"/>
      <c r="B24" s="456"/>
      <c r="C24" s="447"/>
      <c r="D24" s="448"/>
      <c r="E24" s="2611"/>
      <c r="F24" s="449"/>
      <c r="G24" s="2610"/>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4" t="str">
        <f t="shared" ref="Q25:Q46" si="11">B25</f>
        <v>临街状况</v>
      </c>
      <c r="R25" s="774" t="s">
        <v>17</v>
      </c>
      <c r="S25" s="775">
        <f>F25</f>
        <v>100</v>
      </c>
      <c r="T25" s="774" t="s">
        <v>17</v>
      </c>
      <c r="U25" s="775">
        <f>H25</f>
        <v>100</v>
      </c>
      <c r="V25" s="774" t="s">
        <v>17</v>
      </c>
      <c r="W25" s="775">
        <f>J25</f>
        <v>100</v>
      </c>
      <c r="X25" s="1817"/>
      <c r="Y25" s="3192"/>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4" t="str">
        <f t="shared" si="11"/>
        <v>平面位置/可视性</v>
      </c>
      <c r="R26" s="774" t="s">
        <v>17</v>
      </c>
      <c r="S26" s="775">
        <f>F26</f>
        <v>100</v>
      </c>
      <c r="T26" s="774" t="s">
        <v>17</v>
      </c>
      <c r="U26" s="775">
        <f>H26</f>
        <v>100</v>
      </c>
      <c r="V26" s="774" t="s">
        <v>17</v>
      </c>
      <c r="W26" s="775">
        <f>J26</f>
        <v>100</v>
      </c>
      <c r="X26" s="1817"/>
      <c r="Y26" s="3192"/>
      <c r="Z26" s="1818" t="str">
        <f>Q26</f>
        <v>平面位置/可视性</v>
      </c>
      <c r="AA26" s="1815">
        <f t="shared" si="3"/>
        <v>1</v>
      </c>
      <c r="AB26" s="1815">
        <f t="shared" si="4"/>
        <v>1</v>
      </c>
      <c r="AC26" s="1815">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9"/>
      <c r="Q27" s="1799" t="str">
        <f t="shared" si="11"/>
        <v>人流量</v>
      </c>
      <c r="R27" s="770" t="s">
        <v>17</v>
      </c>
      <c r="S27" s="771">
        <f>F27</f>
        <v>100</v>
      </c>
      <c r="T27" s="770" t="s">
        <v>17</v>
      </c>
      <c r="U27" s="771">
        <f>H27</f>
        <v>100</v>
      </c>
      <c r="V27" s="770" t="s">
        <v>17</v>
      </c>
      <c r="W27" s="771">
        <f>J27</f>
        <v>100</v>
      </c>
      <c r="X27" s="772"/>
      <c r="Y27" s="3192"/>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92"/>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4">
        <f t="shared" si="11"/>
        <v>111</v>
      </c>
      <c r="R29" s="774" t="s">
        <v>17</v>
      </c>
      <c r="S29" s="775">
        <f t="shared" si="12"/>
        <v>100</v>
      </c>
      <c r="T29" s="774" t="s">
        <v>17</v>
      </c>
      <c r="U29" s="775">
        <f t="shared" si="13"/>
        <v>100</v>
      </c>
      <c r="V29" s="774" t="s">
        <v>17</v>
      </c>
      <c r="W29" s="775">
        <f t="shared" si="14"/>
        <v>100</v>
      </c>
      <c r="X29" s="1817"/>
      <c r="Y29" s="3192"/>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1815">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3" t="s">
        <v>2568</v>
      </c>
      <c r="Q32" s="1814" t="str">
        <f t="shared" si="11"/>
        <v>商业类型</v>
      </c>
      <c r="R32" s="774" t="s">
        <v>17</v>
      </c>
      <c r="S32" s="775">
        <f t="shared" si="12"/>
        <v>100</v>
      </c>
      <c r="T32" s="774" t="s">
        <v>17</v>
      </c>
      <c r="U32" s="775">
        <f t="shared" si="13"/>
        <v>100</v>
      </c>
      <c r="V32" s="774" t="s">
        <v>17</v>
      </c>
      <c r="W32" s="775">
        <f t="shared" si="14"/>
        <v>100</v>
      </c>
      <c r="X32" s="1817"/>
      <c r="Y32" s="3196"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5" t="e">
        <f t="shared" si="3"/>
        <v>#N/A</v>
      </c>
      <c r="AB33" s="1815" t="e">
        <f t="shared" si="4"/>
        <v>#N/A</v>
      </c>
      <c r="AC33" s="1815"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4"/>
      <c r="Q34" s="1814" t="str">
        <f t="shared" si="11"/>
        <v>建筑结构</v>
      </c>
      <c r="R34" s="774" t="s">
        <v>17</v>
      </c>
      <c r="S34" s="775">
        <f t="shared" si="12"/>
        <v>100</v>
      </c>
      <c r="T34" s="774" t="s">
        <v>17</v>
      </c>
      <c r="U34" s="775">
        <f t="shared" si="13"/>
        <v>100</v>
      </c>
      <c r="V34" s="774" t="s">
        <v>17</v>
      </c>
      <c r="W34" s="775">
        <f t="shared" si="14"/>
        <v>100</v>
      </c>
      <c r="X34" s="1817"/>
      <c r="Y34" s="3196"/>
      <c r="Z34" s="1818" t="str">
        <f t="shared" si="15"/>
        <v>建筑结构</v>
      </c>
      <c r="AA34" s="1815">
        <f t="shared" si="3"/>
        <v>1</v>
      </c>
      <c r="AB34" s="1815">
        <f t="shared" si="4"/>
        <v>1</v>
      </c>
      <c r="AC34" s="1815">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4"/>
      <c r="Q35" s="1814" t="str">
        <f t="shared" si="11"/>
        <v>公共部分装修</v>
      </c>
      <c r="R35" s="774" t="s">
        <v>17</v>
      </c>
      <c r="S35" s="775">
        <f t="shared" si="12"/>
        <v>100</v>
      </c>
      <c r="T35" s="774" t="s">
        <v>17</v>
      </c>
      <c r="U35" s="775">
        <f t="shared" si="13"/>
        <v>100</v>
      </c>
      <c r="V35" s="774" t="s">
        <v>17</v>
      </c>
      <c r="W35" s="775">
        <f t="shared" si="14"/>
        <v>100</v>
      </c>
      <c r="X35" s="1817"/>
      <c r="Y35" s="3196"/>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4" t="str">
        <f t="shared" si="11"/>
        <v>成新度</v>
      </c>
      <c r="R36" s="774" t="s">
        <v>17</v>
      </c>
      <c r="S36" s="775" t="e">
        <f t="shared" si="12"/>
        <v>#N/A</v>
      </c>
      <c r="T36" s="774" t="s">
        <v>17</v>
      </c>
      <c r="U36" s="775" t="e">
        <f t="shared" si="13"/>
        <v>#N/A</v>
      </c>
      <c r="V36" s="774" t="s">
        <v>17</v>
      </c>
      <c r="W36" s="775" t="e">
        <f t="shared" si="14"/>
        <v>#N/A</v>
      </c>
      <c r="X36" s="1817"/>
      <c r="Y36" s="3196"/>
      <c r="Z36" s="1818" t="str">
        <f t="shared" si="15"/>
        <v>成新度</v>
      </c>
      <c r="AA36" s="1815" t="e">
        <f t="shared" si="3"/>
        <v>#N/A</v>
      </c>
      <c r="AB36" s="1815" t="e">
        <f t="shared" si="4"/>
        <v>#N/A</v>
      </c>
      <c r="AC36" s="1815"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4"/>
      <c r="Q37" s="1799"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4" t="s">
        <v>2568</v>
      </c>
      <c r="Q38" s="1814" t="str">
        <f t="shared" si="11"/>
        <v>业态</v>
      </c>
      <c r="R38" s="774" t="s">
        <v>17</v>
      </c>
      <c r="S38" s="775">
        <f t="shared" si="12"/>
        <v>100</v>
      </c>
      <c r="T38" s="774" t="s">
        <v>17</v>
      </c>
      <c r="U38" s="775">
        <f t="shared" si="13"/>
        <v>100</v>
      </c>
      <c r="V38" s="774" t="s">
        <v>17</v>
      </c>
      <c r="W38" s="775">
        <f t="shared" si="14"/>
        <v>100</v>
      </c>
      <c r="X38" s="1817"/>
      <c r="Y38" s="3196" t="s">
        <v>2568</v>
      </c>
      <c r="Z38" s="1818" t="str">
        <f t="shared" si="15"/>
        <v>业态</v>
      </c>
      <c r="AA38" s="1815">
        <f t="shared" si="3"/>
        <v>1</v>
      </c>
      <c r="AB38" s="1815">
        <f t="shared" si="4"/>
        <v>1</v>
      </c>
      <c r="AC38" s="1815">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4"/>
      <c r="Q39" s="1814" t="str">
        <f t="shared" si="11"/>
        <v>层高</v>
      </c>
      <c r="R39" s="774" t="s">
        <v>17</v>
      </c>
      <c r="S39" s="775">
        <f t="shared" si="12"/>
        <v>100</v>
      </c>
      <c r="T39" s="774" t="s">
        <v>17</v>
      </c>
      <c r="U39" s="775">
        <f t="shared" si="13"/>
        <v>100</v>
      </c>
      <c r="V39" s="774" t="s">
        <v>17</v>
      </c>
      <c r="W39" s="775">
        <f t="shared" si="14"/>
        <v>100</v>
      </c>
      <c r="X39" s="1817"/>
      <c r="Y39" s="3196"/>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4" t="str">
        <f t="shared" si="11"/>
        <v>单套建筑面积</v>
      </c>
      <c r="R40" s="774" t="s">
        <v>17</v>
      </c>
      <c r="S40" s="775">
        <f t="shared" si="12"/>
        <v>100</v>
      </c>
      <c r="T40" s="774" t="s">
        <v>17</v>
      </c>
      <c r="U40" s="775">
        <f t="shared" si="13"/>
        <v>100</v>
      </c>
      <c r="V40" s="774" t="s">
        <v>17</v>
      </c>
      <c r="W40" s="775">
        <f t="shared" si="14"/>
        <v>100</v>
      </c>
      <c r="X40" s="1817"/>
      <c r="Y40" s="3196"/>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5">
        <f t="shared" si="3"/>
        <v>1</v>
      </c>
      <c r="AB41" s="1815">
        <f t="shared" si="4"/>
        <v>1</v>
      </c>
      <c r="AC41" s="1815">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4"/>
      <c r="Q42" s="1814" t="str">
        <f t="shared" si="11"/>
        <v>内部装修</v>
      </c>
      <c r="R42" s="774" t="s">
        <v>17</v>
      </c>
      <c r="S42" s="775">
        <f t="shared" si="12"/>
        <v>100</v>
      </c>
      <c r="T42" s="774" t="s">
        <v>17</v>
      </c>
      <c r="U42" s="775">
        <f t="shared" si="13"/>
        <v>100</v>
      </c>
      <c r="V42" s="774" t="s">
        <v>17</v>
      </c>
      <c r="W42" s="775">
        <f t="shared" si="14"/>
        <v>100</v>
      </c>
      <c r="X42" s="1817"/>
      <c r="Y42" s="3196"/>
      <c r="Z42" s="1818" t="str">
        <f t="shared" si="15"/>
        <v>内部装修</v>
      </c>
      <c r="AA42" s="1815">
        <f t="shared" si="3"/>
        <v>1</v>
      </c>
      <c r="AB42" s="1815">
        <f t="shared" si="4"/>
        <v>1</v>
      </c>
      <c r="AC42" s="1815">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4"/>
      <c r="Q43" s="1814" t="str">
        <f t="shared" si="11"/>
        <v>内部装修维护情况</v>
      </c>
      <c r="R43" s="774" t="s">
        <v>17</v>
      </c>
      <c r="S43" s="775">
        <f t="shared" si="12"/>
        <v>100</v>
      </c>
      <c r="T43" s="774" t="s">
        <v>17</v>
      </c>
      <c r="U43" s="775">
        <f t="shared" si="13"/>
        <v>100</v>
      </c>
      <c r="V43" s="774" t="s">
        <v>17</v>
      </c>
      <c r="W43" s="775">
        <f t="shared" si="14"/>
        <v>100</v>
      </c>
      <c r="X43" s="1817"/>
      <c r="Y43" s="3196"/>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9">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4">
        <f t="shared" si="11"/>
        <v>111</v>
      </c>
      <c r="R45" s="774" t="s">
        <v>17</v>
      </c>
      <c r="S45" s="775">
        <f t="shared" si="12"/>
        <v>100</v>
      </c>
      <c r="T45" s="774" t="s">
        <v>17</v>
      </c>
      <c r="U45" s="775">
        <f t="shared" si="13"/>
        <v>100</v>
      </c>
      <c r="V45" s="774" t="s">
        <v>17</v>
      </c>
      <c r="W45" s="775">
        <f t="shared" si="14"/>
        <v>100</v>
      </c>
      <c r="X45" s="1817"/>
      <c r="Y45" s="3196"/>
      <c r="Z45" s="1818">
        <f t="shared" si="15"/>
        <v>111</v>
      </c>
      <c r="AA45" s="1815">
        <f t="shared" si="3"/>
        <v>1</v>
      </c>
      <c r="AB45" s="1815">
        <f t="shared" si="4"/>
        <v>1</v>
      </c>
      <c r="AC45" s="1815">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4">
        <f t="shared" si="11"/>
        <v>111</v>
      </c>
      <c r="R46" s="774" t="s">
        <v>17</v>
      </c>
      <c r="S46" s="775">
        <f t="shared" si="12"/>
        <v>100</v>
      </c>
      <c r="T46" s="774" t="s">
        <v>17</v>
      </c>
      <c r="U46" s="775">
        <f t="shared" si="13"/>
        <v>100</v>
      </c>
      <c r="V46" s="774" t="s">
        <v>17</v>
      </c>
      <c r="W46" s="775">
        <f t="shared" si="14"/>
        <v>100</v>
      </c>
      <c r="X46" s="1817"/>
      <c r="Y46" s="3197"/>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89" t="str">
        <f>A47</f>
        <v>成交单价（元/平方米）</v>
      </c>
      <c r="Q47" s="3189"/>
      <c r="R47" s="3184">
        <f>E47</f>
        <v>0</v>
      </c>
      <c r="S47" s="3184"/>
      <c r="T47" s="3184">
        <f>G47</f>
        <v>0</v>
      </c>
      <c r="U47" s="3184"/>
      <c r="V47" s="3184">
        <f>I47</f>
        <v>0</v>
      </c>
      <c r="W47" s="3184"/>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2689</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4734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206" t="s">
        <v>2654</v>
      </c>
      <c r="Q4" s="3207"/>
      <c r="R4" s="3201" t="s">
        <v>2650</v>
      </c>
      <c r="S4" s="3202"/>
      <c r="T4" s="3201" t="s">
        <v>2651</v>
      </c>
      <c r="U4" s="3202"/>
      <c r="V4" s="3210" t="s">
        <v>2652</v>
      </c>
      <c r="W4" s="3210"/>
      <c r="X4" s="2676"/>
      <c r="Y4" s="3201" t="s">
        <v>2654</v>
      </c>
      <c r="Z4" s="3202"/>
      <c r="AA4" s="3200" t="s">
        <v>2650</v>
      </c>
      <c r="AB4" s="3200" t="s">
        <v>2651</v>
      </c>
      <c r="AC4" s="3203" t="s">
        <v>2652</v>
      </c>
    </row>
    <row r="5" spans="1:29" ht="15">
      <c r="A5" s="404"/>
      <c r="B5" s="405"/>
      <c r="C5" s="3165" t="s">
        <v>2545</v>
      </c>
      <c r="D5" s="3166"/>
      <c r="E5" s="3163" t="s">
        <v>2546</v>
      </c>
      <c r="F5" s="3164"/>
      <c r="G5" s="3165" t="s">
        <v>2547</v>
      </c>
      <c r="H5" s="3166"/>
      <c r="I5" s="3165" t="s">
        <v>2548</v>
      </c>
      <c r="J5" s="3166"/>
      <c r="K5" s="610"/>
      <c r="L5" s="1133"/>
      <c r="M5" s="1134"/>
      <c r="N5" s="1134"/>
      <c r="O5" s="1134"/>
      <c r="P5" s="3208"/>
      <c r="Q5" s="3179"/>
      <c r="R5" s="3161"/>
      <c r="S5" s="3162"/>
      <c r="T5" s="3161"/>
      <c r="U5" s="3162"/>
      <c r="V5" s="3184"/>
      <c r="W5" s="3184"/>
      <c r="X5" s="1817"/>
      <c r="Y5" s="3161"/>
      <c r="Z5" s="3162"/>
      <c r="AA5" s="3155"/>
      <c r="AB5" s="3155"/>
      <c r="AC5" s="3204"/>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209"/>
      <c r="Q6" s="3181"/>
      <c r="R6" s="3161"/>
      <c r="S6" s="3162"/>
      <c r="T6" s="3182"/>
      <c r="U6" s="3183"/>
      <c r="V6" s="3184"/>
      <c r="W6" s="3184"/>
      <c r="X6" s="1817"/>
      <c r="Y6" s="3182"/>
      <c r="Z6" s="3183"/>
      <c r="AA6" s="3156"/>
      <c r="AB6" s="3156"/>
      <c r="AC6" s="3205"/>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1"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1" t="s">
        <v>2555</v>
      </c>
      <c r="Q8" s="3158"/>
      <c r="R8" s="770" t="s">
        <v>17</v>
      </c>
      <c r="S8" s="771">
        <f t="shared" si="0"/>
        <v>0</v>
      </c>
      <c r="T8" s="770" t="s">
        <v>17</v>
      </c>
      <c r="U8" s="771">
        <f t="shared" si="1"/>
        <v>0</v>
      </c>
      <c r="V8" s="770" t="s">
        <v>17</v>
      </c>
      <c r="W8" s="771">
        <f t="shared" si="2"/>
        <v>0</v>
      </c>
      <c r="X8" s="772"/>
      <c r="Y8" s="3157" t="s">
        <v>2555</v>
      </c>
      <c r="Z8" s="3158"/>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1"/>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1"/>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1"/>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2563</v>
      </c>
      <c r="Q15" s="1814" t="str">
        <f t="shared" si="6"/>
        <v>办公集聚程度</v>
      </c>
      <c r="R15" s="774" t="s">
        <v>17</v>
      </c>
      <c r="S15" s="775">
        <f t="shared" si="0"/>
        <v>100</v>
      </c>
      <c r="T15" s="774" t="s">
        <v>17</v>
      </c>
      <c r="U15" s="775">
        <f t="shared" si="1"/>
        <v>100</v>
      </c>
      <c r="V15" s="774" t="s">
        <v>17</v>
      </c>
      <c r="W15" s="775">
        <f t="shared" si="2"/>
        <v>100</v>
      </c>
      <c r="X15" s="1817"/>
      <c r="Y15" s="3191" t="s">
        <v>2563</v>
      </c>
      <c r="Z15" s="1818" t="str">
        <f t="shared" si="7"/>
        <v>办公集聚程度</v>
      </c>
      <c r="AA15" s="1815">
        <f t="shared" si="3"/>
        <v>1</v>
      </c>
      <c r="AB15" s="1815">
        <f t="shared" si="4"/>
        <v>1</v>
      </c>
      <c r="AC15" s="2680">
        <f t="shared" si="5"/>
        <v>1</v>
      </c>
    </row>
    <row r="16" spans="1:29" ht="15">
      <c r="A16" s="428"/>
      <c r="B16" s="630"/>
      <c r="C16" s="2617"/>
      <c r="D16" s="448"/>
      <c r="E16" s="447"/>
      <c r="F16" s="448"/>
      <c r="G16" s="2617"/>
      <c r="H16" s="450"/>
      <c r="I16" s="447"/>
      <c r="J16" s="448"/>
      <c r="K16" s="615"/>
      <c r="L16" s="1143"/>
      <c r="M16" s="1134"/>
      <c r="N16" s="1134"/>
      <c r="O16" s="1134"/>
      <c r="P16" s="3199"/>
      <c r="Q16" s="1814"/>
      <c r="R16" s="774"/>
      <c r="S16" s="775"/>
      <c r="T16" s="774"/>
      <c r="U16" s="775"/>
      <c r="V16" s="774"/>
      <c r="W16" s="775"/>
      <c r="X16" s="1817"/>
      <c r="Y16" s="3192"/>
      <c r="Z16" s="1818"/>
      <c r="AA16" s="1815">
        <v>1</v>
      </c>
      <c r="AB16" s="1815">
        <v>1</v>
      </c>
      <c r="AC16" s="2680">
        <v>1</v>
      </c>
    </row>
    <row r="17" spans="1:29" ht="71.25">
      <c r="A17" s="428"/>
      <c r="B17" s="631" t="s">
        <v>2099</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9"/>
      <c r="Q18" s="1814"/>
      <c r="R18" s="774"/>
      <c r="S18" s="775"/>
      <c r="T18" s="774"/>
      <c r="U18" s="775"/>
      <c r="V18" s="774"/>
      <c r="W18" s="775"/>
      <c r="X18" s="1817"/>
      <c r="Y18" s="3192"/>
      <c r="Z18" s="1818"/>
      <c r="AA18" s="1815">
        <v>1</v>
      </c>
      <c r="AB18" s="1815">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9"/>
      <c r="Q20" s="1814"/>
      <c r="R20" s="774"/>
      <c r="S20" s="775"/>
      <c r="T20" s="774"/>
      <c r="U20" s="775"/>
      <c r="V20" s="774"/>
      <c r="W20" s="775"/>
      <c r="X20" s="1817"/>
      <c r="Y20" s="3192"/>
      <c r="Z20" s="1818"/>
      <c r="AA20" s="1815">
        <v>1</v>
      </c>
      <c r="AB20" s="1815">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9"/>
      <c r="Q22" s="1814"/>
      <c r="R22" s="774"/>
      <c r="S22" s="775"/>
      <c r="T22" s="774"/>
      <c r="U22" s="775"/>
      <c r="V22" s="774"/>
      <c r="W22" s="775"/>
      <c r="X22" s="1817"/>
      <c r="Y22" s="3192"/>
      <c r="Z22" s="1818"/>
      <c r="AA22" s="1815">
        <v>1</v>
      </c>
      <c r="AB22" s="1815">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9"/>
      <c r="Q24" s="1814"/>
      <c r="R24" s="774"/>
      <c r="S24" s="775"/>
      <c r="T24" s="774"/>
      <c r="U24" s="775"/>
      <c r="V24" s="774"/>
      <c r="W24" s="775"/>
      <c r="X24" s="1817"/>
      <c r="Y24" s="3192"/>
      <c r="Z24" s="1818"/>
      <c r="AA24" s="1815">
        <v>1</v>
      </c>
      <c r="AB24" s="1815">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9"/>
      <c r="Q25" s="1814" t="str">
        <f>B25</f>
        <v>毗邻道路的类型与等级</v>
      </c>
      <c r="R25" s="774" t="s">
        <v>17</v>
      </c>
      <c r="S25" s="775">
        <f>F25</f>
        <v>100</v>
      </c>
      <c r="T25" s="774" t="s">
        <v>17</v>
      </c>
      <c r="U25" s="775">
        <f>H25</f>
        <v>100</v>
      </c>
      <c r="V25" s="774" t="s">
        <v>17</v>
      </c>
      <c r="W25" s="775">
        <f>J25</f>
        <v>100</v>
      </c>
      <c r="X25" s="1817"/>
      <c r="Y25" s="3192"/>
      <c r="Z25" s="1818" t="str">
        <f>Q25</f>
        <v>毗邻道路的类型与等级</v>
      </c>
      <c r="AA25" s="1815">
        <f t="shared" si="3"/>
        <v>1</v>
      </c>
      <c r="AB25" s="1815">
        <f t="shared" si="4"/>
        <v>1</v>
      </c>
      <c r="AC25" s="2680">
        <f t="shared" si="5"/>
        <v>1</v>
      </c>
    </row>
    <row r="26" spans="1:29" ht="15">
      <c r="A26" s="404"/>
      <c r="B26" s="632"/>
      <c r="C26" s="634"/>
      <c r="D26" s="435"/>
      <c r="E26" s="616"/>
      <c r="F26" s="435"/>
      <c r="G26" s="634"/>
      <c r="H26" s="435"/>
      <c r="I26" s="616"/>
      <c r="J26" s="435"/>
      <c r="K26" s="615"/>
      <c r="L26" s="1143"/>
      <c r="M26" s="1134"/>
      <c r="N26" s="1134"/>
      <c r="O26" s="1134"/>
      <c r="P26" s="3199"/>
      <c r="Q26" s="1814"/>
      <c r="R26" s="774"/>
      <c r="S26" s="775"/>
      <c r="T26" s="774"/>
      <c r="U26" s="775"/>
      <c r="V26" s="774"/>
      <c r="W26" s="775"/>
      <c r="X26" s="1817"/>
      <c r="Y26" s="3192"/>
      <c r="Z26" s="1818"/>
      <c r="AA26" s="1815">
        <v>1</v>
      </c>
      <c r="AB26" s="1815">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4" t="str">
        <f t="shared" ref="Q27:Q47" si="11">B27</f>
        <v>楼层</v>
      </c>
      <c r="R27" s="774" t="s">
        <v>17</v>
      </c>
      <c r="S27" s="775">
        <f>F27</f>
        <v>100</v>
      </c>
      <c r="T27" s="774" t="s">
        <v>17</v>
      </c>
      <c r="U27" s="775">
        <f>H27</f>
        <v>100</v>
      </c>
      <c r="V27" s="774" t="s">
        <v>17</v>
      </c>
      <c r="W27" s="775">
        <f>J27</f>
        <v>100</v>
      </c>
      <c r="X27" s="1817"/>
      <c r="Y27" s="3192"/>
      <c r="Z27" s="1818" t="str">
        <f>Q27</f>
        <v>楼层</v>
      </c>
      <c r="AA27" s="1815">
        <f t="shared" si="3"/>
        <v>1</v>
      </c>
      <c r="AB27" s="1815">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9"/>
      <c r="Q28" s="1799" t="str">
        <f t="shared" si="11"/>
        <v>朝向</v>
      </c>
      <c r="R28" s="770" t="s">
        <v>17</v>
      </c>
      <c r="S28" s="771">
        <f>F28</f>
        <v>100</v>
      </c>
      <c r="T28" s="770" t="s">
        <v>17</v>
      </c>
      <c r="U28" s="771">
        <f>H28</f>
        <v>100</v>
      </c>
      <c r="V28" s="770" t="s">
        <v>17</v>
      </c>
      <c r="W28" s="771">
        <f>J28</f>
        <v>100</v>
      </c>
      <c r="X28" s="772"/>
      <c r="Y28" s="3192"/>
      <c r="Z28" s="55" t="str">
        <f>Q28</f>
        <v>朝向</v>
      </c>
      <c r="AA28" s="1815">
        <f>D28/F28</f>
        <v>1</v>
      </c>
      <c r="AB28" s="1815">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9"/>
      <c r="Q29" s="1814">
        <f t="shared" si="11"/>
        <v>111</v>
      </c>
      <c r="R29" s="774" t="s">
        <v>17</v>
      </c>
      <c r="S29" s="775">
        <f t="shared" ref="S29:S47" si="12">F29</f>
        <v>100</v>
      </c>
      <c r="T29" s="774" t="s">
        <v>17</v>
      </c>
      <c r="U29" s="775">
        <f t="shared" ref="U29:U47" si="13">H29</f>
        <v>100</v>
      </c>
      <c r="V29" s="774" t="s">
        <v>17</v>
      </c>
      <c r="W29" s="775">
        <f t="shared" ref="W29:W47" si="14">J29</f>
        <v>100</v>
      </c>
      <c r="X29" s="1817"/>
      <c r="Y29" s="3192"/>
      <c r="Z29" s="1818">
        <f t="shared" ref="Z29:Z47" si="15">Q29</f>
        <v>111</v>
      </c>
      <c r="AA29" s="1815">
        <f t="shared" si="3"/>
        <v>1</v>
      </c>
      <c r="AB29" s="1815">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9"/>
      <c r="Q30" s="1814">
        <f t="shared" si="11"/>
        <v>111</v>
      </c>
      <c r="R30" s="774" t="s">
        <v>17</v>
      </c>
      <c r="S30" s="775">
        <f t="shared" si="12"/>
        <v>100</v>
      </c>
      <c r="T30" s="774" t="s">
        <v>17</v>
      </c>
      <c r="U30" s="775">
        <f t="shared" si="13"/>
        <v>100</v>
      </c>
      <c r="V30" s="774" t="s">
        <v>17</v>
      </c>
      <c r="W30" s="775">
        <f t="shared" si="14"/>
        <v>100</v>
      </c>
      <c r="X30" s="1817"/>
      <c r="Y30" s="3192"/>
      <c r="Z30" s="1818">
        <f t="shared" si="15"/>
        <v>111</v>
      </c>
      <c r="AA30" s="1815">
        <f t="shared" si="3"/>
        <v>1</v>
      </c>
      <c r="AB30" s="1815">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9"/>
      <c r="Q31" s="1814">
        <f t="shared" si="11"/>
        <v>111</v>
      </c>
      <c r="R31" s="774" t="s">
        <v>17</v>
      </c>
      <c r="S31" s="775">
        <f t="shared" si="12"/>
        <v>100</v>
      </c>
      <c r="T31" s="774" t="s">
        <v>17</v>
      </c>
      <c r="U31" s="775">
        <f t="shared" si="13"/>
        <v>100</v>
      </c>
      <c r="V31" s="774" t="s">
        <v>17</v>
      </c>
      <c r="W31" s="775">
        <f t="shared" si="14"/>
        <v>100</v>
      </c>
      <c r="X31" s="1817"/>
      <c r="Y31" s="3192"/>
      <c r="Z31" s="1818">
        <f t="shared" si="15"/>
        <v>111</v>
      </c>
      <c r="AA31" s="1815">
        <f t="shared" si="3"/>
        <v>1</v>
      </c>
      <c r="AB31" s="1815">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9"/>
      <c r="Q32" s="1814">
        <f t="shared" si="11"/>
        <v>111</v>
      </c>
      <c r="R32" s="774" t="s">
        <v>17</v>
      </c>
      <c r="S32" s="775">
        <f t="shared" si="12"/>
        <v>100</v>
      </c>
      <c r="T32" s="774" t="s">
        <v>17</v>
      </c>
      <c r="U32" s="775">
        <f t="shared" si="13"/>
        <v>100</v>
      </c>
      <c r="V32" s="774" t="s">
        <v>17</v>
      </c>
      <c r="W32" s="775">
        <f t="shared" si="14"/>
        <v>100</v>
      </c>
      <c r="X32" s="1817"/>
      <c r="Y32" s="3192"/>
      <c r="Z32" s="1818">
        <f t="shared" si="15"/>
        <v>111</v>
      </c>
      <c r="AA32" s="1815">
        <f t="shared" si="3"/>
        <v>1</v>
      </c>
      <c r="AB32" s="1815">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3" t="s">
        <v>2568</v>
      </c>
      <c r="Q33" s="1814" t="str">
        <f t="shared" si="11"/>
        <v>建筑类型</v>
      </c>
      <c r="R33" s="774" t="s">
        <v>17</v>
      </c>
      <c r="S33" s="775">
        <f t="shared" si="12"/>
        <v>100</v>
      </c>
      <c r="T33" s="774" t="s">
        <v>17</v>
      </c>
      <c r="U33" s="775">
        <f t="shared" si="13"/>
        <v>100</v>
      </c>
      <c r="V33" s="774" t="s">
        <v>17</v>
      </c>
      <c r="W33" s="775">
        <f t="shared" si="14"/>
        <v>100</v>
      </c>
      <c r="X33" s="1817"/>
      <c r="Y33" s="3196" t="s">
        <v>2568</v>
      </c>
      <c r="Z33" s="1818" t="str">
        <f t="shared" si="15"/>
        <v>建筑类型</v>
      </c>
      <c r="AA33" s="1815">
        <f t="shared" si="3"/>
        <v>1</v>
      </c>
      <c r="AB33" s="1815">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5" t="e">
        <f t="shared" si="3"/>
        <v>#N/A</v>
      </c>
      <c r="AB34" s="1815"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4" t="str">
        <f t="shared" si="11"/>
        <v>建筑结构</v>
      </c>
      <c r="R35" s="774" t="s">
        <v>17</v>
      </c>
      <c r="S35" s="775">
        <f t="shared" si="12"/>
        <v>100</v>
      </c>
      <c r="T35" s="774" t="s">
        <v>17</v>
      </c>
      <c r="U35" s="775">
        <f t="shared" si="13"/>
        <v>100</v>
      </c>
      <c r="V35" s="774" t="s">
        <v>17</v>
      </c>
      <c r="W35" s="775">
        <f t="shared" si="14"/>
        <v>100</v>
      </c>
      <c r="X35" s="1817"/>
      <c r="Y35" s="3196"/>
      <c r="Z35" s="1818" t="str">
        <f t="shared" si="15"/>
        <v>建筑结构</v>
      </c>
      <c r="AA35" s="1815">
        <f t="shared" si="3"/>
        <v>1</v>
      </c>
      <c r="AB35" s="1815">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4" t="str">
        <f t="shared" si="11"/>
        <v>公共部分装修</v>
      </c>
      <c r="R36" s="774" t="s">
        <v>17</v>
      </c>
      <c r="S36" s="775">
        <f t="shared" si="12"/>
        <v>100</v>
      </c>
      <c r="T36" s="774" t="s">
        <v>17</v>
      </c>
      <c r="U36" s="775">
        <f t="shared" si="13"/>
        <v>100</v>
      </c>
      <c r="V36" s="774" t="s">
        <v>17</v>
      </c>
      <c r="W36" s="775">
        <f t="shared" si="14"/>
        <v>100</v>
      </c>
      <c r="X36" s="1817"/>
      <c r="Y36" s="3196"/>
      <c r="Z36" s="1818" t="str">
        <f t="shared" si="15"/>
        <v>公共部分装修</v>
      </c>
      <c r="AA36" s="1815">
        <f t="shared" si="3"/>
        <v>1</v>
      </c>
      <c r="AB36" s="1815">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4" t="str">
        <f t="shared" si="11"/>
        <v>成新度</v>
      </c>
      <c r="R37" s="774" t="s">
        <v>17</v>
      </c>
      <c r="S37" s="775" t="e">
        <f t="shared" si="12"/>
        <v>#N/A</v>
      </c>
      <c r="T37" s="774" t="s">
        <v>17</v>
      </c>
      <c r="U37" s="775" t="e">
        <f t="shared" si="13"/>
        <v>#N/A</v>
      </c>
      <c r="V37" s="774" t="s">
        <v>17</v>
      </c>
      <c r="W37" s="775" t="e">
        <f t="shared" si="14"/>
        <v>#N/A</v>
      </c>
      <c r="X37" s="1817"/>
      <c r="Y37" s="3196"/>
      <c r="Z37" s="1818" t="str">
        <f t="shared" si="15"/>
        <v>成新度</v>
      </c>
      <c r="AA37" s="1815" t="e">
        <f t="shared" si="3"/>
        <v>#N/A</v>
      </c>
      <c r="AB37" s="1815"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9"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2568</v>
      </c>
      <c r="Q39" s="1814" t="str">
        <f t="shared" si="11"/>
        <v>物业管理</v>
      </c>
      <c r="R39" s="774" t="s">
        <v>17</v>
      </c>
      <c r="S39" s="775">
        <f t="shared" si="12"/>
        <v>100</v>
      </c>
      <c r="T39" s="774" t="s">
        <v>17</v>
      </c>
      <c r="U39" s="775">
        <f t="shared" si="13"/>
        <v>100</v>
      </c>
      <c r="V39" s="774" t="s">
        <v>17</v>
      </c>
      <c r="W39" s="775">
        <f t="shared" si="14"/>
        <v>100</v>
      </c>
      <c r="X39" s="1817"/>
      <c r="Y39" s="3196" t="s">
        <v>2568</v>
      </c>
      <c r="Z39" s="1818" t="str">
        <f t="shared" si="15"/>
        <v>物业管理</v>
      </c>
      <c r="AA39" s="1815">
        <f t="shared" si="3"/>
        <v>1</v>
      </c>
      <c r="AB39" s="1815">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4" t="str">
        <f t="shared" si="11"/>
        <v>市政基础设施</v>
      </c>
      <c r="R40" s="774" t="s">
        <v>17</v>
      </c>
      <c r="S40" s="775">
        <f t="shared" si="12"/>
        <v>100</v>
      </c>
      <c r="T40" s="774" t="s">
        <v>17</v>
      </c>
      <c r="U40" s="775">
        <f t="shared" si="13"/>
        <v>100</v>
      </c>
      <c r="V40" s="774" t="s">
        <v>17</v>
      </c>
      <c r="W40" s="775">
        <f t="shared" si="14"/>
        <v>100</v>
      </c>
      <c r="X40" s="1817"/>
      <c r="Y40" s="3196"/>
      <c r="Z40" s="1818" t="str">
        <f t="shared" si="15"/>
        <v>市政基础设施</v>
      </c>
      <c r="AA40" s="1815">
        <f t="shared" si="3"/>
        <v>1</v>
      </c>
      <c r="AB40" s="1815">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4" t="str">
        <f t="shared" si="11"/>
        <v>层高</v>
      </c>
      <c r="R41" s="774" t="s">
        <v>17</v>
      </c>
      <c r="S41" s="775">
        <f t="shared" si="12"/>
        <v>100</v>
      </c>
      <c r="T41" s="774" t="s">
        <v>17</v>
      </c>
      <c r="U41" s="775">
        <f t="shared" si="13"/>
        <v>100</v>
      </c>
      <c r="V41" s="774" t="s">
        <v>17</v>
      </c>
      <c r="W41" s="775">
        <f t="shared" si="14"/>
        <v>100</v>
      </c>
      <c r="X41" s="1817"/>
      <c r="Y41" s="3196"/>
      <c r="Z41" s="1818" t="str">
        <f t="shared" si="15"/>
        <v>层高</v>
      </c>
      <c r="AA41" s="1815">
        <f t="shared" si="3"/>
        <v>1</v>
      </c>
      <c r="AB41" s="1815">
        <f t="shared" si="4"/>
        <v>1</v>
      </c>
      <c r="AC41" s="2680">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5">
        <f t="shared" si="3"/>
        <v>1</v>
      </c>
      <c r="AB42" s="1815">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4" t="str">
        <f t="shared" si="11"/>
        <v>内部装修</v>
      </c>
      <c r="R43" s="774" t="s">
        <v>17</v>
      </c>
      <c r="S43" s="775">
        <f t="shared" si="12"/>
        <v>100</v>
      </c>
      <c r="T43" s="774" t="s">
        <v>17</v>
      </c>
      <c r="U43" s="775">
        <f t="shared" si="13"/>
        <v>100</v>
      </c>
      <c r="V43" s="774" t="s">
        <v>17</v>
      </c>
      <c r="W43" s="775">
        <f t="shared" si="14"/>
        <v>100</v>
      </c>
      <c r="X43" s="1817"/>
      <c r="Y43" s="3196"/>
      <c r="Z43" s="1818" t="str">
        <f t="shared" si="15"/>
        <v>内部装修</v>
      </c>
      <c r="AA43" s="1815">
        <f t="shared" si="3"/>
        <v>1</v>
      </c>
      <c r="AB43" s="1815">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4"/>
      <c r="Q44" s="1814" t="str">
        <f t="shared" si="11"/>
        <v>内部装修维护情况</v>
      </c>
      <c r="R44" s="774" t="s">
        <v>17</v>
      </c>
      <c r="S44" s="775">
        <f t="shared" si="12"/>
        <v>100</v>
      </c>
      <c r="T44" s="774" t="s">
        <v>17</v>
      </c>
      <c r="U44" s="775">
        <f t="shared" si="13"/>
        <v>100</v>
      </c>
      <c r="V44" s="774" t="s">
        <v>17</v>
      </c>
      <c r="W44" s="775">
        <f t="shared" si="14"/>
        <v>100</v>
      </c>
      <c r="X44" s="1817"/>
      <c r="Y44" s="3196"/>
      <c r="Z44" s="1818" t="str">
        <f t="shared" si="15"/>
        <v>内部装修维护情况</v>
      </c>
      <c r="AA44" s="1815">
        <f t="shared" si="3"/>
        <v>1</v>
      </c>
      <c r="AB44" s="1815">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9">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4">
        <f t="shared" si="11"/>
        <v>111</v>
      </c>
      <c r="R46" s="774" t="s">
        <v>17</v>
      </c>
      <c r="S46" s="775">
        <f t="shared" si="12"/>
        <v>100</v>
      </c>
      <c r="T46" s="774" t="s">
        <v>17</v>
      </c>
      <c r="U46" s="775">
        <f t="shared" si="13"/>
        <v>100</v>
      </c>
      <c r="V46" s="774" t="s">
        <v>17</v>
      </c>
      <c r="W46" s="775">
        <f t="shared" si="14"/>
        <v>100</v>
      </c>
      <c r="X46" s="1817"/>
      <c r="Y46" s="3196"/>
      <c r="Z46" s="1818">
        <f t="shared" si="15"/>
        <v>111</v>
      </c>
      <c r="AA46" s="1815">
        <f t="shared" si="3"/>
        <v>1</v>
      </c>
      <c r="AB46" s="1815">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4">
        <f t="shared" si="11"/>
        <v>111</v>
      </c>
      <c r="R47" s="774" t="s">
        <v>17</v>
      </c>
      <c r="S47" s="775">
        <f t="shared" si="12"/>
        <v>100</v>
      </c>
      <c r="T47" s="774" t="s">
        <v>17</v>
      </c>
      <c r="U47" s="775">
        <f t="shared" si="13"/>
        <v>100</v>
      </c>
      <c r="V47" s="774" t="s">
        <v>17</v>
      </c>
      <c r="W47" s="775">
        <f t="shared" si="14"/>
        <v>100</v>
      </c>
      <c r="X47" s="1817"/>
      <c r="Y47" s="3197"/>
      <c r="Z47" s="1818">
        <f t="shared" si="15"/>
        <v>111</v>
      </c>
      <c r="AA47" s="1815">
        <f t="shared" si="3"/>
        <v>1</v>
      </c>
      <c r="AB47" s="1815">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1"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12" t="str">
        <f>A50</f>
        <v>估价对象XX用房的比较价值（楼面单价，元/平方米）</v>
      </c>
      <c r="Q50" s="3213"/>
      <c r="R50" s="3214" t="e">
        <f>IF(F1="售价",ROUND(AVERAGE(R49:V49),0),ROUND(AVERAGE(R49:V49),1))</f>
        <v>#DIV/0!</v>
      </c>
      <c r="S50" s="3214"/>
      <c r="T50" s="3214"/>
      <c r="U50" s="3214"/>
      <c r="V50" s="3214"/>
      <c r="W50" s="321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受贵公司委托，我公司对北京市东城区菊儿胡同33号13幢等4幢房地产抵押价值进行了预评估。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菊儿胡同33号13幢等4幢房地产，为北京房地集团有限公司所有。根据《国有土地使用证》[京东国用（2011出）00079号]，估价对象（分摊）出让国有建设用地使用权面积为1597.9平方米，建筑面积为4734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菊儿胡同33号13幢等4幢房地产,属北京房地集团有限公司开发建设的办公项目，该项目尚在开发建设中。根据《国有土地使用证》[京东国用（2011出）00079号]，估价对象（分摊）出让国有建设用地使用权面积为1597.9平方米，规划建筑面积为4734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39.84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39.84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5" t="s">
        <v>2705</v>
      </c>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4734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456"/>
      <c r="C18" s="2614"/>
      <c r="D18" s="450"/>
      <c r="E18" s="2616"/>
      <c r="F18" s="453"/>
      <c r="G18" s="2615"/>
      <c r="H18" s="448"/>
      <c r="I18" s="2616"/>
      <c r="J18" s="448"/>
      <c r="K18" s="615"/>
      <c r="L18" s="1143"/>
      <c r="M18" s="1134"/>
      <c r="N18" s="1134"/>
      <c r="O18" s="1142"/>
      <c r="P18" s="3192"/>
      <c r="Q18" s="1814"/>
      <c r="R18" s="774"/>
      <c r="S18" s="775"/>
      <c r="T18" s="774"/>
      <c r="U18" s="775"/>
      <c r="V18" s="774"/>
      <c r="W18" s="775"/>
      <c r="X18" s="1817"/>
      <c r="Y18" s="3192"/>
      <c r="Z18" s="1818"/>
      <c r="AA18" s="1815">
        <v>1</v>
      </c>
      <c r="AB18" s="1815">
        <v>1</v>
      </c>
      <c r="AC18" s="1815">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4" t="str">
        <f>B19</f>
        <v>公共配套设施</v>
      </c>
      <c r="R19" s="774" t="s">
        <v>17</v>
      </c>
      <c r="S19" s="775">
        <f>F19</f>
        <v>100</v>
      </c>
      <c r="T19" s="774" t="s">
        <v>17</v>
      </c>
      <c r="U19" s="775">
        <f>H19</f>
        <v>100</v>
      </c>
      <c r="V19" s="774" t="s">
        <v>17</v>
      </c>
      <c r="W19" s="775">
        <f>J19</f>
        <v>100</v>
      </c>
      <c r="X19" s="1817"/>
      <c r="Y19" s="3192"/>
      <c r="Z19" s="1818" t="str">
        <f>Q19</f>
        <v>公共配套设施</v>
      </c>
      <c r="AA19" s="1815">
        <f t="shared" si="3"/>
        <v>1</v>
      </c>
      <c r="AB19" s="1815">
        <f t="shared" si="4"/>
        <v>1</v>
      </c>
      <c r="AC19" s="1815">
        <f t="shared" si="5"/>
        <v>1</v>
      </c>
    </row>
    <row r="20" spans="1:29" ht="15">
      <c r="A20" s="428"/>
      <c r="B20" s="456"/>
      <c r="C20" s="447"/>
      <c r="D20" s="448"/>
      <c r="E20" s="2611"/>
      <c r="F20" s="449"/>
      <c r="G20" s="2610"/>
      <c r="H20" s="448"/>
      <c r="I20" s="2611"/>
      <c r="J20" s="448"/>
      <c r="K20" s="615"/>
      <c r="L20" s="1143"/>
      <c r="M20" s="1134"/>
      <c r="N20" s="1134"/>
      <c r="O20" s="1142"/>
      <c r="P20" s="3192"/>
      <c r="Q20" s="1814"/>
      <c r="R20" s="774"/>
      <c r="S20" s="775"/>
      <c r="T20" s="774"/>
      <c r="U20" s="775"/>
      <c r="V20" s="774"/>
      <c r="W20" s="775"/>
      <c r="X20" s="1817"/>
      <c r="Y20" s="3192"/>
      <c r="Z20" s="1818"/>
      <c r="AA20" s="1815">
        <v>1</v>
      </c>
      <c r="AB20" s="1815">
        <v>1</v>
      </c>
      <c r="AC20" s="1815">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4" t="str">
        <f>B21</f>
        <v>基础设施水平</v>
      </c>
      <c r="R21" s="774" t="s">
        <v>17</v>
      </c>
      <c r="S21" s="775">
        <f>F21</f>
        <v>100</v>
      </c>
      <c r="T21" s="774" t="s">
        <v>17</v>
      </c>
      <c r="U21" s="775">
        <f>H21</f>
        <v>100</v>
      </c>
      <c r="V21" s="774" t="s">
        <v>17</v>
      </c>
      <c r="W21" s="775">
        <f>J21</f>
        <v>100</v>
      </c>
      <c r="X21" s="1817"/>
      <c r="Y21" s="3192"/>
      <c r="Z21" s="1818" t="str">
        <f>Q21</f>
        <v>基础设施水平</v>
      </c>
      <c r="AA21" s="1815">
        <f t="shared" ref="AA21" si="8">D21/F21</f>
        <v>1</v>
      </c>
      <c r="AB21" s="1815">
        <f t="shared" ref="AB21" si="9">D21/H21</f>
        <v>1</v>
      </c>
      <c r="AC21" s="1815">
        <f t="shared" ref="AC21" si="10">D21/J21</f>
        <v>1</v>
      </c>
    </row>
    <row r="22" spans="1:29" ht="15">
      <c r="A22" s="428"/>
      <c r="B22" s="1387"/>
      <c r="C22" s="2614"/>
      <c r="D22" s="448"/>
      <c r="E22" s="447"/>
      <c r="F22" s="449"/>
      <c r="G22" s="447"/>
      <c r="H22" s="448"/>
      <c r="I22" s="447"/>
      <c r="J22" s="448"/>
      <c r="K22" s="1386"/>
      <c r="L22" s="1143"/>
      <c r="M22" s="1134"/>
      <c r="N22" s="1134"/>
      <c r="O22" s="1142"/>
      <c r="P22" s="3192"/>
      <c r="Q22" s="1814"/>
      <c r="R22" s="774"/>
      <c r="S22" s="775"/>
      <c r="T22" s="774"/>
      <c r="U22" s="775"/>
      <c r="V22" s="774"/>
      <c r="W22" s="775"/>
      <c r="X22" s="1817"/>
      <c r="Y22" s="3192"/>
      <c r="Z22" s="1818"/>
      <c r="AA22" s="1815">
        <v>1</v>
      </c>
      <c r="AB22" s="1815">
        <v>1</v>
      </c>
      <c r="AC22" s="1815">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4" t="str">
        <f>B23</f>
        <v>环境质量</v>
      </c>
      <c r="R23" s="774" t="s">
        <v>17</v>
      </c>
      <c r="S23" s="775">
        <f>F23</f>
        <v>100</v>
      </c>
      <c r="T23" s="774" t="s">
        <v>17</v>
      </c>
      <c r="U23" s="775">
        <f>H23</f>
        <v>100</v>
      </c>
      <c r="V23" s="774" t="s">
        <v>17</v>
      </c>
      <c r="W23" s="775">
        <f>J23</f>
        <v>100</v>
      </c>
      <c r="X23" s="1817"/>
      <c r="Y23" s="3192"/>
      <c r="Z23" s="1818" t="str">
        <f>Q23</f>
        <v>环境质量</v>
      </c>
      <c r="AA23" s="1815">
        <f t="shared" si="3"/>
        <v>1</v>
      </c>
      <c r="AB23" s="1815">
        <f t="shared" si="4"/>
        <v>1</v>
      </c>
      <c r="AC23" s="1815">
        <f t="shared" si="5"/>
        <v>1</v>
      </c>
    </row>
    <row r="24" spans="1:29" ht="15">
      <c r="A24" s="428"/>
      <c r="B24" s="1387"/>
      <c r="C24" s="447"/>
      <c r="D24" s="448"/>
      <c r="E24" s="2611"/>
      <c r="F24" s="449"/>
      <c r="G24" s="2610"/>
      <c r="H24" s="448"/>
      <c r="I24" s="2611"/>
      <c r="J24" s="448"/>
      <c r="K24" s="615"/>
      <c r="L24" s="1143"/>
      <c r="M24" s="1134"/>
      <c r="N24" s="1134"/>
      <c r="O24" s="1142"/>
      <c r="P24" s="3192"/>
      <c r="Q24" s="1814"/>
      <c r="R24" s="774"/>
      <c r="S24" s="775"/>
      <c r="T24" s="774"/>
      <c r="U24" s="775"/>
      <c r="V24" s="774"/>
      <c r="W24" s="775"/>
      <c r="X24" s="1817"/>
      <c r="Y24" s="3192"/>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4">
        <f>B25</f>
        <v>111</v>
      </c>
      <c r="R25" s="774" t="s">
        <v>17</v>
      </c>
      <c r="S25" s="775">
        <f>F25</f>
        <v>100</v>
      </c>
      <c r="T25" s="774" t="s">
        <v>17</v>
      </c>
      <c r="U25" s="775">
        <f>H25</f>
        <v>100</v>
      </c>
      <c r="V25" s="774" t="s">
        <v>17</v>
      </c>
      <c r="W25" s="775">
        <f>J25</f>
        <v>100</v>
      </c>
      <c r="X25" s="1817"/>
      <c r="Y25" s="3192"/>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4">
        <f t="shared" ref="Q26:Q40" si="11">B26</f>
        <v>111</v>
      </c>
      <c r="R26" s="774" t="s">
        <v>17</v>
      </c>
      <c r="S26" s="775">
        <f>F26</f>
        <v>100</v>
      </c>
      <c r="T26" s="774" t="s">
        <v>17</v>
      </c>
      <c r="U26" s="775">
        <f>H26</f>
        <v>100</v>
      </c>
      <c r="V26" s="774" t="s">
        <v>17</v>
      </c>
      <c r="W26" s="775">
        <f>J26</f>
        <v>100</v>
      </c>
      <c r="X26" s="1817"/>
      <c r="Y26" s="3192"/>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9">
        <f t="shared" si="11"/>
        <v>111</v>
      </c>
      <c r="R27" s="770" t="s">
        <v>17</v>
      </c>
      <c r="S27" s="771">
        <f>F27</f>
        <v>100</v>
      </c>
      <c r="T27" s="770" t="s">
        <v>17</v>
      </c>
      <c r="U27" s="771">
        <f>H27</f>
        <v>100</v>
      </c>
      <c r="V27" s="770" t="s">
        <v>17</v>
      </c>
      <c r="W27" s="771">
        <f>J27</f>
        <v>100</v>
      </c>
      <c r="X27" s="772"/>
      <c r="Y27" s="3192"/>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4">
        <f t="shared" si="11"/>
        <v>111</v>
      </c>
      <c r="R28" s="774" t="s">
        <v>17</v>
      </c>
      <c r="S28" s="775">
        <f t="shared" ref="S28:S40" si="12">F28</f>
        <v>100</v>
      </c>
      <c r="T28" s="774" t="s">
        <v>17</v>
      </c>
      <c r="U28" s="775">
        <f t="shared" ref="U28:U40" si="13">H28</f>
        <v>100</v>
      </c>
      <c r="V28" s="774" t="s">
        <v>17</v>
      </c>
      <c r="W28" s="775">
        <f t="shared" ref="W28:W40" si="14">J28</f>
        <v>100</v>
      </c>
      <c r="X28" s="1817"/>
      <c r="Y28" s="3192"/>
      <c r="Z28" s="1818">
        <f t="shared" ref="Z28:Z40" si="15">Q28</f>
        <v>111</v>
      </c>
      <c r="AA28" s="1815">
        <f t="shared" si="3"/>
        <v>1</v>
      </c>
      <c r="AB28" s="1815">
        <f t="shared" si="4"/>
        <v>1</v>
      </c>
      <c r="AC28" s="1815">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15" t="s">
        <v>2568</v>
      </c>
      <c r="Q29" s="1814" t="str">
        <f t="shared" si="11"/>
        <v>建筑类型</v>
      </c>
      <c r="R29" s="774" t="s">
        <v>17</v>
      </c>
      <c r="S29" s="775">
        <f t="shared" si="12"/>
        <v>100</v>
      </c>
      <c r="T29" s="774" t="s">
        <v>17</v>
      </c>
      <c r="U29" s="775">
        <f t="shared" si="13"/>
        <v>100</v>
      </c>
      <c r="V29" s="774" t="s">
        <v>17</v>
      </c>
      <c r="W29" s="775">
        <f t="shared" si="14"/>
        <v>100</v>
      </c>
      <c r="X29" s="1817"/>
      <c r="Y29" s="3196"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4" t="str">
        <f t="shared" si="11"/>
        <v>建筑结构</v>
      </c>
      <c r="R31" s="774" t="s">
        <v>17</v>
      </c>
      <c r="S31" s="775">
        <f t="shared" si="12"/>
        <v>100</v>
      </c>
      <c r="T31" s="774" t="s">
        <v>17</v>
      </c>
      <c r="U31" s="775">
        <f t="shared" si="13"/>
        <v>100</v>
      </c>
      <c r="V31" s="774" t="s">
        <v>17</v>
      </c>
      <c r="W31" s="775">
        <f t="shared" si="14"/>
        <v>100</v>
      </c>
      <c r="X31" s="1817"/>
      <c r="Y31" s="3196"/>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4" t="str">
        <f t="shared" si="11"/>
        <v>公共部分装修</v>
      </c>
      <c r="R32" s="774" t="s">
        <v>17</v>
      </c>
      <c r="S32" s="775">
        <f t="shared" si="12"/>
        <v>100</v>
      </c>
      <c r="T32" s="774" t="s">
        <v>17</v>
      </c>
      <c r="U32" s="775">
        <f t="shared" si="13"/>
        <v>100</v>
      </c>
      <c r="V32" s="774" t="s">
        <v>17</v>
      </c>
      <c r="W32" s="775">
        <f t="shared" si="14"/>
        <v>100</v>
      </c>
      <c r="X32" s="1817"/>
      <c r="Y32" s="3196"/>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4" t="str">
        <f t="shared" si="11"/>
        <v>成新度</v>
      </c>
      <c r="R33" s="774" t="s">
        <v>17</v>
      </c>
      <c r="S33" s="775" t="e">
        <f t="shared" si="12"/>
        <v>#N/A</v>
      </c>
      <c r="T33" s="774" t="s">
        <v>17</v>
      </c>
      <c r="U33" s="775" t="e">
        <f t="shared" si="13"/>
        <v>#N/A</v>
      </c>
      <c r="V33" s="774" t="s">
        <v>17</v>
      </c>
      <c r="W33" s="775" t="e">
        <f t="shared" si="14"/>
        <v>#N/A</v>
      </c>
      <c r="X33" s="1817"/>
      <c r="Y33" s="3196"/>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9"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2568</v>
      </c>
      <c r="Q35" s="1814" t="str">
        <f t="shared" si="11"/>
        <v>市政基础设施</v>
      </c>
      <c r="R35" s="774" t="s">
        <v>17</v>
      </c>
      <c r="S35" s="775">
        <f t="shared" si="12"/>
        <v>100</v>
      </c>
      <c r="T35" s="774" t="s">
        <v>17</v>
      </c>
      <c r="U35" s="775">
        <f t="shared" si="13"/>
        <v>100</v>
      </c>
      <c r="V35" s="774" t="s">
        <v>17</v>
      </c>
      <c r="W35" s="775">
        <f t="shared" si="14"/>
        <v>100</v>
      </c>
      <c r="X35" s="1817"/>
      <c r="Y35" s="3196"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4" t="str">
        <f t="shared" si="11"/>
        <v>内部装修</v>
      </c>
      <c r="R36" s="774" t="s">
        <v>17</v>
      </c>
      <c r="S36" s="775">
        <f t="shared" si="12"/>
        <v>100</v>
      </c>
      <c r="T36" s="774" t="s">
        <v>17</v>
      </c>
      <c r="U36" s="775">
        <f t="shared" si="13"/>
        <v>100</v>
      </c>
      <c r="V36" s="774" t="s">
        <v>17</v>
      </c>
      <c r="W36" s="775">
        <f t="shared" si="14"/>
        <v>100</v>
      </c>
      <c r="X36" s="1817"/>
      <c r="Y36" s="3196"/>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4" t="str">
        <f t="shared" si="11"/>
        <v>内部装修状况</v>
      </c>
      <c r="R37" s="774" t="s">
        <v>17</v>
      </c>
      <c r="S37" s="775">
        <f t="shared" si="12"/>
        <v>100</v>
      </c>
      <c r="T37" s="774" t="s">
        <v>17</v>
      </c>
      <c r="U37" s="775">
        <f t="shared" si="13"/>
        <v>100</v>
      </c>
      <c r="V37" s="774" t="s">
        <v>17</v>
      </c>
      <c r="W37" s="775">
        <f t="shared" si="14"/>
        <v>100</v>
      </c>
      <c r="X37" s="1817"/>
      <c r="Y37" s="3196"/>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4">
        <f t="shared" si="11"/>
        <v>111</v>
      </c>
      <c r="R39" s="774" t="s">
        <v>17</v>
      </c>
      <c r="S39" s="775">
        <f t="shared" si="12"/>
        <v>100</v>
      </c>
      <c r="T39" s="774" t="s">
        <v>17</v>
      </c>
      <c r="U39" s="775">
        <f t="shared" si="13"/>
        <v>100</v>
      </c>
      <c r="V39" s="774" t="s">
        <v>17</v>
      </c>
      <c r="W39" s="775">
        <f t="shared" si="14"/>
        <v>100</v>
      </c>
      <c r="X39" s="1817"/>
      <c r="Y39" s="3196"/>
      <c r="Z39" s="1818">
        <f t="shared" si="15"/>
        <v>111</v>
      </c>
      <c r="AA39" s="1815">
        <f t="shared" si="3"/>
        <v>1</v>
      </c>
      <c r="AB39" s="1815">
        <f t="shared" si="4"/>
        <v>1</v>
      </c>
      <c r="AC39" s="1815">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4">
        <f t="shared" si="11"/>
        <v>111</v>
      </c>
      <c r="R40" s="774" t="s">
        <v>17</v>
      </c>
      <c r="S40" s="775">
        <f t="shared" si="12"/>
        <v>100</v>
      </c>
      <c r="T40" s="774" t="s">
        <v>17</v>
      </c>
      <c r="U40" s="775">
        <f t="shared" si="13"/>
        <v>100</v>
      </c>
      <c r="V40" s="774" t="s">
        <v>17</v>
      </c>
      <c r="W40" s="775">
        <f t="shared" si="14"/>
        <v>100</v>
      </c>
      <c r="X40" s="1817"/>
      <c r="Y40" s="3197"/>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90"/>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92"/>
      <c r="Q15" s="1814"/>
      <c r="R15" s="774"/>
      <c r="S15" s="775"/>
      <c r="T15" s="774"/>
      <c r="U15" s="775"/>
      <c r="V15" s="774"/>
      <c r="W15" s="775"/>
      <c r="X15" s="1817"/>
      <c r="Y15" s="3192"/>
      <c r="Z15" s="1818"/>
      <c r="AA15" s="1815">
        <v>1</v>
      </c>
      <c r="AB15" s="1815">
        <v>1</v>
      </c>
      <c r="AC15" s="1815">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04"/>
      <c r="B17" s="632"/>
      <c r="C17" s="2614"/>
      <c r="D17" s="448"/>
      <c r="E17" s="447"/>
      <c r="F17" s="449"/>
      <c r="G17" s="447"/>
      <c r="H17" s="448"/>
      <c r="I17" s="447"/>
      <c r="J17" s="448"/>
      <c r="K17" s="615"/>
      <c r="L17" s="1143"/>
      <c r="M17" s="1134"/>
      <c r="N17" s="1134"/>
      <c r="O17" s="1134"/>
      <c r="P17" s="3192"/>
      <c r="Q17" s="1814"/>
      <c r="R17" s="774"/>
      <c r="S17" s="775"/>
      <c r="T17" s="774"/>
      <c r="U17" s="775"/>
      <c r="V17" s="774"/>
      <c r="W17" s="775"/>
      <c r="X17" s="1817"/>
      <c r="Y17" s="3192"/>
      <c r="Z17" s="1818"/>
      <c r="AA17" s="1815">
        <v>1</v>
      </c>
      <c r="AB17" s="1815">
        <v>1</v>
      </c>
      <c r="AC17" s="1815">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04"/>
      <c r="B19" s="633"/>
      <c r="C19" s="2614"/>
      <c r="D19" s="450"/>
      <c r="E19" s="2614"/>
      <c r="F19" s="453"/>
      <c r="G19" s="2614"/>
      <c r="H19" s="448"/>
      <c r="I19" s="447"/>
      <c r="J19" s="448"/>
      <c r="K19" s="1386"/>
      <c r="L19" s="1143"/>
      <c r="M19" s="1134"/>
      <c r="N19" s="1134"/>
      <c r="O19" s="1134"/>
      <c r="P19" s="3192"/>
      <c r="Q19" s="1814"/>
      <c r="R19" s="774"/>
      <c r="S19" s="775"/>
      <c r="T19" s="774"/>
      <c r="U19" s="775"/>
      <c r="V19" s="774"/>
      <c r="W19" s="775"/>
      <c r="X19" s="1817"/>
      <c r="Y19" s="3192"/>
      <c r="Z19" s="1818"/>
      <c r="AA19" s="1815">
        <v>1</v>
      </c>
      <c r="AB19" s="1815">
        <v>1</v>
      </c>
      <c r="AC19" s="1815">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92"/>
      <c r="Q21" s="1814"/>
      <c r="R21" s="774"/>
      <c r="S21" s="775"/>
      <c r="T21" s="774"/>
      <c r="U21" s="775"/>
      <c r="V21" s="774"/>
      <c r="W21" s="775"/>
      <c r="X21" s="1817"/>
      <c r="Y21" s="3192"/>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4">
        <f t="shared" ref="Q24:Q36"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6"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4" t="str">
        <f t="shared" si="11"/>
        <v>公共部分装修</v>
      </c>
      <c r="R28" s="774" t="s">
        <v>17</v>
      </c>
      <c r="S28" s="775">
        <f t="shared" si="12"/>
        <v>100</v>
      </c>
      <c r="T28" s="774" t="s">
        <v>17</v>
      </c>
      <c r="U28" s="775">
        <f t="shared" si="13"/>
        <v>100</v>
      </c>
      <c r="V28" s="774" t="s">
        <v>17</v>
      </c>
      <c r="W28" s="775">
        <f t="shared" si="14"/>
        <v>100</v>
      </c>
      <c r="X28" s="1817"/>
      <c r="Y28" s="3196"/>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4" t="str">
        <f t="shared" si="11"/>
        <v>成新率</v>
      </c>
      <c r="R29" s="774" t="s">
        <v>17</v>
      </c>
      <c r="S29" s="775" t="e">
        <f t="shared" si="12"/>
        <v>#N/A</v>
      </c>
      <c r="T29" s="774" t="s">
        <v>17</v>
      </c>
      <c r="U29" s="775" t="e">
        <f t="shared" si="13"/>
        <v>#N/A</v>
      </c>
      <c r="V29" s="774" t="s">
        <v>17</v>
      </c>
      <c r="W29" s="775" t="e">
        <f t="shared" si="14"/>
        <v>#N/A</v>
      </c>
      <c r="X29" s="1817"/>
      <c r="Y29" s="3196"/>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4" t="str">
        <f t="shared" si="11"/>
        <v>物业等级</v>
      </c>
      <c r="R30" s="774" t="s">
        <v>17</v>
      </c>
      <c r="S30" s="775">
        <f t="shared" si="12"/>
        <v>100</v>
      </c>
      <c r="T30" s="774" t="s">
        <v>17</v>
      </c>
      <c r="U30" s="775">
        <f t="shared" si="13"/>
        <v>100</v>
      </c>
      <c r="V30" s="774" t="s">
        <v>17</v>
      </c>
      <c r="W30" s="775">
        <f t="shared" si="14"/>
        <v>100</v>
      </c>
      <c r="X30" s="1817"/>
      <c r="Y30" s="3196"/>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9"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2568</v>
      </c>
      <c r="Q32" s="1814" t="str">
        <f t="shared" si="11"/>
        <v>车位类型</v>
      </c>
      <c r="R32" s="774" t="s">
        <v>17</v>
      </c>
      <c r="S32" s="775">
        <f t="shared" si="12"/>
        <v>100</v>
      </c>
      <c r="T32" s="774" t="s">
        <v>17</v>
      </c>
      <c r="U32" s="775">
        <f t="shared" si="13"/>
        <v>100</v>
      </c>
      <c r="V32" s="774" t="s">
        <v>17</v>
      </c>
      <c r="W32" s="775">
        <f t="shared" si="14"/>
        <v>100</v>
      </c>
      <c r="X32" s="1817"/>
      <c r="Y32" s="3196"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4" t="str">
        <f t="shared" si="11"/>
        <v>是否直接入户</v>
      </c>
      <c r="R33" s="774" t="s">
        <v>17</v>
      </c>
      <c r="S33" s="775">
        <f t="shared" si="12"/>
        <v>100</v>
      </c>
      <c r="T33" s="774" t="s">
        <v>17</v>
      </c>
      <c r="U33" s="775">
        <f t="shared" si="13"/>
        <v>100</v>
      </c>
      <c r="V33" s="774" t="s">
        <v>17</v>
      </c>
      <c r="W33" s="775">
        <f t="shared" si="14"/>
        <v>100</v>
      </c>
      <c r="X33" s="1817"/>
      <c r="Y33" s="3196"/>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4">
        <f t="shared" si="11"/>
        <v>111</v>
      </c>
      <c r="R36" s="774" t="s">
        <v>17</v>
      </c>
      <c r="S36" s="775">
        <f t="shared" si="12"/>
        <v>100</v>
      </c>
      <c r="T36" s="774" t="s">
        <v>17</v>
      </c>
      <c r="U36" s="775">
        <f t="shared" si="13"/>
        <v>100</v>
      </c>
      <c r="V36" s="774" t="s">
        <v>17</v>
      </c>
      <c r="W36" s="775">
        <f t="shared" si="14"/>
        <v>100</v>
      </c>
      <c r="X36" s="1817"/>
      <c r="Y36" s="3196"/>
      <c r="Z36" s="1818">
        <f t="shared" si="15"/>
        <v>111</v>
      </c>
      <c r="AA36" s="1815">
        <f t="shared" si="3"/>
        <v>1</v>
      </c>
      <c r="AB36" s="1815">
        <f t="shared" si="4"/>
        <v>1</v>
      </c>
      <c r="AC36" s="1815">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90"/>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7" t="s">
        <v>2552</v>
      </c>
      <c r="Q7" s="3185"/>
      <c r="R7" s="770" t="s">
        <v>17</v>
      </c>
      <c r="S7" s="771">
        <f t="shared" ref="S7:S14" si="0">F7</f>
        <v>0</v>
      </c>
      <c r="T7" s="770" t="s">
        <v>17</v>
      </c>
      <c r="U7" s="771">
        <f t="shared" ref="U7:U14" si="1">H7</f>
        <v>0</v>
      </c>
      <c r="V7" s="770" t="s">
        <v>17</v>
      </c>
      <c r="W7" s="771">
        <f t="shared" ref="W7:W14" si="2">J7</f>
        <v>0</v>
      </c>
      <c r="X7" s="772"/>
      <c r="Y7" s="3157" t="s">
        <v>2552</v>
      </c>
      <c r="Z7" s="315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2558</v>
      </c>
      <c r="Q9" s="1799" t="str">
        <f t="shared" ref="Q9:Q14" si="6">B9</f>
        <v>用途</v>
      </c>
      <c r="R9" s="770" t="s">
        <v>17</v>
      </c>
      <c r="S9" s="771">
        <f t="shared" si="0"/>
        <v>100</v>
      </c>
      <c r="T9" s="770" t="s">
        <v>17</v>
      </c>
      <c r="U9" s="771">
        <f t="shared" si="1"/>
        <v>100</v>
      </c>
      <c r="V9" s="770" t="s">
        <v>17</v>
      </c>
      <c r="W9" s="771">
        <f t="shared" si="2"/>
        <v>100</v>
      </c>
      <c r="X9" s="772"/>
      <c r="Y9" s="300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9"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9">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2563</v>
      </c>
      <c r="Q14" s="1814" t="str">
        <f t="shared" si="6"/>
        <v>交通便捷度</v>
      </c>
      <c r="R14" s="774" t="s">
        <v>17</v>
      </c>
      <c r="S14" s="775">
        <f t="shared" si="0"/>
        <v>100</v>
      </c>
      <c r="T14" s="774" t="s">
        <v>17</v>
      </c>
      <c r="U14" s="775">
        <f t="shared" si="1"/>
        <v>100</v>
      </c>
      <c r="V14" s="774" t="s">
        <v>17</v>
      </c>
      <c r="W14" s="775">
        <f t="shared" si="2"/>
        <v>100</v>
      </c>
      <c r="X14" s="1817"/>
      <c r="Y14" s="3191"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92"/>
      <c r="Q15" s="1814"/>
      <c r="R15" s="774"/>
      <c r="S15" s="775"/>
      <c r="T15" s="774"/>
      <c r="U15" s="775"/>
      <c r="V15" s="774"/>
      <c r="W15" s="775"/>
      <c r="X15" s="1817"/>
      <c r="Y15" s="3192"/>
      <c r="Z15" s="1818"/>
      <c r="AA15" s="1815">
        <v>1</v>
      </c>
      <c r="AB15" s="1815">
        <v>1</v>
      </c>
      <c r="AC15" s="1815">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4" t="str">
        <f>B16</f>
        <v>公共配套设施</v>
      </c>
      <c r="R16" s="774" t="s">
        <v>17</v>
      </c>
      <c r="S16" s="775">
        <f>F16</f>
        <v>100</v>
      </c>
      <c r="T16" s="774" t="s">
        <v>17</v>
      </c>
      <c r="U16" s="775">
        <f>H16</f>
        <v>100</v>
      </c>
      <c r="V16" s="774" t="s">
        <v>17</v>
      </c>
      <c r="W16" s="775">
        <f>J16</f>
        <v>100</v>
      </c>
      <c r="X16" s="1817"/>
      <c r="Y16" s="3192"/>
      <c r="Z16" s="1818" t="str">
        <f>Q16</f>
        <v>公共配套设施</v>
      </c>
      <c r="AA16" s="1815">
        <f t="shared" si="3"/>
        <v>1</v>
      </c>
      <c r="AB16" s="1815">
        <f t="shared" si="4"/>
        <v>1</v>
      </c>
      <c r="AC16" s="1815">
        <f t="shared" si="5"/>
        <v>1</v>
      </c>
    </row>
    <row r="17" spans="1:29" ht="15">
      <c r="A17" s="428"/>
      <c r="B17" s="456"/>
      <c r="C17" s="2614"/>
      <c r="D17" s="448"/>
      <c r="E17" s="447"/>
      <c r="F17" s="449"/>
      <c r="G17" s="447"/>
      <c r="H17" s="448"/>
      <c r="I17" s="447"/>
      <c r="J17" s="448"/>
      <c r="K17" s="615"/>
      <c r="L17" s="1143"/>
      <c r="M17" s="1134"/>
      <c r="N17" s="1134"/>
      <c r="O17" s="1142"/>
      <c r="P17" s="3192"/>
      <c r="Q17" s="1814"/>
      <c r="R17" s="774"/>
      <c r="S17" s="775"/>
      <c r="T17" s="774"/>
      <c r="U17" s="775"/>
      <c r="V17" s="774"/>
      <c r="W17" s="775"/>
      <c r="X17" s="1817"/>
      <c r="Y17" s="3192"/>
      <c r="Z17" s="1818"/>
      <c r="AA17" s="1815">
        <v>1</v>
      </c>
      <c r="AB17" s="1815">
        <v>1</v>
      </c>
      <c r="AC17" s="1815">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4" t="str">
        <f>B18</f>
        <v>基础设施水平</v>
      </c>
      <c r="R18" s="774" t="s">
        <v>17</v>
      </c>
      <c r="S18" s="775">
        <f>F18</f>
        <v>100</v>
      </c>
      <c r="T18" s="774" t="s">
        <v>17</v>
      </c>
      <c r="U18" s="775">
        <f>H18</f>
        <v>100</v>
      </c>
      <c r="V18" s="774" t="s">
        <v>17</v>
      </c>
      <c r="W18" s="775">
        <f>J18</f>
        <v>100</v>
      </c>
      <c r="X18" s="1817"/>
      <c r="Y18" s="3192"/>
      <c r="Z18" s="1818" t="str">
        <f>Q18</f>
        <v>基础设施水平</v>
      </c>
      <c r="AA18" s="1815">
        <f t="shared" ref="AA18" si="8">D18/F18</f>
        <v>1</v>
      </c>
      <c r="AB18" s="1815">
        <f t="shared" ref="AB18" si="9">D18/H18</f>
        <v>1</v>
      </c>
      <c r="AC18" s="1815">
        <f t="shared" ref="AC18" si="10">D18/J18</f>
        <v>1</v>
      </c>
    </row>
    <row r="19" spans="1:29" ht="15">
      <c r="A19" s="428"/>
      <c r="B19" s="1387"/>
      <c r="C19" s="2614"/>
      <c r="D19" s="450"/>
      <c r="E19" s="2614"/>
      <c r="F19" s="453"/>
      <c r="G19" s="2614"/>
      <c r="H19" s="448"/>
      <c r="I19" s="447"/>
      <c r="J19" s="448"/>
      <c r="K19" s="1386"/>
      <c r="L19" s="1143"/>
      <c r="M19" s="1134"/>
      <c r="N19" s="1134"/>
      <c r="O19" s="1142"/>
      <c r="P19" s="3192"/>
      <c r="Q19" s="1814"/>
      <c r="R19" s="774"/>
      <c r="S19" s="775"/>
      <c r="T19" s="774"/>
      <c r="U19" s="775"/>
      <c r="V19" s="774"/>
      <c r="W19" s="775"/>
      <c r="X19" s="1817"/>
      <c r="Y19" s="3192"/>
      <c r="Z19" s="1818"/>
      <c r="AA19" s="1815">
        <v>1</v>
      </c>
      <c r="AB19" s="1815">
        <v>1</v>
      </c>
      <c r="AC19" s="1815">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4" t="str">
        <f>B20</f>
        <v>自然及人文环境</v>
      </c>
      <c r="R20" s="774" t="s">
        <v>17</v>
      </c>
      <c r="S20" s="775">
        <f>F20</f>
        <v>100</v>
      </c>
      <c r="T20" s="774" t="s">
        <v>17</v>
      </c>
      <c r="U20" s="775">
        <f>H20</f>
        <v>100</v>
      </c>
      <c r="V20" s="774" t="s">
        <v>17</v>
      </c>
      <c r="W20" s="775">
        <f>J20</f>
        <v>100</v>
      </c>
      <c r="X20" s="1817"/>
      <c r="Y20" s="3192"/>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92"/>
      <c r="Q21" s="1814"/>
      <c r="R21" s="774"/>
      <c r="S21" s="775"/>
      <c r="T21" s="774"/>
      <c r="U21" s="775"/>
      <c r="V21" s="774"/>
      <c r="W21" s="775"/>
      <c r="X21" s="1817"/>
      <c r="Y21" s="3192"/>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4" t="str">
        <f>B22</f>
        <v>楼层</v>
      </c>
      <c r="R22" s="774" t="s">
        <v>17</v>
      </c>
      <c r="S22" s="775">
        <f>F22</f>
        <v>100</v>
      </c>
      <c r="T22" s="774" t="s">
        <v>17</v>
      </c>
      <c r="U22" s="775">
        <f>H22</f>
        <v>100</v>
      </c>
      <c r="V22" s="774" t="s">
        <v>17</v>
      </c>
      <c r="W22" s="775">
        <f>J22</f>
        <v>100</v>
      </c>
      <c r="X22" s="1817"/>
      <c r="Y22" s="3192"/>
      <c r="Z22" s="1818" t="str">
        <f>Q22</f>
        <v>楼层</v>
      </c>
      <c r="AA22" s="1815">
        <f t="shared" si="3"/>
        <v>1</v>
      </c>
      <c r="AB22" s="1815">
        <f t="shared" si="4"/>
        <v>1</v>
      </c>
      <c r="AC22" s="1815">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4">
        <f>B23</f>
        <v>111</v>
      </c>
      <c r="R23" s="774" t="s">
        <v>17</v>
      </c>
      <c r="S23" s="775">
        <f>F23</f>
        <v>100</v>
      </c>
      <c r="T23" s="774" t="s">
        <v>17</v>
      </c>
      <c r="U23" s="775">
        <f>H23</f>
        <v>100</v>
      </c>
      <c r="V23" s="774" t="s">
        <v>17</v>
      </c>
      <c r="W23" s="775">
        <f>J23</f>
        <v>100</v>
      </c>
      <c r="X23" s="1817"/>
      <c r="Y23" s="3192"/>
      <c r="Z23" s="1818">
        <f>Q23</f>
        <v>111</v>
      </c>
      <c r="AA23" s="1815">
        <f t="shared" si="3"/>
        <v>1</v>
      </c>
      <c r="AB23" s="1815">
        <f t="shared" si="4"/>
        <v>1</v>
      </c>
      <c r="AC23" s="1815">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4">
        <f t="shared" ref="Q24:Q34" si="11">B24</f>
        <v>111</v>
      </c>
      <c r="R24" s="774" t="s">
        <v>17</v>
      </c>
      <c r="S24" s="775">
        <f>F24</f>
        <v>100</v>
      </c>
      <c r="T24" s="774" t="s">
        <v>17</v>
      </c>
      <c r="U24" s="775">
        <f>H24</f>
        <v>100</v>
      </c>
      <c r="V24" s="774" t="s">
        <v>17</v>
      </c>
      <c r="W24" s="775">
        <f>J24</f>
        <v>100</v>
      </c>
      <c r="X24" s="1817"/>
      <c r="Y24" s="3192"/>
      <c r="Z24" s="1818">
        <f>Q24</f>
        <v>111</v>
      </c>
      <c r="AA24" s="1815">
        <f t="shared" si="3"/>
        <v>1</v>
      </c>
      <c r="AB24" s="1815">
        <f t="shared" si="4"/>
        <v>1</v>
      </c>
      <c r="AC24" s="1815">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2"/>
      <c r="Q25" s="1799">
        <f t="shared" si="11"/>
        <v>111</v>
      </c>
      <c r="R25" s="770" t="s">
        <v>17</v>
      </c>
      <c r="S25" s="771">
        <f>F25</f>
        <v>100</v>
      </c>
      <c r="T25" s="770" t="s">
        <v>17</v>
      </c>
      <c r="U25" s="771">
        <f>H25</f>
        <v>100</v>
      </c>
      <c r="V25" s="770" t="s">
        <v>17</v>
      </c>
      <c r="W25" s="771">
        <f>J25</f>
        <v>100</v>
      </c>
      <c r="X25" s="772"/>
      <c r="Y25" s="3192"/>
      <c r="Z25" s="55">
        <f>Q25</f>
        <v>111</v>
      </c>
      <c r="AA25" s="1815">
        <f>D25/F25</f>
        <v>1</v>
      </c>
      <c r="AB25" s="1815">
        <f>D25/H25</f>
        <v>1</v>
      </c>
      <c r="AC25" s="1815">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15"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6"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4" t="str">
        <f t="shared" si="11"/>
        <v>物业等级</v>
      </c>
      <c r="R28" s="774" t="s">
        <v>17</v>
      </c>
      <c r="S28" s="775">
        <f t="shared" si="12"/>
        <v>100</v>
      </c>
      <c r="T28" s="774" t="s">
        <v>17</v>
      </c>
      <c r="U28" s="775">
        <f t="shared" si="13"/>
        <v>100</v>
      </c>
      <c r="V28" s="774" t="s">
        <v>17</v>
      </c>
      <c r="W28" s="775">
        <f t="shared" si="14"/>
        <v>100</v>
      </c>
      <c r="X28" s="1817"/>
      <c r="Y28" s="3196"/>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4" t="str">
        <f t="shared" si="11"/>
        <v>有无电梯</v>
      </c>
      <c r="R29" s="774" t="s">
        <v>17</v>
      </c>
      <c r="S29" s="775">
        <f t="shared" si="12"/>
        <v>100</v>
      </c>
      <c r="T29" s="774" t="s">
        <v>17</v>
      </c>
      <c r="U29" s="775">
        <f t="shared" si="13"/>
        <v>100</v>
      </c>
      <c r="V29" s="774" t="s">
        <v>17</v>
      </c>
      <c r="W29" s="775">
        <f t="shared" si="14"/>
        <v>100</v>
      </c>
      <c r="X29" s="1817"/>
      <c r="Y29" s="3196"/>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4" t="str">
        <f t="shared" si="11"/>
        <v>建筑面积</v>
      </c>
      <c r="R30" s="774" t="s">
        <v>17</v>
      </c>
      <c r="S30" s="775" t="e">
        <f t="shared" si="12"/>
        <v>#N/A</v>
      </c>
      <c r="T30" s="774" t="s">
        <v>17</v>
      </c>
      <c r="U30" s="775" t="e">
        <f t="shared" si="13"/>
        <v>#N/A</v>
      </c>
      <c r="V30" s="774" t="s">
        <v>17</v>
      </c>
      <c r="W30" s="775" t="e">
        <f t="shared" si="14"/>
        <v>#N/A</v>
      </c>
      <c r="X30" s="1817"/>
      <c r="Y30" s="3196"/>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9"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2568</v>
      </c>
      <c r="Q32" s="1814">
        <f t="shared" si="11"/>
        <v>111</v>
      </c>
      <c r="R32" s="774" t="s">
        <v>17</v>
      </c>
      <c r="S32" s="775">
        <f t="shared" si="12"/>
        <v>100</v>
      </c>
      <c r="T32" s="774" t="s">
        <v>17</v>
      </c>
      <c r="U32" s="775">
        <f t="shared" si="13"/>
        <v>100</v>
      </c>
      <c r="V32" s="774" t="s">
        <v>17</v>
      </c>
      <c r="W32" s="775">
        <f t="shared" si="14"/>
        <v>100</v>
      </c>
      <c r="X32" s="1817"/>
      <c r="Y32" s="3196" t="s">
        <v>2568</v>
      </c>
      <c r="Z32" s="1818">
        <f t="shared" si="15"/>
        <v>111</v>
      </c>
      <c r="AA32" s="1815">
        <f t="shared" si="3"/>
        <v>1</v>
      </c>
      <c r="AB32" s="1815">
        <f t="shared" si="4"/>
        <v>1</v>
      </c>
      <c r="AC32" s="1815">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4">
        <f t="shared" si="11"/>
        <v>111</v>
      </c>
      <c r="R33" s="774" t="s">
        <v>17</v>
      </c>
      <c r="S33" s="775">
        <f t="shared" si="12"/>
        <v>100</v>
      </c>
      <c r="T33" s="774" t="s">
        <v>17</v>
      </c>
      <c r="U33" s="775">
        <f t="shared" si="13"/>
        <v>100</v>
      </c>
      <c r="V33" s="774" t="s">
        <v>17</v>
      </c>
      <c r="W33" s="775">
        <f t="shared" si="14"/>
        <v>100</v>
      </c>
      <c r="X33" s="1817"/>
      <c r="Y33" s="3196"/>
      <c r="Z33" s="1818">
        <f t="shared" si="15"/>
        <v>111</v>
      </c>
      <c r="AA33" s="1815">
        <f t="shared" si="3"/>
        <v>1</v>
      </c>
      <c r="AB33" s="1815">
        <f t="shared" si="4"/>
        <v>1</v>
      </c>
      <c r="AC33" s="1815">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6"/>
      <c r="Q34" s="1814">
        <f t="shared" si="11"/>
        <v>111</v>
      </c>
      <c r="R34" s="774" t="s">
        <v>17</v>
      </c>
      <c r="S34" s="775">
        <f t="shared" si="12"/>
        <v>100</v>
      </c>
      <c r="T34" s="774" t="s">
        <v>17</v>
      </c>
      <c r="U34" s="775">
        <f t="shared" si="13"/>
        <v>100</v>
      </c>
      <c r="V34" s="774" t="s">
        <v>17</v>
      </c>
      <c r="W34" s="775">
        <f t="shared" si="14"/>
        <v>100</v>
      </c>
      <c r="X34" s="1817"/>
      <c r="Y34" s="3196"/>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30"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30" ht="15.75" thickBot="1">
      <c r="A6" s="406"/>
      <c r="B6" s="407"/>
      <c r="C6" s="3167" t="s">
        <v>2549</v>
      </c>
      <c r="D6" s="3168"/>
      <c r="E6" s="3169" t="s">
        <v>2549</v>
      </c>
      <c r="F6" s="3170"/>
      <c r="G6" s="3167" t="s">
        <v>2549</v>
      </c>
      <c r="H6" s="3168"/>
      <c r="I6" s="3167" t="s">
        <v>2549</v>
      </c>
      <c r="J6" s="3168"/>
      <c r="K6" s="610" t="s">
        <v>2550</v>
      </c>
      <c r="L6" s="1133"/>
      <c r="M6" s="1134"/>
      <c r="N6" s="1134"/>
      <c r="O6" s="1134"/>
      <c r="P6" s="3180"/>
      <c r="Q6" s="3181"/>
      <c r="R6" s="3161"/>
      <c r="S6" s="3162"/>
      <c r="T6" s="3182"/>
      <c r="U6" s="3183"/>
      <c r="V6" s="3184"/>
      <c r="W6" s="3184"/>
      <c r="X6" s="1817"/>
      <c r="Y6" s="3182"/>
      <c r="Z6" s="3183"/>
      <c r="AA6" s="3156"/>
      <c r="AB6" s="3156"/>
      <c r="AC6" s="3156"/>
    </row>
    <row r="7" spans="1:30" s="117" customFormat="1" ht="15.75" thickBot="1">
      <c r="A7" s="408" t="s">
        <v>2551</v>
      </c>
      <c r="B7" s="409"/>
      <c r="C7" s="410">
        <f>'数据-取费表'!B2</f>
        <v>43063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9"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2562</v>
      </c>
      <c r="B15" s="69" t="s">
        <v>2087</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2563</v>
      </c>
      <c r="Q15" s="1814" t="str">
        <f t="shared" si="6"/>
        <v>居住社区成熟度</v>
      </c>
      <c r="R15" s="774" t="s">
        <v>17</v>
      </c>
      <c r="S15" s="775">
        <f t="shared" si="0"/>
        <v>100</v>
      </c>
      <c r="T15" s="774" t="s">
        <v>17</v>
      </c>
      <c r="U15" s="775">
        <f t="shared" si="1"/>
        <v>100</v>
      </c>
      <c r="V15" s="774" t="s">
        <v>17</v>
      </c>
      <c r="W15" s="775">
        <f t="shared" si="2"/>
        <v>100</v>
      </c>
      <c r="X15" s="1817"/>
      <c r="Y15" s="3191" t="s">
        <v>2563</v>
      </c>
      <c r="Z15" s="1818" t="str">
        <f t="shared" si="7"/>
        <v>居住社区成熟度</v>
      </c>
      <c r="AA15" s="1815">
        <f t="shared" si="3"/>
        <v>1</v>
      </c>
      <c r="AB15" s="1815">
        <f t="shared" si="4"/>
        <v>1</v>
      </c>
      <c r="AC15" s="1815">
        <f t="shared" si="5"/>
        <v>1</v>
      </c>
    </row>
    <row r="16" spans="1:30" ht="15">
      <c r="A16" s="428"/>
      <c r="B16" s="446"/>
      <c r="C16" s="447"/>
      <c r="D16" s="448"/>
      <c r="E16" s="2611"/>
      <c r="F16" s="448"/>
      <c r="G16" s="2611"/>
      <c r="H16" s="450"/>
      <c r="I16" s="2610"/>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4" t="str">
        <f>B17</f>
        <v>商业繁华度</v>
      </c>
      <c r="R17" s="774" t="s">
        <v>17</v>
      </c>
      <c r="S17" s="775">
        <f>F17</f>
        <v>100</v>
      </c>
      <c r="T17" s="774" t="s">
        <v>17</v>
      </c>
      <c r="U17" s="775">
        <f>H17</f>
        <v>100</v>
      </c>
      <c r="V17" s="774" t="s">
        <v>17</v>
      </c>
      <c r="W17" s="775">
        <f>J17</f>
        <v>100</v>
      </c>
      <c r="X17" s="1817"/>
      <c r="Y17" s="3192"/>
      <c r="Z17" s="1818" t="str">
        <f>Q17</f>
        <v>商业繁华度</v>
      </c>
      <c r="AA17" s="1815">
        <f t="shared" si="3"/>
        <v>1</v>
      </c>
      <c r="AB17" s="1815">
        <f t="shared" si="4"/>
        <v>1</v>
      </c>
      <c r="AC17" s="1815">
        <f t="shared" si="5"/>
        <v>1</v>
      </c>
    </row>
    <row r="18" spans="1:29" ht="15">
      <c r="A18" s="428"/>
      <c r="B18" s="456"/>
      <c r="C18" s="2614"/>
      <c r="D18" s="450"/>
      <c r="E18" s="2616"/>
      <c r="F18" s="450"/>
      <c r="G18" s="2616"/>
      <c r="H18" s="448"/>
      <c r="I18" s="2615"/>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4" t="str">
        <f>B19</f>
        <v>办公集聚程度</v>
      </c>
      <c r="R19" s="774" t="s">
        <v>17</v>
      </c>
      <c r="S19" s="775">
        <f>F19</f>
        <v>100</v>
      </c>
      <c r="T19" s="774" t="s">
        <v>17</v>
      </c>
      <c r="U19" s="775">
        <f>H19</f>
        <v>100</v>
      </c>
      <c r="V19" s="774" t="s">
        <v>17</v>
      </c>
      <c r="W19" s="775">
        <f>J19</f>
        <v>100</v>
      </c>
      <c r="X19" s="1817"/>
      <c r="Y19" s="3192"/>
      <c r="Z19" s="1818" t="str">
        <f>Q19</f>
        <v>办公集聚程度</v>
      </c>
      <c r="AA19" s="1815">
        <f t="shared" si="3"/>
        <v>1</v>
      </c>
      <c r="AB19" s="1815">
        <f t="shared" si="4"/>
        <v>1</v>
      </c>
      <c r="AC19" s="1815">
        <f t="shared" si="5"/>
        <v>1</v>
      </c>
    </row>
    <row r="20" spans="1:29" ht="15">
      <c r="A20" s="428"/>
      <c r="B20" s="456"/>
      <c r="C20" s="447"/>
      <c r="D20" s="448"/>
      <c r="E20" s="2611"/>
      <c r="F20" s="448"/>
      <c r="G20" s="2611"/>
      <c r="H20" s="448"/>
      <c r="I20" s="2610"/>
      <c r="J20" s="448"/>
      <c r="K20" s="672"/>
      <c r="L20" s="1143"/>
      <c r="M20" s="1134"/>
      <c r="N20" s="1134"/>
      <c r="O20" s="1142"/>
      <c r="P20" s="3192"/>
      <c r="Q20" s="1814"/>
      <c r="R20" s="774"/>
      <c r="S20" s="775"/>
      <c r="T20" s="774"/>
      <c r="U20" s="775"/>
      <c r="V20" s="774"/>
      <c r="W20" s="775"/>
      <c r="X20" s="1817"/>
      <c r="Y20" s="3192"/>
      <c r="Z20" s="1818"/>
      <c r="AA20" s="1815">
        <v>1</v>
      </c>
      <c r="AB20" s="1815">
        <v>1</v>
      </c>
      <c r="AC20" s="1815">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4" t="str">
        <f>B21</f>
        <v>交通便捷度</v>
      </c>
      <c r="R21" s="774" t="s">
        <v>17</v>
      </c>
      <c r="S21" s="775">
        <f>F21</f>
        <v>100</v>
      </c>
      <c r="T21" s="774" t="s">
        <v>17</v>
      </c>
      <c r="U21" s="775">
        <f>H21</f>
        <v>100</v>
      </c>
      <c r="V21" s="774" t="s">
        <v>17</v>
      </c>
      <c r="W21" s="775">
        <f>J21</f>
        <v>100</v>
      </c>
      <c r="X21" s="1817"/>
      <c r="Y21" s="3192"/>
      <c r="Z21" s="1818" t="str">
        <f>Q21</f>
        <v>交通便捷度</v>
      </c>
      <c r="AA21" s="1815">
        <f t="shared" si="3"/>
        <v>1</v>
      </c>
      <c r="AB21" s="1815">
        <f t="shared" si="4"/>
        <v>1</v>
      </c>
      <c r="AC21" s="1815">
        <f t="shared" si="5"/>
        <v>1</v>
      </c>
    </row>
    <row r="22" spans="1:29" ht="15">
      <c r="A22" s="428"/>
      <c r="B22" s="1387"/>
      <c r="C22" s="447"/>
      <c r="D22" s="450"/>
      <c r="E22" s="2611"/>
      <c r="F22" s="448"/>
      <c r="G22" s="2611"/>
      <c r="H22" s="448"/>
      <c r="I22" s="2610"/>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4" t="str">
        <f t="shared" ref="Q23:Q37" si="8">B23</f>
        <v>区域土地利用方向</v>
      </c>
      <c r="R23" s="774" t="s">
        <v>17</v>
      </c>
      <c r="S23" s="775">
        <f>F23</f>
        <v>100</v>
      </c>
      <c r="T23" s="774" t="s">
        <v>17</v>
      </c>
      <c r="U23" s="775">
        <f>H23</f>
        <v>100</v>
      </c>
      <c r="V23" s="774" t="s">
        <v>17</v>
      </c>
      <c r="W23" s="775">
        <f>J23</f>
        <v>100</v>
      </c>
      <c r="X23" s="1817"/>
      <c r="Y23" s="3192"/>
      <c r="Z23" s="1818" t="str">
        <f>Q23</f>
        <v>区域土地利用方向</v>
      </c>
      <c r="AA23" s="1815">
        <f t="shared" si="3"/>
        <v>1</v>
      </c>
      <c r="AB23" s="1815">
        <f t="shared" si="4"/>
        <v>1</v>
      </c>
      <c r="AC23" s="1815">
        <f t="shared" si="5"/>
        <v>1</v>
      </c>
    </row>
    <row r="24" spans="1:29" ht="15">
      <c r="A24" s="404"/>
      <c r="B24" s="456"/>
      <c r="C24" s="616"/>
      <c r="D24" s="448"/>
      <c r="E24" s="2611"/>
      <c r="F24" s="448"/>
      <c r="G24" s="2610"/>
      <c r="H24" s="448"/>
      <c r="I24" s="2610"/>
      <c r="J24" s="448"/>
      <c r="K24" s="812"/>
      <c r="L24" s="1143"/>
      <c r="M24" s="1134"/>
      <c r="N24" s="1134"/>
      <c r="O24" s="1142"/>
      <c r="P24" s="3192"/>
      <c r="Q24" s="1814"/>
      <c r="R24" s="774"/>
      <c r="S24" s="775"/>
      <c r="T24" s="774"/>
      <c r="U24" s="775"/>
      <c r="V24" s="774"/>
      <c r="W24" s="775"/>
      <c r="X24" s="1817"/>
      <c r="Y24" s="3192"/>
      <c r="Z24" s="1818"/>
      <c r="AA24" s="1815"/>
      <c r="AB24" s="1815"/>
      <c r="AC24" s="1815"/>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4" t="str">
        <f t="shared" si="8"/>
        <v>自然及人文环境状况</v>
      </c>
      <c r="R25" s="774" t="s">
        <v>17</v>
      </c>
      <c r="S25" s="775">
        <f>F25</f>
        <v>100</v>
      </c>
      <c r="T25" s="774" t="s">
        <v>17</v>
      </c>
      <c r="U25" s="775">
        <f>H25</f>
        <v>100</v>
      </c>
      <c r="V25" s="774" t="s">
        <v>17</v>
      </c>
      <c r="W25" s="775">
        <f>J25</f>
        <v>100</v>
      </c>
      <c r="X25" s="1817"/>
      <c r="Y25" s="3192"/>
      <c r="Z25" s="1818" t="str">
        <f>Q25</f>
        <v>自然及人文环境状况</v>
      </c>
      <c r="AA25" s="1815">
        <f t="shared" si="3"/>
        <v>1</v>
      </c>
      <c r="AB25" s="1815">
        <f t="shared" si="4"/>
        <v>1</v>
      </c>
      <c r="AC25" s="1815">
        <f t="shared" si="5"/>
        <v>1</v>
      </c>
    </row>
    <row r="26" spans="1:29" ht="15">
      <c r="A26" s="404"/>
      <c r="B26" s="456"/>
      <c r="C26" s="447"/>
      <c r="D26" s="448"/>
      <c r="E26" s="2617"/>
      <c r="F26" s="448"/>
      <c r="G26" s="2617"/>
      <c r="H26" s="448"/>
      <c r="I26" s="447"/>
      <c r="J26" s="448"/>
      <c r="K26" s="672"/>
      <c r="L26" s="1143"/>
      <c r="M26" s="1134"/>
      <c r="N26" s="1134"/>
      <c r="O26" s="1142"/>
      <c r="P26" s="3192"/>
      <c r="Q26" s="1814"/>
      <c r="R26" s="774"/>
      <c r="S26" s="775"/>
      <c r="T26" s="774"/>
      <c r="U26" s="775"/>
      <c r="V26" s="774"/>
      <c r="W26" s="775"/>
      <c r="X26" s="1817"/>
      <c r="Y26" s="3192"/>
      <c r="Z26" s="1818"/>
      <c r="AA26" s="1815">
        <v>1</v>
      </c>
      <c r="AB26" s="1815">
        <v>1</v>
      </c>
      <c r="AC26" s="1815">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9" t="str">
        <f t="shared" si="8"/>
        <v>公共配套设施</v>
      </c>
      <c r="R27" s="770" t="s">
        <v>17</v>
      </c>
      <c r="S27" s="771">
        <f>F27</f>
        <v>100</v>
      </c>
      <c r="T27" s="770" t="s">
        <v>17</v>
      </c>
      <c r="U27" s="771">
        <f>H27</f>
        <v>100</v>
      </c>
      <c r="V27" s="770" t="s">
        <v>17</v>
      </c>
      <c r="W27" s="771">
        <f>J27</f>
        <v>100</v>
      </c>
      <c r="X27" s="772"/>
      <c r="Y27" s="3192"/>
      <c r="Z27" s="55" t="str">
        <f>Q27</f>
        <v>公共配套设施</v>
      </c>
      <c r="AA27" s="1815">
        <f>D27/F27</f>
        <v>1</v>
      </c>
      <c r="AB27" s="1815">
        <f>D27/H27</f>
        <v>1</v>
      </c>
      <c r="AC27" s="1815">
        <f>D27/J27</f>
        <v>1</v>
      </c>
    </row>
    <row r="28" spans="1:29" s="117" customFormat="1" ht="15">
      <c r="A28" s="649"/>
      <c r="B28" s="456"/>
      <c r="C28" s="2706"/>
      <c r="D28" s="448"/>
      <c r="E28" s="2617"/>
      <c r="F28" s="448"/>
      <c r="G28" s="2617"/>
      <c r="H28" s="448"/>
      <c r="I28" s="447"/>
      <c r="J28" s="448"/>
      <c r="K28" s="672"/>
      <c r="L28" s="1135"/>
      <c r="M28" s="1136"/>
      <c r="N28" s="1136"/>
      <c r="O28" s="1137"/>
      <c r="P28" s="3192"/>
      <c r="Q28" s="1799"/>
      <c r="R28" s="770"/>
      <c r="S28" s="771"/>
      <c r="T28" s="770"/>
      <c r="U28" s="771"/>
      <c r="V28" s="770"/>
      <c r="W28" s="771"/>
      <c r="X28" s="772"/>
      <c r="Y28" s="3192"/>
      <c r="Z28" s="55"/>
      <c r="AA28" s="1815">
        <v>1</v>
      </c>
      <c r="AB28" s="1815">
        <v>1</v>
      </c>
      <c r="AC28" s="1815">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9"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5">
        <f>D29/F29</f>
        <v>1</v>
      </c>
      <c r="AB29" s="1815">
        <f>D29/H29</f>
        <v>1</v>
      </c>
      <c r="AC29" s="1815">
        <f>D29/J29</f>
        <v>1</v>
      </c>
    </row>
    <row r="30" spans="1:29" s="117" customFormat="1" ht="15">
      <c r="A30" s="649"/>
      <c r="B30" s="456"/>
      <c r="C30" s="2706"/>
      <c r="D30" s="448"/>
      <c r="E30" s="2707"/>
      <c r="F30" s="448"/>
      <c r="G30" s="2707"/>
      <c r="H30" s="448"/>
      <c r="I30" s="2707"/>
      <c r="J30" s="448"/>
      <c r="K30" s="672"/>
      <c r="L30" s="1135"/>
      <c r="M30" s="1136"/>
      <c r="N30" s="1136"/>
      <c r="O30" s="1137"/>
      <c r="P30" s="3192"/>
      <c r="Q30" s="1799"/>
      <c r="R30" s="770"/>
      <c r="S30" s="771"/>
      <c r="T30" s="770"/>
      <c r="U30" s="771"/>
      <c r="V30" s="770"/>
      <c r="W30" s="771"/>
      <c r="X30" s="772"/>
      <c r="Y30" s="3192"/>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92"/>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4" t="str">
        <f t="shared" si="8"/>
        <v>毗邻道路的类型与等级</v>
      </c>
      <c r="R32" s="774" t="s">
        <v>17</v>
      </c>
      <c r="S32" s="775">
        <f t="shared" si="10"/>
        <v>100</v>
      </c>
      <c r="T32" s="774" t="s">
        <v>17</v>
      </c>
      <c r="U32" s="775">
        <f t="shared" si="11"/>
        <v>100</v>
      </c>
      <c r="V32" s="774" t="s">
        <v>17</v>
      </c>
      <c r="W32" s="775">
        <f t="shared" si="12"/>
        <v>100</v>
      </c>
      <c r="X32" s="1817"/>
      <c r="Y32" s="3192"/>
      <c r="Z32" s="1818" t="str">
        <f t="shared" si="13"/>
        <v>毗邻道路的类型与等级</v>
      </c>
      <c r="AA32" s="1815">
        <f t="shared" si="3"/>
        <v>1</v>
      </c>
      <c r="AB32" s="1815">
        <f t="shared" si="4"/>
        <v>1</v>
      </c>
      <c r="AC32" s="1815">
        <f t="shared" si="5"/>
        <v>1</v>
      </c>
    </row>
    <row r="33" spans="1:29" ht="15">
      <c r="A33" s="428"/>
      <c r="B33" s="456"/>
      <c r="C33" s="447"/>
      <c r="D33" s="448"/>
      <c r="E33" s="2617"/>
      <c r="F33" s="448"/>
      <c r="G33" s="2617"/>
      <c r="H33" s="448"/>
      <c r="I33" s="447"/>
      <c r="J33" s="448"/>
      <c r="K33" s="613"/>
      <c r="L33" s="1143"/>
      <c r="M33" s="1134"/>
      <c r="N33" s="1134"/>
      <c r="O33" s="1142"/>
      <c r="P33" s="3192"/>
      <c r="Q33" s="1814"/>
      <c r="R33" s="774"/>
      <c r="S33" s="775"/>
      <c r="T33" s="774"/>
      <c r="U33" s="775"/>
      <c r="V33" s="774"/>
      <c r="W33" s="775"/>
      <c r="X33" s="1817"/>
      <c r="Y33" s="3192"/>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4" t="str">
        <f t="shared" si="8"/>
        <v>土地级别</v>
      </c>
      <c r="R34" s="774" t="s">
        <v>17</v>
      </c>
      <c r="S34" s="775">
        <f t="shared" si="10"/>
        <v>100</v>
      </c>
      <c r="T34" s="774" t="s">
        <v>17</v>
      </c>
      <c r="U34" s="775">
        <f t="shared" si="11"/>
        <v>100</v>
      </c>
      <c r="V34" s="774" t="s">
        <v>17</v>
      </c>
      <c r="W34" s="775">
        <f t="shared" si="12"/>
        <v>100</v>
      </c>
      <c r="X34" s="1817"/>
      <c r="Y34" s="3192"/>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4">
        <f t="shared" si="8"/>
        <v>111</v>
      </c>
      <c r="R35" s="774" t="s">
        <v>17</v>
      </c>
      <c r="S35" s="775">
        <f t="shared" si="10"/>
        <v>100</v>
      </c>
      <c r="T35" s="774" t="s">
        <v>17</v>
      </c>
      <c r="U35" s="775">
        <f t="shared" si="11"/>
        <v>100</v>
      </c>
      <c r="V35" s="774" t="s">
        <v>17</v>
      </c>
      <c r="W35" s="775">
        <f t="shared" si="12"/>
        <v>100</v>
      </c>
      <c r="X35" s="1817"/>
      <c r="Y35" s="3192"/>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2568</v>
      </c>
      <c r="Q36" s="1814">
        <f t="shared" si="8"/>
        <v>111</v>
      </c>
      <c r="R36" s="774" t="s">
        <v>17</v>
      </c>
      <c r="S36" s="775">
        <f t="shared" si="10"/>
        <v>100</v>
      </c>
      <c r="T36" s="774" t="s">
        <v>17</v>
      </c>
      <c r="U36" s="775">
        <f t="shared" si="11"/>
        <v>100</v>
      </c>
      <c r="V36" s="774" t="s">
        <v>17</v>
      </c>
      <c r="W36" s="775">
        <f t="shared" si="12"/>
        <v>100</v>
      </c>
      <c r="X36" s="1817"/>
      <c r="Y36" s="3196"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4">
        <f t="shared" si="8"/>
        <v>111</v>
      </c>
      <c r="R37" s="777" t="s">
        <v>17</v>
      </c>
      <c r="S37" s="778">
        <f t="shared" si="10"/>
        <v>100</v>
      </c>
      <c r="T37" s="777" t="s">
        <v>17</v>
      </c>
      <c r="U37" s="778">
        <f t="shared" si="11"/>
        <v>100</v>
      </c>
      <c r="V37" s="777" t="s">
        <v>17</v>
      </c>
      <c r="W37" s="778">
        <f t="shared" si="12"/>
        <v>100</v>
      </c>
      <c r="X37" s="779"/>
      <c r="Y37" s="3196"/>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4" t="str">
        <f>B38</f>
        <v>宗地面积</v>
      </c>
      <c r="R38" s="774" t="s">
        <v>17</v>
      </c>
      <c r="S38" s="775" t="e">
        <f t="shared" si="10"/>
        <v>#N/A</v>
      </c>
      <c r="T38" s="774" t="s">
        <v>17</v>
      </c>
      <c r="U38" s="775" t="e">
        <f t="shared" si="11"/>
        <v>#N/A</v>
      </c>
      <c r="V38" s="774" t="s">
        <v>17</v>
      </c>
      <c r="W38" s="775" t="e">
        <f t="shared" si="12"/>
        <v>#N/A</v>
      </c>
      <c r="X38" s="1817"/>
      <c r="Y38" s="3196"/>
      <c r="Z38" s="1818" t="str">
        <f t="shared" si="13"/>
        <v>宗地面积</v>
      </c>
      <c r="AA38" s="1815" t="e">
        <f t="shared" si="3"/>
        <v>#N/A</v>
      </c>
      <c r="AB38" s="1815" t="e">
        <f t="shared" si="4"/>
        <v>#N/A</v>
      </c>
      <c r="AC38" s="1815"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6"/>
      <c r="Q39" s="1814" t="str">
        <f t="shared" ref="Q39:Q45" si="14">B39</f>
        <v>宗地形状</v>
      </c>
      <c r="R39" s="774" t="s">
        <v>17</v>
      </c>
      <c r="S39" s="775">
        <f t="shared" si="10"/>
        <v>100</v>
      </c>
      <c r="T39" s="774" t="s">
        <v>17</v>
      </c>
      <c r="U39" s="775">
        <f t="shared" si="11"/>
        <v>100</v>
      </c>
      <c r="V39" s="774" t="s">
        <v>17</v>
      </c>
      <c r="W39" s="775">
        <f t="shared" si="12"/>
        <v>100</v>
      </c>
      <c r="X39" s="1817"/>
      <c r="Y39" s="3196"/>
      <c r="Z39" s="1818" t="str">
        <f t="shared" si="13"/>
        <v>宗地形状</v>
      </c>
      <c r="AA39" s="1815">
        <f t="shared" si="3"/>
        <v>1</v>
      </c>
      <c r="AB39" s="1815">
        <f t="shared" si="4"/>
        <v>1</v>
      </c>
      <c r="AC39" s="1815">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6"/>
      <c r="Q40" s="1814" t="str">
        <f t="shared" si="14"/>
        <v>临街宽度及深度</v>
      </c>
      <c r="R40" s="774" t="s">
        <v>17</v>
      </c>
      <c r="S40" s="775">
        <f t="shared" si="10"/>
        <v>100</v>
      </c>
      <c r="T40" s="774" t="s">
        <v>17</v>
      </c>
      <c r="U40" s="775">
        <f t="shared" si="11"/>
        <v>100</v>
      </c>
      <c r="V40" s="774" t="s">
        <v>17</v>
      </c>
      <c r="W40" s="775">
        <f t="shared" si="12"/>
        <v>100</v>
      </c>
      <c r="X40" s="1817"/>
      <c r="Y40" s="3196"/>
      <c r="Z40" s="1818" t="str">
        <f t="shared" si="13"/>
        <v>临街宽度及深度</v>
      </c>
      <c r="AA40" s="1815">
        <f t="shared" si="3"/>
        <v>1</v>
      </c>
      <c r="AB40" s="1815">
        <f t="shared" si="4"/>
        <v>1</v>
      </c>
      <c r="AC40" s="1815">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6"/>
      <c r="Q41" s="1814"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6" t="s">
        <v>2568</v>
      </c>
      <c r="Q42" s="1814" t="str">
        <f t="shared" si="14"/>
        <v>工程地质条件</v>
      </c>
      <c r="R42" s="774" t="s">
        <v>17</v>
      </c>
      <c r="S42" s="775">
        <f t="shared" si="10"/>
        <v>100</v>
      </c>
      <c r="T42" s="774" t="s">
        <v>17</v>
      </c>
      <c r="U42" s="775">
        <f t="shared" si="11"/>
        <v>100</v>
      </c>
      <c r="V42" s="774" t="s">
        <v>17</v>
      </c>
      <c r="W42" s="775">
        <f t="shared" si="12"/>
        <v>100</v>
      </c>
      <c r="X42" s="1817"/>
      <c r="Y42" s="3196"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4">
        <f t="shared" si="14"/>
        <v>111</v>
      </c>
      <c r="R43" s="774" t="s">
        <v>17</v>
      </c>
      <c r="S43" s="775">
        <f t="shared" si="10"/>
        <v>100</v>
      </c>
      <c r="T43" s="774" t="s">
        <v>17</v>
      </c>
      <c r="U43" s="775">
        <f t="shared" si="11"/>
        <v>100</v>
      </c>
      <c r="V43" s="774" t="s">
        <v>17</v>
      </c>
      <c r="W43" s="775">
        <f t="shared" si="12"/>
        <v>100</v>
      </c>
      <c r="X43" s="1817"/>
      <c r="Y43" s="3196"/>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4">
        <f t="shared" si="14"/>
        <v>111</v>
      </c>
      <c r="R44" s="774" t="s">
        <v>17</v>
      </c>
      <c r="S44" s="775">
        <f t="shared" si="10"/>
        <v>100</v>
      </c>
      <c r="T44" s="774" t="s">
        <v>17</v>
      </c>
      <c r="U44" s="775">
        <f t="shared" si="11"/>
        <v>100</v>
      </c>
      <c r="V44" s="774" t="s">
        <v>17</v>
      </c>
      <c r="W44" s="775">
        <f t="shared" si="12"/>
        <v>100</v>
      </c>
      <c r="X44" s="1817"/>
      <c r="Y44" s="3196"/>
      <c r="Z44" s="1818">
        <f t="shared" si="13"/>
        <v>111</v>
      </c>
      <c r="AA44" s="1815">
        <f t="shared" si="3"/>
        <v>1</v>
      </c>
      <c r="AB44" s="1815">
        <f t="shared" si="4"/>
        <v>1</v>
      </c>
      <c r="AC44" s="1815">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4">
        <f t="shared" si="14"/>
        <v>111</v>
      </c>
      <c r="R45" s="777" t="s">
        <v>17</v>
      </c>
      <c r="S45" s="778">
        <f t="shared" si="10"/>
        <v>100</v>
      </c>
      <c r="T45" s="777" t="s">
        <v>17</v>
      </c>
      <c r="U45" s="778">
        <f t="shared" si="11"/>
        <v>100</v>
      </c>
      <c r="V45" s="777" t="s">
        <v>17</v>
      </c>
      <c r="W45" s="778">
        <f t="shared" si="12"/>
        <v>100</v>
      </c>
      <c r="X45" s="779"/>
      <c r="Y45" s="3196"/>
      <c r="Z45" s="780">
        <f t="shared" si="13"/>
        <v>111</v>
      </c>
      <c r="AA45" s="1815">
        <f t="shared" si="3"/>
        <v>1</v>
      </c>
      <c r="AB45" s="1815">
        <f t="shared" si="4"/>
        <v>1</v>
      </c>
      <c r="AC45" s="1815">
        <f t="shared" si="5"/>
        <v>1</v>
      </c>
    </row>
    <row r="46" spans="1:29" ht="15">
      <c r="A46" s="479" t="s">
        <v>2723</v>
      </c>
      <c r="B46" s="2710" t="s">
        <v>2759</v>
      </c>
      <c r="C46" s="682" t="s">
        <v>1</v>
      </c>
      <c r="D46" s="481"/>
      <c r="E46" s="482"/>
      <c r="F46" s="483"/>
      <c r="G46" s="484"/>
      <c r="H46" s="485"/>
      <c r="I46" s="482"/>
      <c r="J46" s="485"/>
      <c r="K46" s="783"/>
      <c r="L46" s="1146"/>
      <c r="M46" s="1147"/>
      <c r="N46" s="1134"/>
      <c r="O46" s="1147"/>
      <c r="P46" s="3189" t="str">
        <f>A46</f>
        <v>成交单价</v>
      </c>
      <c r="Q46" s="3189"/>
      <c r="R46" s="3184">
        <f>E46</f>
        <v>0</v>
      </c>
      <c r="S46" s="3184"/>
      <c r="T46" s="3184">
        <f>G46</f>
        <v>0</v>
      </c>
      <c r="U46" s="3184"/>
      <c r="V46" s="3184">
        <f>I46</f>
        <v>0</v>
      </c>
      <c r="W46" s="318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16" t="e">
        <f>ROUND(PRODUCT(R46,AA7:AA45),0)</f>
        <v>#DIV/0!</v>
      </c>
      <c r="S47" s="3216"/>
      <c r="T47" s="3216" t="e">
        <f>ROUND(PRODUCT(T46,AB7:AB45),0)</f>
        <v>#DIV/0!</v>
      </c>
      <c r="U47" s="3216"/>
      <c r="V47" s="3216" t="e">
        <f>ROUND(PRODUCT(V46,AC7:AC45),0)</f>
        <v>#DIV/0!</v>
      </c>
      <c r="W47" s="3216"/>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17" t="e">
        <f>ROUND(AVERAGE(R47:V47),0)</f>
        <v>#DIV/0!</v>
      </c>
      <c r="S48" s="3217"/>
      <c r="T48" s="3217"/>
      <c r="U48" s="3217"/>
      <c r="V48" s="3217"/>
      <c r="W48" s="32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72" t="s">
        <v>2767</v>
      </c>
      <c r="H55" s="3218"/>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4115.6000000000004</v>
      </c>
      <c r="F56" s="1106" t="e">
        <f t="shared" ref="F56:F65" si="15">ROUND(B56*E56/10000,0)</f>
        <v>#DIV/0!</v>
      </c>
      <c r="G56" s="3171"/>
      <c r="H56" s="3189"/>
      <c r="I56" s="1111">
        <v>1</v>
      </c>
      <c r="J56" s="1114">
        <v>1</v>
      </c>
      <c r="K56" s="1148"/>
      <c r="L56" s="944"/>
      <c r="M56" s="944"/>
      <c r="N56" s="944"/>
      <c r="O56" s="944"/>
    </row>
    <row r="57" spans="1:15" s="692" customFormat="1">
      <c r="A57" s="693" t="s">
        <v>2771</v>
      </c>
      <c r="B57" s="262" t="e">
        <f>ROUND($C$48*C57*D57,0)</f>
        <v>#DIV/0!</v>
      </c>
      <c r="C57" s="200">
        <f t="shared" ref="C57:C65" si="16">IF($C$55="北京市系数",I57,J57)</f>
        <v>0.8</v>
      </c>
      <c r="D57" s="1167">
        <v>0.25</v>
      </c>
      <c r="E57" s="694"/>
      <c r="F57" s="1106" t="e">
        <f t="shared" si="15"/>
        <v>#DIV/0!</v>
      </c>
      <c r="G57" s="3219" t="s">
        <v>2772</v>
      </c>
      <c r="H57" s="1107" t="str">
        <f>项目基本情况!B37</f>
        <v>二级</v>
      </c>
      <c r="I57" s="1111">
        <f>SUMIF(修正!A45:A56,H57,修正!B45:B56)</f>
        <v>0.8</v>
      </c>
      <c r="J57" s="1115"/>
      <c r="K57" s="1147"/>
      <c r="L57" s="944"/>
      <c r="M57" s="944"/>
      <c r="N57" s="944"/>
      <c r="O57" s="944"/>
    </row>
    <row r="58" spans="1:15" s="692" customFormat="1">
      <c r="A58" s="693" t="s">
        <v>2773</v>
      </c>
      <c r="B58" s="262" t="e">
        <f t="shared" ref="B58:B65" si="17">ROUND($C$48*C58*D58,0)</f>
        <v>#DIV/0!</v>
      </c>
      <c r="C58" s="200">
        <f t="shared" si="16"/>
        <v>0.5</v>
      </c>
      <c r="D58" s="1167">
        <v>0.25</v>
      </c>
      <c r="E58" s="694"/>
      <c r="F58" s="1106" t="e">
        <f t="shared" si="15"/>
        <v>#DIV/0!</v>
      </c>
      <c r="G58" s="3219"/>
      <c r="H58" s="1107" t="str">
        <f>项目基本情况!B37</f>
        <v>二级</v>
      </c>
      <c r="I58" s="1111">
        <f>SUMIF(修正!A45:A56,H58,修正!C45:C56)</f>
        <v>0.5</v>
      </c>
      <c r="J58" s="1115"/>
      <c r="K58" s="1148"/>
      <c r="L58" s="944"/>
      <c r="M58" s="944"/>
      <c r="N58" s="944"/>
      <c r="O58" s="944"/>
    </row>
    <row r="59" spans="1:15" s="692" customFormat="1">
      <c r="A59" s="693" t="s">
        <v>2774</v>
      </c>
      <c r="B59" s="262" t="e">
        <f t="shared" si="17"/>
        <v>#DIV/0!</v>
      </c>
      <c r="C59" s="200">
        <f t="shared" si="16"/>
        <v>0.36</v>
      </c>
      <c r="D59" s="1167">
        <v>0.25</v>
      </c>
      <c r="E59" s="694"/>
      <c r="F59" s="1106" t="e">
        <f t="shared" si="15"/>
        <v>#DIV/0!</v>
      </c>
      <c r="G59" s="3219"/>
      <c r="H59" s="1107" t="str">
        <f>项目基本情况!B37</f>
        <v>二级</v>
      </c>
      <c r="I59" s="1111">
        <f>SUMIF(修正!A45:A56,H59,修正!D45:D56)</f>
        <v>0.36</v>
      </c>
      <c r="J59" s="1115"/>
      <c r="K59" s="1147"/>
      <c r="L59" s="944"/>
      <c r="M59" s="944"/>
      <c r="N59" s="944"/>
      <c r="O59" s="944"/>
    </row>
    <row r="60" spans="1:15" s="692" customFormat="1">
      <c r="A60" s="693" t="s">
        <v>2775</v>
      </c>
      <c r="B60" s="262" t="e">
        <f t="shared" si="17"/>
        <v>#DIV/0!</v>
      </c>
      <c r="C60" s="200">
        <f t="shared" si="16"/>
        <v>0.3</v>
      </c>
      <c r="D60" s="1167">
        <v>0.25</v>
      </c>
      <c r="E60" s="694"/>
      <c r="F60" s="1106" t="e">
        <f t="shared" si="15"/>
        <v>#DIV/0!</v>
      </c>
      <c r="G60" s="3219"/>
      <c r="H60" s="1107" t="str">
        <f>项目基本情况!B37</f>
        <v>二级</v>
      </c>
      <c r="I60" s="1111">
        <f>SUMIF(修正!A45:A56,H60,修正!E45:E56)</f>
        <v>0.3</v>
      </c>
      <c r="J60" s="1115"/>
      <c r="K60" s="1148"/>
      <c r="L60" s="944"/>
      <c r="M60" s="944"/>
      <c r="N60" s="944"/>
      <c r="O60" s="944"/>
    </row>
    <row r="61" spans="1:15" s="692" customFormat="1">
      <c r="A61" s="693" t="s">
        <v>2776</v>
      </c>
      <c r="B61" s="262" t="e">
        <f t="shared" si="17"/>
        <v>#DIV/0!</v>
      </c>
      <c r="C61" s="200">
        <f t="shared" si="16"/>
        <v>0.3</v>
      </c>
      <c r="D61" s="1167">
        <v>0.25</v>
      </c>
      <c r="E61" s="261">
        <f>'数据-汇总表'!E11</f>
        <v>523.4</v>
      </c>
      <c r="F61" s="1106" t="e">
        <f t="shared" si="15"/>
        <v>#DIV/0!</v>
      </c>
      <c r="G61" s="2715" t="s">
        <v>2777</v>
      </c>
      <c r="H61" s="1107" t="str">
        <f>项目基本情况!C37</f>
        <v>二级</v>
      </c>
      <c r="I61" s="1111">
        <f>SUMIF(修正!A45:A56,H61,修正!F45:F56)</f>
        <v>0.3</v>
      </c>
      <c r="J61" s="1115"/>
      <c r="K61" s="1147"/>
      <c r="L61" s="944"/>
      <c r="M61" s="944"/>
      <c r="N61" s="944"/>
      <c r="O61" s="944"/>
    </row>
    <row r="62" spans="1:15" s="692" customFormat="1">
      <c r="A62" s="693" t="s">
        <v>2778</v>
      </c>
      <c r="B62" s="262" t="e">
        <f t="shared" si="17"/>
        <v>#DIV/0!</v>
      </c>
      <c r="C62" s="200">
        <f t="shared" si="16"/>
        <v>0.3</v>
      </c>
      <c r="D62" s="1167">
        <v>0.25</v>
      </c>
      <c r="E62" s="261">
        <f>'数据-汇总表'!E12</f>
        <v>0</v>
      </c>
      <c r="F62" s="1106" t="e">
        <f t="shared" si="15"/>
        <v>#DIV/0!</v>
      </c>
      <c r="G62" s="1112" t="s">
        <v>2779</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2780</v>
      </c>
      <c r="B63" s="262" t="e">
        <f t="shared" si="17"/>
        <v>#DIV/0!</v>
      </c>
      <c r="C63" s="200">
        <f t="shared" si="16"/>
        <v>0.25</v>
      </c>
      <c r="D63" s="1167">
        <v>0.25</v>
      </c>
      <c r="E63" s="261">
        <f>'数据-汇总表'!E13</f>
        <v>0</v>
      </c>
      <c r="F63" s="1106" t="e">
        <f t="shared" si="15"/>
        <v>#DIV/0!</v>
      </c>
      <c r="G63" s="1112" t="s">
        <v>2781</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2782</v>
      </c>
      <c r="B64" s="262" t="e">
        <f t="shared" si="17"/>
        <v>#DIV/0!</v>
      </c>
      <c r="C64" s="200">
        <f t="shared" si="16"/>
        <v>0.25</v>
      </c>
      <c r="D64" s="1167">
        <v>0.25</v>
      </c>
      <c r="E64" s="261">
        <f>'数据-汇总表'!E14</f>
        <v>0</v>
      </c>
      <c r="F64" s="1106" t="e">
        <f t="shared" si="15"/>
        <v>#DIV/0!</v>
      </c>
      <c r="G64" s="2715" t="s">
        <v>2772</v>
      </c>
      <c r="H64" s="1107" t="str">
        <f>项目基本情况!B37</f>
        <v>二级</v>
      </c>
      <c r="I64" s="1111">
        <f>SUMIF(修正!A45:A56,H64,修正!H45:H56)</f>
        <v>0.25</v>
      </c>
      <c r="J64" s="1115"/>
      <c r="K64" s="1148"/>
      <c r="L64" s="944"/>
      <c r="M64" s="944"/>
      <c r="N64" s="944"/>
      <c r="O64" s="944"/>
    </row>
    <row r="65" spans="1:17" s="692" customFormat="1" ht="15" thickBot="1">
      <c r="A65" s="693" t="s">
        <v>2783</v>
      </c>
      <c r="B65" s="262" t="e">
        <f t="shared" si="17"/>
        <v>#DIV/0!</v>
      </c>
      <c r="C65" s="200">
        <f t="shared" si="16"/>
        <v>0.25</v>
      </c>
      <c r="D65" s="1167">
        <v>0.25</v>
      </c>
      <c r="E65" s="261">
        <f>'数据-汇总表'!E15</f>
        <v>0</v>
      </c>
      <c r="F65" s="1106" t="e">
        <f t="shared" si="15"/>
        <v>#DIV/0!</v>
      </c>
      <c r="G65" s="2716" t="s">
        <v>2777</v>
      </c>
      <c r="H65" s="1117" t="str">
        <f>项目基本情况!C37</f>
        <v>二级</v>
      </c>
      <c r="I65" s="1113">
        <f>SUMIF(修正!A45:A56,H65,修正!H45:H56)</f>
        <v>0.25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4639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8"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2" t="s">
        <v>2649</v>
      </c>
      <c r="D4" s="3173"/>
      <c r="E4" s="3174" t="s">
        <v>2650</v>
      </c>
      <c r="F4" s="3175"/>
      <c r="G4" s="3172" t="s">
        <v>2651</v>
      </c>
      <c r="H4" s="3173"/>
      <c r="I4" s="3172" t="s">
        <v>2652</v>
      </c>
      <c r="J4" s="3173"/>
      <c r="K4" s="610" t="s">
        <v>2653</v>
      </c>
      <c r="L4" s="1133"/>
      <c r="M4" s="1134"/>
      <c r="N4" s="1134"/>
      <c r="O4" s="1134"/>
      <c r="P4" s="3176" t="s">
        <v>2654</v>
      </c>
      <c r="Q4" s="3177"/>
      <c r="R4" s="3159" t="s">
        <v>2650</v>
      </c>
      <c r="S4" s="3160"/>
      <c r="T4" s="3159" t="s">
        <v>2651</v>
      </c>
      <c r="U4" s="3160"/>
      <c r="V4" s="3184" t="s">
        <v>2652</v>
      </c>
      <c r="W4" s="3184"/>
      <c r="X4" s="1817"/>
      <c r="Y4" s="3159" t="s">
        <v>2654</v>
      </c>
      <c r="Z4" s="3160"/>
      <c r="AA4" s="3154" t="s">
        <v>2650</v>
      </c>
      <c r="AB4" s="3155" t="s">
        <v>2651</v>
      </c>
      <c r="AC4" s="3154" t="s">
        <v>2652</v>
      </c>
    </row>
    <row r="5" spans="1:29" ht="15">
      <c r="A5" s="404"/>
      <c r="B5" s="405"/>
      <c r="C5" s="3165" t="s">
        <v>2545</v>
      </c>
      <c r="D5" s="3166"/>
      <c r="E5" s="3163" t="s">
        <v>2546</v>
      </c>
      <c r="F5" s="3164"/>
      <c r="G5" s="3165" t="s">
        <v>2547</v>
      </c>
      <c r="H5" s="3166"/>
      <c r="I5" s="3165" t="s">
        <v>2548</v>
      </c>
      <c r="J5" s="3166"/>
      <c r="K5" s="610"/>
      <c r="L5" s="1133"/>
      <c r="M5" s="1134"/>
      <c r="N5" s="1134"/>
      <c r="O5" s="1134"/>
      <c r="P5" s="3178"/>
      <c r="Q5" s="3179"/>
      <c r="R5" s="3161"/>
      <c r="S5" s="3162"/>
      <c r="T5" s="3161"/>
      <c r="U5" s="3162"/>
      <c r="V5" s="3184"/>
      <c r="W5" s="3184"/>
      <c r="X5" s="1817"/>
      <c r="Y5" s="3161"/>
      <c r="Z5" s="3162"/>
      <c r="AA5" s="3155"/>
      <c r="AB5" s="3155"/>
      <c r="AC5" s="3155"/>
    </row>
    <row r="6" spans="1:29" ht="15.75" thickBot="1">
      <c r="A6" s="406"/>
      <c r="B6" s="407"/>
      <c r="C6" s="3220" t="s">
        <v>2800</v>
      </c>
      <c r="D6" s="3221"/>
      <c r="E6" s="3222" t="s">
        <v>2800</v>
      </c>
      <c r="F6" s="3223"/>
      <c r="G6" s="3220" t="s">
        <v>2800</v>
      </c>
      <c r="H6" s="3221"/>
      <c r="I6" s="3220" t="s">
        <v>2800</v>
      </c>
      <c r="J6" s="3221"/>
      <c r="K6" s="610" t="s">
        <v>2550</v>
      </c>
      <c r="L6" s="1133"/>
      <c r="M6" s="1134"/>
      <c r="N6" s="1134"/>
      <c r="O6" s="1134"/>
      <c r="P6" s="3180"/>
      <c r="Q6" s="3181"/>
      <c r="R6" s="3161"/>
      <c r="S6" s="3162"/>
      <c r="T6" s="3182"/>
      <c r="U6" s="3183"/>
      <c r="V6" s="3184"/>
      <c r="W6" s="3184"/>
      <c r="X6" s="1817"/>
      <c r="Y6" s="3182"/>
      <c r="Z6" s="3183"/>
      <c r="AA6" s="3156"/>
      <c r="AB6" s="3156"/>
      <c r="AC6" s="3156"/>
    </row>
    <row r="7" spans="1:29" s="117" customFormat="1" ht="15.75" thickBot="1">
      <c r="A7" s="408" t="s">
        <v>2551</v>
      </c>
      <c r="B7" s="409"/>
      <c r="C7" s="410">
        <f>'数据-取费表'!B2</f>
        <v>43063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7" t="s">
        <v>2552</v>
      </c>
      <c r="Q7" s="3185"/>
      <c r="R7" s="770" t="s">
        <v>17</v>
      </c>
      <c r="S7" s="771">
        <f t="shared" ref="S7:S15" si="0">F7</f>
        <v>0</v>
      </c>
      <c r="T7" s="770" t="s">
        <v>17</v>
      </c>
      <c r="U7" s="771">
        <f t="shared" ref="U7:U15" si="1">H7</f>
        <v>0</v>
      </c>
      <c r="V7" s="770" t="s">
        <v>17</v>
      </c>
      <c r="W7" s="771">
        <f t="shared" ref="W7:W15" si="2">J7</f>
        <v>0</v>
      </c>
      <c r="X7" s="772"/>
      <c r="Y7" s="3157" t="s">
        <v>2552</v>
      </c>
      <c r="Z7" s="315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2555</v>
      </c>
      <c r="Q8" s="3158"/>
      <c r="R8" s="770" t="s">
        <v>17</v>
      </c>
      <c r="S8" s="771">
        <f t="shared" si="0"/>
        <v>0</v>
      </c>
      <c r="T8" s="770" t="s">
        <v>17</v>
      </c>
      <c r="U8" s="771">
        <f t="shared" si="1"/>
        <v>0</v>
      </c>
      <c r="V8" s="770" t="s">
        <v>17</v>
      </c>
      <c r="W8" s="771">
        <f t="shared" si="2"/>
        <v>0</v>
      </c>
      <c r="X8" s="772"/>
      <c r="Y8" s="3157" t="s">
        <v>2555</v>
      </c>
      <c r="Z8" s="3158"/>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9" t="s">
        <v>2558</v>
      </c>
      <c r="Q9" s="1799" t="str">
        <f t="shared" ref="Q9:Q15" si="6">B9</f>
        <v>用途</v>
      </c>
      <c r="R9" s="770" t="s">
        <v>17</v>
      </c>
      <c r="S9" s="771">
        <f t="shared" si="0"/>
        <v>100</v>
      </c>
      <c r="T9" s="770" t="s">
        <v>17</v>
      </c>
      <c r="U9" s="771">
        <f t="shared" si="1"/>
        <v>100</v>
      </c>
      <c r="V9" s="770" t="s">
        <v>17</v>
      </c>
      <c r="W9" s="771">
        <f t="shared" si="2"/>
        <v>100</v>
      </c>
      <c r="X9" s="772"/>
      <c r="Y9" s="300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89"/>
      <c r="Q10" s="1799" t="str">
        <f t="shared" si="6"/>
        <v>土地使用年限（年）</v>
      </c>
      <c r="R10" s="770" t="s">
        <v>17</v>
      </c>
      <c r="S10" s="771">
        <f t="shared" si="0"/>
        <v>106</v>
      </c>
      <c r="T10" s="770" t="s">
        <v>17</v>
      </c>
      <c r="U10" s="771">
        <f t="shared" si="1"/>
        <v>106</v>
      </c>
      <c r="V10" s="770" t="s">
        <v>17</v>
      </c>
      <c r="W10" s="771">
        <f t="shared" si="2"/>
        <v>106</v>
      </c>
      <c r="X10" s="772"/>
      <c r="Y10" s="3003"/>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9"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9">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9">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9">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2563</v>
      </c>
      <c r="Q15" s="1814" t="str">
        <f t="shared" si="6"/>
        <v>产业集聚程度</v>
      </c>
      <c r="R15" s="774" t="s">
        <v>17</v>
      </c>
      <c r="S15" s="775">
        <f t="shared" si="0"/>
        <v>100</v>
      </c>
      <c r="T15" s="774" t="s">
        <v>17</v>
      </c>
      <c r="U15" s="775">
        <f t="shared" si="1"/>
        <v>100</v>
      </c>
      <c r="V15" s="774" t="s">
        <v>17</v>
      </c>
      <c r="W15" s="775">
        <f t="shared" si="2"/>
        <v>100</v>
      </c>
      <c r="X15" s="1817"/>
      <c r="Y15" s="3191" t="s">
        <v>2563</v>
      </c>
      <c r="Z15" s="1818" t="str">
        <f t="shared" si="7"/>
        <v>产业集聚程度</v>
      </c>
      <c r="AA15" s="1815">
        <f t="shared" si="3"/>
        <v>1</v>
      </c>
      <c r="AB15" s="1815">
        <f t="shared" si="4"/>
        <v>1</v>
      </c>
      <c r="AC15" s="1815">
        <f t="shared" si="5"/>
        <v>1</v>
      </c>
    </row>
    <row r="16" spans="1:29" ht="15">
      <c r="A16" s="428"/>
      <c r="B16" s="630"/>
      <c r="C16" s="447"/>
      <c r="D16" s="448"/>
      <c r="E16" s="2617"/>
      <c r="F16" s="448"/>
      <c r="G16" s="2617"/>
      <c r="H16" s="450"/>
      <c r="I16" s="2617"/>
      <c r="J16" s="448"/>
      <c r="K16" s="672"/>
      <c r="L16" s="1143"/>
      <c r="M16" s="1134"/>
      <c r="N16" s="1134"/>
      <c r="O16" s="1142"/>
      <c r="P16" s="3192"/>
      <c r="Q16" s="1814"/>
      <c r="R16" s="774"/>
      <c r="S16" s="775"/>
      <c r="T16" s="774"/>
      <c r="U16" s="775"/>
      <c r="V16" s="774"/>
      <c r="W16" s="775"/>
      <c r="X16" s="1817"/>
      <c r="Y16" s="3192"/>
      <c r="Z16" s="1818"/>
      <c r="AA16" s="1815">
        <v>1</v>
      </c>
      <c r="AB16" s="1815">
        <v>1</v>
      </c>
      <c r="AC16" s="1815">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4" t="str">
        <f>B17</f>
        <v>交通便捷度</v>
      </c>
      <c r="R17" s="774" t="s">
        <v>17</v>
      </c>
      <c r="S17" s="775">
        <f>F17</f>
        <v>100</v>
      </c>
      <c r="T17" s="774" t="s">
        <v>17</v>
      </c>
      <c r="U17" s="775">
        <f>H17</f>
        <v>100</v>
      </c>
      <c r="V17" s="774" t="s">
        <v>17</v>
      </c>
      <c r="W17" s="775">
        <f>J17</f>
        <v>100</v>
      </c>
      <c r="X17" s="1817"/>
      <c r="Y17" s="3192"/>
      <c r="Z17" s="1818" t="str">
        <f>Q17</f>
        <v>交通便捷度</v>
      </c>
      <c r="AA17" s="1815">
        <f t="shared" si="3"/>
        <v>1</v>
      </c>
      <c r="AB17" s="1815">
        <f t="shared" si="4"/>
        <v>1</v>
      </c>
      <c r="AC17" s="1815">
        <f t="shared" si="5"/>
        <v>1</v>
      </c>
    </row>
    <row r="18" spans="1:29" ht="15">
      <c r="A18" s="428"/>
      <c r="B18" s="632"/>
      <c r="C18" s="447"/>
      <c r="D18" s="448"/>
      <c r="E18" s="2611"/>
      <c r="F18" s="448"/>
      <c r="G18" s="2611"/>
      <c r="H18" s="448"/>
      <c r="I18" s="2610"/>
      <c r="J18" s="448"/>
      <c r="K18" s="672"/>
      <c r="L18" s="1143"/>
      <c r="M18" s="1134"/>
      <c r="N18" s="1134"/>
      <c r="O18" s="1142"/>
      <c r="P18" s="3192"/>
      <c r="Q18" s="1814"/>
      <c r="R18" s="774"/>
      <c r="S18" s="775"/>
      <c r="T18" s="774"/>
      <c r="U18" s="775"/>
      <c r="V18" s="774"/>
      <c r="W18" s="775"/>
      <c r="X18" s="1817"/>
      <c r="Y18" s="3192"/>
      <c r="Z18" s="1818"/>
      <c r="AA18" s="1815">
        <v>1</v>
      </c>
      <c r="AB18" s="1815">
        <v>1</v>
      </c>
      <c r="AC18" s="1815">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4" t="str">
        <f t="shared" ref="Q19:Q33" si="8">B19</f>
        <v>区域土地利用方向</v>
      </c>
      <c r="R19" s="774" t="s">
        <v>17</v>
      </c>
      <c r="S19" s="775">
        <f>F19</f>
        <v>100</v>
      </c>
      <c r="T19" s="774" t="s">
        <v>17</v>
      </c>
      <c r="U19" s="775">
        <f>H19</f>
        <v>100</v>
      </c>
      <c r="V19" s="774" t="s">
        <v>17</v>
      </c>
      <c r="W19" s="775">
        <f>J19</f>
        <v>100</v>
      </c>
      <c r="X19" s="1817"/>
      <c r="Y19" s="3192"/>
      <c r="Z19" s="1818" t="str">
        <f>Q19</f>
        <v>区域土地利用方向</v>
      </c>
      <c r="AA19" s="1815">
        <f t="shared" si="3"/>
        <v>1</v>
      </c>
      <c r="AB19" s="1815">
        <f t="shared" si="4"/>
        <v>1</v>
      </c>
      <c r="AC19" s="1815">
        <f t="shared" si="5"/>
        <v>1</v>
      </c>
    </row>
    <row r="20" spans="1:29" ht="15">
      <c r="A20" s="404"/>
      <c r="B20" s="632"/>
      <c r="C20" s="447"/>
      <c r="D20" s="448"/>
      <c r="E20" s="2611"/>
      <c r="F20" s="448"/>
      <c r="G20" s="2611"/>
      <c r="H20" s="448"/>
      <c r="I20" s="2611"/>
      <c r="J20" s="448"/>
      <c r="K20" s="812"/>
      <c r="L20" s="1143"/>
      <c r="M20" s="1134"/>
      <c r="N20" s="1134"/>
      <c r="O20" s="1142"/>
      <c r="P20" s="3192"/>
      <c r="Q20" s="1814"/>
      <c r="R20" s="774"/>
      <c r="S20" s="775"/>
      <c r="T20" s="774"/>
      <c r="U20" s="775"/>
      <c r="V20" s="774"/>
      <c r="W20" s="775"/>
      <c r="X20" s="1817"/>
      <c r="Y20" s="3192"/>
      <c r="Z20" s="1818"/>
      <c r="AA20" s="1815"/>
      <c r="AB20" s="1815"/>
      <c r="AC20" s="1815"/>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4" t="str">
        <f t="shared" si="8"/>
        <v>环境状况</v>
      </c>
      <c r="R21" s="774" t="s">
        <v>17</v>
      </c>
      <c r="S21" s="775">
        <f>F21</f>
        <v>100</v>
      </c>
      <c r="T21" s="774" t="s">
        <v>17</v>
      </c>
      <c r="U21" s="775">
        <f>H21</f>
        <v>100</v>
      </c>
      <c r="V21" s="774" t="s">
        <v>17</v>
      </c>
      <c r="W21" s="775">
        <f>J21</f>
        <v>100</v>
      </c>
      <c r="X21" s="1817"/>
      <c r="Y21" s="3192"/>
      <c r="Z21" s="1818" t="str">
        <f>Q21</f>
        <v>环境状况</v>
      </c>
      <c r="AA21" s="1815">
        <f t="shared" si="3"/>
        <v>1</v>
      </c>
      <c r="AB21" s="1815">
        <f t="shared" si="4"/>
        <v>1</v>
      </c>
      <c r="AC21" s="1815">
        <f t="shared" si="5"/>
        <v>1</v>
      </c>
    </row>
    <row r="22" spans="1:29" ht="15">
      <c r="A22" s="404"/>
      <c r="B22" s="632"/>
      <c r="C22" s="447"/>
      <c r="D22" s="448"/>
      <c r="E22" s="2617"/>
      <c r="F22" s="448"/>
      <c r="G22" s="2617"/>
      <c r="H22" s="448"/>
      <c r="I22" s="447"/>
      <c r="J22" s="448"/>
      <c r="K22" s="672"/>
      <c r="L22" s="1143"/>
      <c r="M22" s="1134"/>
      <c r="N22" s="1134"/>
      <c r="O22" s="1142"/>
      <c r="P22" s="3192"/>
      <c r="Q22" s="1814"/>
      <c r="R22" s="774"/>
      <c r="S22" s="775"/>
      <c r="T22" s="774"/>
      <c r="U22" s="775"/>
      <c r="V22" s="774"/>
      <c r="W22" s="775"/>
      <c r="X22" s="1817"/>
      <c r="Y22" s="3192"/>
      <c r="Z22" s="1818"/>
      <c r="AA22" s="1815">
        <v>1</v>
      </c>
      <c r="AB22" s="1815">
        <v>1</v>
      </c>
      <c r="AC22" s="1815">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9" t="str">
        <f t="shared" si="8"/>
        <v>公共配套设施</v>
      </c>
      <c r="R23" s="770" t="s">
        <v>17</v>
      </c>
      <c r="S23" s="771">
        <f>F23</f>
        <v>100</v>
      </c>
      <c r="T23" s="770" t="s">
        <v>17</v>
      </c>
      <c r="U23" s="771">
        <f>H23</f>
        <v>100</v>
      </c>
      <c r="V23" s="770" t="s">
        <v>17</v>
      </c>
      <c r="W23" s="771">
        <f>J23</f>
        <v>100</v>
      </c>
      <c r="X23" s="772"/>
      <c r="Y23" s="3192"/>
      <c r="Z23" s="55" t="str">
        <f>Q23</f>
        <v>公共配套设施</v>
      </c>
      <c r="AA23" s="1815">
        <f>D23/F23</f>
        <v>1</v>
      </c>
      <c r="AB23" s="1815">
        <f>D23/H23</f>
        <v>1</v>
      </c>
      <c r="AC23" s="1815">
        <f>D23/J23</f>
        <v>1</v>
      </c>
    </row>
    <row r="24" spans="1:29" s="117" customFormat="1" ht="15">
      <c r="A24" s="649"/>
      <c r="B24" s="632"/>
      <c r="C24" s="2706"/>
      <c r="D24" s="448"/>
      <c r="E24" s="2617"/>
      <c r="F24" s="448"/>
      <c r="G24" s="2617"/>
      <c r="H24" s="448"/>
      <c r="I24" s="447"/>
      <c r="J24" s="448"/>
      <c r="K24" s="672"/>
      <c r="L24" s="1135"/>
      <c r="M24" s="1136"/>
      <c r="N24" s="1136"/>
      <c r="O24" s="1137"/>
      <c r="P24" s="3192"/>
      <c r="Q24" s="1799"/>
      <c r="R24" s="770"/>
      <c r="S24" s="771"/>
      <c r="T24" s="770"/>
      <c r="U24" s="771"/>
      <c r="V24" s="770"/>
      <c r="W24" s="771"/>
      <c r="X24" s="772"/>
      <c r="Y24" s="3192"/>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9"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5">
        <f>D25/F25</f>
        <v>1</v>
      </c>
      <c r="AB25" s="1815">
        <f>D25/H25</f>
        <v>1</v>
      </c>
      <c r="AC25" s="1815">
        <f>D25/J25</f>
        <v>1</v>
      </c>
    </row>
    <row r="26" spans="1:29" s="117" customFormat="1" ht="15">
      <c r="A26" s="649"/>
      <c r="B26" s="632"/>
      <c r="C26" s="2706"/>
      <c r="D26" s="448"/>
      <c r="E26" s="2707"/>
      <c r="F26" s="448"/>
      <c r="G26" s="2707"/>
      <c r="H26" s="448"/>
      <c r="I26" s="2707"/>
      <c r="J26" s="448"/>
      <c r="K26" s="672"/>
      <c r="L26" s="1135"/>
      <c r="M26" s="1136"/>
      <c r="N26" s="1136"/>
      <c r="O26" s="1137"/>
      <c r="P26" s="3192"/>
      <c r="Q26" s="1799"/>
      <c r="R26" s="770"/>
      <c r="S26" s="771"/>
      <c r="T26" s="770"/>
      <c r="U26" s="771"/>
      <c r="V26" s="770"/>
      <c r="W26" s="771"/>
      <c r="X26" s="772"/>
      <c r="Y26" s="319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92"/>
      <c r="Z27" s="1818" t="str">
        <f t="shared" ref="Z27:Z40" si="13">Q27</f>
        <v>临街状况</v>
      </c>
      <c r="AA27" s="1815">
        <f t="shared" si="3"/>
        <v>1</v>
      </c>
      <c r="AB27" s="1815">
        <f t="shared" si="4"/>
        <v>1</v>
      </c>
      <c r="AC27" s="1815">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4" t="str">
        <f t="shared" si="8"/>
        <v>毗邻道路的类型与等级</v>
      </c>
      <c r="R28" s="774" t="s">
        <v>17</v>
      </c>
      <c r="S28" s="775">
        <f t="shared" si="10"/>
        <v>100</v>
      </c>
      <c r="T28" s="774" t="s">
        <v>17</v>
      </c>
      <c r="U28" s="775">
        <f t="shared" si="11"/>
        <v>100</v>
      </c>
      <c r="V28" s="774" t="s">
        <v>17</v>
      </c>
      <c r="W28" s="775">
        <f t="shared" si="12"/>
        <v>100</v>
      </c>
      <c r="X28" s="1817"/>
      <c r="Y28" s="3192"/>
      <c r="Z28" s="1818" t="str">
        <f t="shared" si="13"/>
        <v>毗邻道路的类型与等级</v>
      </c>
      <c r="AA28" s="1815">
        <f t="shared" si="3"/>
        <v>1</v>
      </c>
      <c r="AB28" s="1815">
        <f t="shared" si="4"/>
        <v>1</v>
      </c>
      <c r="AC28" s="1815">
        <f t="shared" si="5"/>
        <v>1</v>
      </c>
    </row>
    <row r="29" spans="1:29" ht="15">
      <c r="A29" s="428"/>
      <c r="B29" s="632"/>
      <c r="C29" s="447"/>
      <c r="D29" s="448"/>
      <c r="E29" s="2617"/>
      <c r="F29" s="448"/>
      <c r="G29" s="2617"/>
      <c r="H29" s="448"/>
      <c r="I29" s="2617"/>
      <c r="J29" s="448"/>
      <c r="K29" s="613"/>
      <c r="L29" s="1143"/>
      <c r="M29" s="1134"/>
      <c r="N29" s="1134"/>
      <c r="O29" s="1142"/>
      <c r="P29" s="3192"/>
      <c r="Q29" s="1814"/>
      <c r="R29" s="774"/>
      <c r="S29" s="775"/>
      <c r="T29" s="774"/>
      <c r="U29" s="775"/>
      <c r="V29" s="774"/>
      <c r="W29" s="775"/>
      <c r="X29" s="1817"/>
      <c r="Y29" s="3192"/>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4" t="str">
        <f t="shared" si="8"/>
        <v>土地级别</v>
      </c>
      <c r="R30" s="774" t="s">
        <v>17</v>
      </c>
      <c r="S30" s="775">
        <f t="shared" si="10"/>
        <v>100</v>
      </c>
      <c r="T30" s="774" t="s">
        <v>17</v>
      </c>
      <c r="U30" s="775">
        <f t="shared" si="11"/>
        <v>100</v>
      </c>
      <c r="V30" s="774" t="s">
        <v>17</v>
      </c>
      <c r="W30" s="775">
        <f t="shared" si="12"/>
        <v>100</v>
      </c>
      <c r="X30" s="1817"/>
      <c r="Y30" s="3192"/>
      <c r="Z30" s="1818" t="str">
        <f t="shared" si="13"/>
        <v>土地级别</v>
      </c>
      <c r="AA30" s="1815">
        <f t="shared" si="3"/>
        <v>1</v>
      </c>
      <c r="AB30" s="1815">
        <f t="shared" si="4"/>
        <v>1</v>
      </c>
      <c r="AC30" s="1815">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4">
        <f t="shared" si="8"/>
        <v>111</v>
      </c>
      <c r="R31" s="774" t="s">
        <v>17</v>
      </c>
      <c r="S31" s="775">
        <f t="shared" si="10"/>
        <v>100</v>
      </c>
      <c r="T31" s="774" t="s">
        <v>17</v>
      </c>
      <c r="U31" s="775">
        <f t="shared" si="11"/>
        <v>100</v>
      </c>
      <c r="V31" s="774" t="s">
        <v>17</v>
      </c>
      <c r="W31" s="775">
        <f t="shared" si="12"/>
        <v>100</v>
      </c>
      <c r="X31" s="1817"/>
      <c r="Y31" s="3192"/>
      <c r="Z31" s="1818">
        <f t="shared" si="13"/>
        <v>111</v>
      </c>
      <c r="AA31" s="1815">
        <f t="shared" si="3"/>
        <v>1</v>
      </c>
      <c r="AB31" s="1815">
        <f t="shared" si="4"/>
        <v>1</v>
      </c>
      <c r="AC31" s="1815">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2568</v>
      </c>
      <c r="Q32" s="1814">
        <f t="shared" si="8"/>
        <v>111</v>
      </c>
      <c r="R32" s="774" t="s">
        <v>17</v>
      </c>
      <c r="S32" s="775">
        <f t="shared" si="10"/>
        <v>100</v>
      </c>
      <c r="T32" s="774" t="s">
        <v>17</v>
      </c>
      <c r="U32" s="775">
        <f t="shared" si="11"/>
        <v>100</v>
      </c>
      <c r="V32" s="774" t="s">
        <v>17</v>
      </c>
      <c r="W32" s="775">
        <f t="shared" si="12"/>
        <v>100</v>
      </c>
      <c r="X32" s="1817"/>
      <c r="Y32" s="3196" t="s">
        <v>2568</v>
      </c>
      <c r="Z32" s="1818">
        <f t="shared" si="13"/>
        <v>111</v>
      </c>
      <c r="AA32" s="1815">
        <f t="shared" si="3"/>
        <v>1</v>
      </c>
      <c r="AB32" s="1815">
        <f t="shared" si="4"/>
        <v>1</v>
      </c>
      <c r="AC32" s="1815">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4">
        <f t="shared" si="8"/>
        <v>111</v>
      </c>
      <c r="R33" s="777" t="s">
        <v>17</v>
      </c>
      <c r="S33" s="778">
        <f t="shared" si="10"/>
        <v>100</v>
      </c>
      <c r="T33" s="777" t="s">
        <v>17</v>
      </c>
      <c r="U33" s="778">
        <f t="shared" si="11"/>
        <v>100</v>
      </c>
      <c r="V33" s="777" t="s">
        <v>17</v>
      </c>
      <c r="W33" s="778">
        <f t="shared" si="12"/>
        <v>100</v>
      </c>
      <c r="X33" s="779"/>
      <c r="Y33" s="3196"/>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4" t="str">
        <f>B34</f>
        <v>宗地面积</v>
      </c>
      <c r="R34" s="774" t="s">
        <v>17</v>
      </c>
      <c r="S34" s="775" t="e">
        <f t="shared" si="10"/>
        <v>#N/A</v>
      </c>
      <c r="T34" s="774" t="s">
        <v>17</v>
      </c>
      <c r="U34" s="775" t="e">
        <f t="shared" si="11"/>
        <v>#N/A</v>
      </c>
      <c r="V34" s="774" t="s">
        <v>17</v>
      </c>
      <c r="W34" s="775" t="e">
        <f t="shared" si="12"/>
        <v>#N/A</v>
      </c>
      <c r="X34" s="1817"/>
      <c r="Y34" s="3196"/>
      <c r="Z34" s="1818" t="str">
        <f t="shared" si="13"/>
        <v>宗地面积</v>
      </c>
      <c r="AA34" s="1815" t="e">
        <f t="shared" si="3"/>
        <v>#N/A</v>
      </c>
      <c r="AB34" s="1815" t="e">
        <f t="shared" si="4"/>
        <v>#N/A</v>
      </c>
      <c r="AC34" s="1815"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6"/>
      <c r="Q35" s="1814" t="str">
        <f t="shared" ref="Q35:Q40" si="14">B35</f>
        <v>宗地形状</v>
      </c>
      <c r="R35" s="774" t="s">
        <v>17</v>
      </c>
      <c r="S35" s="775">
        <f t="shared" si="10"/>
        <v>100</v>
      </c>
      <c r="T35" s="774" t="s">
        <v>17</v>
      </c>
      <c r="U35" s="775">
        <f t="shared" si="11"/>
        <v>100</v>
      </c>
      <c r="V35" s="774" t="s">
        <v>17</v>
      </c>
      <c r="W35" s="775">
        <f t="shared" si="12"/>
        <v>100</v>
      </c>
      <c r="X35" s="1817"/>
      <c r="Y35" s="3196"/>
      <c r="Z35" s="1818" t="str">
        <f t="shared" si="13"/>
        <v>宗地形状</v>
      </c>
      <c r="AA35" s="1815">
        <f t="shared" si="3"/>
        <v>1</v>
      </c>
      <c r="AB35" s="1815">
        <f t="shared" si="4"/>
        <v>1</v>
      </c>
      <c r="AC35" s="1815">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6"/>
      <c r="Q36" s="1814"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6" t="s">
        <v>2568</v>
      </c>
      <c r="Q37" s="1814" t="str">
        <f t="shared" si="14"/>
        <v>工程地质条件</v>
      </c>
      <c r="R37" s="774" t="s">
        <v>17</v>
      </c>
      <c r="S37" s="775">
        <f t="shared" si="10"/>
        <v>100</v>
      </c>
      <c r="T37" s="774" t="s">
        <v>17</v>
      </c>
      <c r="U37" s="775">
        <f t="shared" si="11"/>
        <v>100</v>
      </c>
      <c r="V37" s="774" t="s">
        <v>17</v>
      </c>
      <c r="W37" s="775">
        <f t="shared" si="12"/>
        <v>100</v>
      </c>
      <c r="X37" s="1817"/>
      <c r="Y37" s="3196"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4">
        <f t="shared" si="14"/>
        <v>111</v>
      </c>
      <c r="R38" s="774" t="s">
        <v>17</v>
      </c>
      <c r="S38" s="775">
        <f t="shared" si="10"/>
        <v>100</v>
      </c>
      <c r="T38" s="774" t="s">
        <v>17</v>
      </c>
      <c r="U38" s="775">
        <f t="shared" si="11"/>
        <v>100</v>
      </c>
      <c r="V38" s="774" t="s">
        <v>17</v>
      </c>
      <c r="W38" s="775">
        <f t="shared" si="12"/>
        <v>100</v>
      </c>
      <c r="X38" s="1817"/>
      <c r="Y38" s="3196"/>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4">
        <f t="shared" si="14"/>
        <v>111</v>
      </c>
      <c r="R39" s="774" t="s">
        <v>17</v>
      </c>
      <c r="S39" s="775">
        <f t="shared" si="10"/>
        <v>100</v>
      </c>
      <c r="T39" s="774" t="s">
        <v>17</v>
      </c>
      <c r="U39" s="775">
        <f t="shared" si="11"/>
        <v>100</v>
      </c>
      <c r="V39" s="774" t="s">
        <v>17</v>
      </c>
      <c r="W39" s="775">
        <f t="shared" si="12"/>
        <v>100</v>
      </c>
      <c r="X39" s="1817"/>
      <c r="Y39" s="3196"/>
      <c r="Z39" s="1818">
        <f t="shared" si="13"/>
        <v>111</v>
      </c>
      <c r="AA39" s="1815">
        <f t="shared" si="3"/>
        <v>1</v>
      </c>
      <c r="AB39" s="1815">
        <f t="shared" si="4"/>
        <v>1</v>
      </c>
      <c r="AC39" s="1815">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4">
        <f t="shared" si="14"/>
        <v>111</v>
      </c>
      <c r="R40" s="777" t="s">
        <v>17</v>
      </c>
      <c r="S40" s="778">
        <f t="shared" si="10"/>
        <v>100</v>
      </c>
      <c r="T40" s="777" t="s">
        <v>17</v>
      </c>
      <c r="U40" s="778">
        <f t="shared" si="11"/>
        <v>100</v>
      </c>
      <c r="V40" s="777" t="s">
        <v>17</v>
      </c>
      <c r="W40" s="778">
        <f t="shared" si="12"/>
        <v>100</v>
      </c>
      <c r="X40" s="779"/>
      <c r="Y40" s="3196"/>
      <c r="Z40" s="780">
        <f t="shared" si="13"/>
        <v>111</v>
      </c>
      <c r="AA40" s="1815">
        <f t="shared" si="3"/>
        <v>1</v>
      </c>
      <c r="AB40" s="1815">
        <f t="shared" si="4"/>
        <v>1</v>
      </c>
      <c r="AC40" s="1815">
        <f t="shared" si="5"/>
        <v>1</v>
      </c>
    </row>
    <row r="41" spans="1:29" ht="15">
      <c r="A41" s="479" t="s">
        <v>2723</v>
      </c>
      <c r="B41" s="2710" t="s">
        <v>2803</v>
      </c>
      <c r="C41" s="682" t="s">
        <v>1</v>
      </c>
      <c r="D41" s="481"/>
      <c r="E41" s="482"/>
      <c r="F41" s="483"/>
      <c r="G41" s="484"/>
      <c r="H41" s="485"/>
      <c r="I41" s="482"/>
      <c r="J41" s="485"/>
      <c r="K41" s="783"/>
      <c r="L41" s="1146"/>
      <c r="M41" s="1134"/>
      <c r="N41" s="1134"/>
      <c r="O41" s="1147"/>
      <c r="P41" s="3189" t="str">
        <f>A41</f>
        <v>成交单价</v>
      </c>
      <c r="Q41" s="3189"/>
      <c r="R41" s="3184">
        <f>E41</f>
        <v>0</v>
      </c>
      <c r="S41" s="3184"/>
      <c r="T41" s="3184">
        <f>G41</f>
        <v>0</v>
      </c>
      <c r="U41" s="3184"/>
      <c r="V41" s="3184">
        <f>I41</f>
        <v>0</v>
      </c>
      <c r="W41" s="318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17" t="e">
        <f>ROUND(AVERAGE(R42:V42),0)</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72" t="s">
        <v>2767</v>
      </c>
      <c r="H50" s="3218"/>
      <c r="I50" s="1818" t="s">
        <v>2804</v>
      </c>
      <c r="J50" s="1818">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4115.6000000000004</v>
      </c>
      <c r="F51" s="691" t="e">
        <f t="shared" ref="F51:F60" si="15">ROUND(B51*E51/10000,0)</f>
        <v>#DIV/0!</v>
      </c>
      <c r="G51" s="3171"/>
      <c r="H51" s="3189"/>
      <c r="I51" s="945">
        <v>1</v>
      </c>
      <c r="J51" s="945">
        <v>1</v>
      </c>
      <c r="K51" s="1148"/>
      <c r="L51" s="944"/>
      <c r="M51" s="944"/>
      <c r="N51" s="944"/>
      <c r="O51" s="944"/>
    </row>
    <row r="52" spans="1:17" s="692" customFormat="1">
      <c r="A52" s="693" t="s">
        <v>2771</v>
      </c>
      <c r="B52" s="262" t="e">
        <f>ROUND($C$43*C52*D52,0)</f>
        <v>#DIV/0!</v>
      </c>
      <c r="C52" s="200">
        <f t="shared" ref="C52:C60" si="16">IF($C$50="北京市系数",I52,J52)</f>
        <v>0.8</v>
      </c>
      <c r="D52" s="1167">
        <v>0.25</v>
      </c>
      <c r="E52" s="694"/>
      <c r="F52" s="691" t="e">
        <f t="shared" si="15"/>
        <v>#DIV/0!</v>
      </c>
      <c r="G52" s="3219" t="s">
        <v>2772</v>
      </c>
      <c r="H52" s="1107" t="str">
        <f>项目基本情况!B37</f>
        <v>二级</v>
      </c>
      <c r="I52" s="945">
        <f>SUMIF(修正!A45:A56,H52,修正!B45:B56)</f>
        <v>0.8</v>
      </c>
      <c r="J52" s="946"/>
      <c r="K52" s="1147"/>
      <c r="L52" s="944"/>
      <c r="M52" s="944"/>
      <c r="N52" s="944"/>
      <c r="O52" s="944"/>
    </row>
    <row r="53" spans="1:17" s="692" customFormat="1">
      <c r="A53" s="693" t="s">
        <v>2773</v>
      </c>
      <c r="B53" s="262" t="e">
        <f t="shared" ref="B53:B60" si="17">ROUND($C$43*C53*D53,0)</f>
        <v>#DIV/0!</v>
      </c>
      <c r="C53" s="200">
        <f t="shared" si="16"/>
        <v>0.5</v>
      </c>
      <c r="D53" s="1167">
        <v>0.25</v>
      </c>
      <c r="E53" s="694"/>
      <c r="F53" s="691" t="e">
        <f t="shared" si="15"/>
        <v>#DIV/0!</v>
      </c>
      <c r="G53" s="3219"/>
      <c r="H53" s="1107" t="str">
        <f>项目基本情况!B37</f>
        <v>二级</v>
      </c>
      <c r="I53" s="945">
        <f>SUMIF(修正!A45:A56,H53,修正!C45:C56)</f>
        <v>0.5</v>
      </c>
      <c r="J53" s="946"/>
      <c r="K53" s="1148"/>
      <c r="L53" s="944"/>
      <c r="M53" s="944"/>
      <c r="N53" s="944"/>
      <c r="O53" s="944"/>
    </row>
    <row r="54" spans="1:17" s="692" customFormat="1">
      <c r="A54" s="693" t="s">
        <v>2774</v>
      </c>
      <c r="B54" s="262" t="e">
        <f t="shared" si="17"/>
        <v>#DIV/0!</v>
      </c>
      <c r="C54" s="200">
        <f t="shared" si="16"/>
        <v>0.36</v>
      </c>
      <c r="D54" s="1167">
        <v>0.25</v>
      </c>
      <c r="E54" s="694"/>
      <c r="F54" s="691" t="e">
        <f t="shared" si="15"/>
        <v>#DIV/0!</v>
      </c>
      <c r="G54" s="3219"/>
      <c r="H54" s="1107" t="str">
        <f>项目基本情况!B37</f>
        <v>二级</v>
      </c>
      <c r="I54" s="945">
        <f>SUMIF(修正!A45:A56,H54,修正!D45:D56)</f>
        <v>0.36</v>
      </c>
      <c r="J54" s="946"/>
      <c r="K54" s="1147"/>
      <c r="L54" s="944"/>
      <c r="M54" s="944"/>
      <c r="N54" s="944"/>
      <c r="O54" s="944"/>
    </row>
    <row r="55" spans="1:17" s="692" customFormat="1">
      <c r="A55" s="693" t="s">
        <v>2775</v>
      </c>
      <c r="B55" s="262" t="e">
        <f t="shared" si="17"/>
        <v>#DIV/0!</v>
      </c>
      <c r="C55" s="200">
        <f t="shared" si="16"/>
        <v>0.3</v>
      </c>
      <c r="D55" s="1167">
        <v>0.25</v>
      </c>
      <c r="E55" s="694"/>
      <c r="F55" s="691" t="e">
        <f t="shared" si="15"/>
        <v>#DIV/0!</v>
      </c>
      <c r="G55" s="3219"/>
      <c r="H55" s="1107" t="str">
        <f>项目基本情况!B37</f>
        <v>二级</v>
      </c>
      <c r="I55" s="945">
        <f>SUMIF(修正!A45:A56,H55,修正!E45:E56)</f>
        <v>0.3</v>
      </c>
      <c r="J55" s="946"/>
      <c r="K55" s="1148"/>
      <c r="L55" s="944"/>
      <c r="M55" s="944"/>
      <c r="N55" s="944"/>
      <c r="O55" s="944"/>
    </row>
    <row r="56" spans="1:17" s="692" customFormat="1">
      <c r="A56" s="693" t="s">
        <v>2776</v>
      </c>
      <c r="B56" s="262" t="e">
        <f t="shared" si="17"/>
        <v>#DIV/0!</v>
      </c>
      <c r="C56" s="200">
        <f t="shared" si="16"/>
        <v>0.3</v>
      </c>
      <c r="D56" s="1167">
        <v>0.25</v>
      </c>
      <c r="E56" s="261">
        <f>'数据-汇总表'!E11</f>
        <v>523.4</v>
      </c>
      <c r="F56" s="691" t="e">
        <f t="shared" si="15"/>
        <v>#DIV/0!</v>
      </c>
      <c r="G56" s="2715" t="s">
        <v>2777</v>
      </c>
      <c r="H56" s="1107" t="str">
        <f>项目基本情况!C37</f>
        <v>二级</v>
      </c>
      <c r="I56" s="945">
        <f>SUMIF(修正!A45:A56,H56,修正!F45:F56)</f>
        <v>0.3</v>
      </c>
      <c r="J56" s="946"/>
      <c r="K56" s="1147"/>
      <c r="L56" s="944"/>
      <c r="M56" s="944"/>
      <c r="N56" s="944"/>
      <c r="O56" s="944"/>
    </row>
    <row r="57" spans="1:17" s="692" customFormat="1">
      <c r="A57" s="693" t="s">
        <v>2778</v>
      </c>
      <c r="B57" s="262" t="e">
        <f t="shared" si="17"/>
        <v>#DIV/0!</v>
      </c>
      <c r="C57" s="200">
        <f t="shared" si="16"/>
        <v>0.3</v>
      </c>
      <c r="D57" s="1167">
        <v>0.25</v>
      </c>
      <c r="E57" s="261">
        <f>'数据-汇总表'!E12</f>
        <v>0</v>
      </c>
      <c r="F57" s="691" t="e">
        <f t="shared" si="15"/>
        <v>#DIV/0!</v>
      </c>
      <c r="G57" s="1112" t="s">
        <v>2779</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2780</v>
      </c>
      <c r="B58" s="262" t="e">
        <f t="shared" si="17"/>
        <v>#DIV/0!</v>
      </c>
      <c r="C58" s="200">
        <f t="shared" si="16"/>
        <v>0.25</v>
      </c>
      <c r="D58" s="1167">
        <v>0.25</v>
      </c>
      <c r="E58" s="261">
        <f>'数据-汇总表'!E13</f>
        <v>0</v>
      </c>
      <c r="F58" s="691" t="e">
        <f t="shared" si="15"/>
        <v>#DIV/0!</v>
      </c>
      <c r="G58" s="1112" t="s">
        <v>2781</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2782</v>
      </c>
      <c r="B59" s="262" t="e">
        <f t="shared" si="17"/>
        <v>#DIV/0!</v>
      </c>
      <c r="C59" s="200">
        <f t="shared" si="16"/>
        <v>0.25</v>
      </c>
      <c r="D59" s="1167">
        <v>0.25</v>
      </c>
      <c r="E59" s="261">
        <f>'数据-汇总表'!E14</f>
        <v>0</v>
      </c>
      <c r="F59" s="691" t="e">
        <f t="shared" si="15"/>
        <v>#DIV/0!</v>
      </c>
      <c r="G59" s="2715" t="s">
        <v>2772</v>
      </c>
      <c r="H59" s="1107" t="str">
        <f>项目基本情况!B37</f>
        <v>二级</v>
      </c>
      <c r="I59" s="945">
        <f>SUMIF(修正!A45:A56,H59,修正!H45:H56)</f>
        <v>0.25</v>
      </c>
      <c r="J59" s="946"/>
      <c r="K59" s="1148"/>
      <c r="L59" s="944"/>
      <c r="M59" s="944"/>
      <c r="N59" s="944"/>
      <c r="O59" s="944"/>
    </row>
    <row r="60" spans="1:17" s="692" customFormat="1" ht="15" thickBot="1">
      <c r="A60" s="693" t="s">
        <v>2783</v>
      </c>
      <c r="B60" s="262" t="e">
        <f t="shared" si="17"/>
        <v>#DIV/0!</v>
      </c>
      <c r="C60" s="200">
        <f t="shared" si="16"/>
        <v>0.25</v>
      </c>
      <c r="D60" s="1167">
        <v>0.25</v>
      </c>
      <c r="E60" s="261">
        <f>'数据-汇总表'!E15</f>
        <v>0</v>
      </c>
      <c r="F60" s="691" t="e">
        <f t="shared" si="15"/>
        <v>#DIV/0!</v>
      </c>
      <c r="G60" s="2716" t="s">
        <v>2777</v>
      </c>
      <c r="H60" s="1117" t="str">
        <f>项目基本情况!C37</f>
        <v>二级</v>
      </c>
      <c r="I60" s="945">
        <f>SUMIF(修正!A45:A56,H60,修正!H45:H56)</f>
        <v>0.25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1597.9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2"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115" zoomScaleNormal="115" zoomScaleSheetLayoutView="96" workbookViewId="0">
      <selection activeCell="G28" sqref="G2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4639</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14662</v>
      </c>
      <c r="C2" s="2727" t="s">
        <v>2816</v>
      </c>
      <c r="D2" s="2728" t="s">
        <v>2817</v>
      </c>
      <c r="E2" s="2729" t="s">
        <v>27</v>
      </c>
      <c r="F2" s="2728" t="s">
        <v>2818</v>
      </c>
      <c r="G2" s="2730" t="str">
        <f>IF(E2="商业",项目基本情况!B37,IF(E2="办公",项目基本情况!C37,IF(E2="住宅",项目基本情况!D37,项目基本情况!E37)))</f>
        <v>二级</v>
      </c>
      <c r="H2" s="2728" t="s">
        <v>2819</v>
      </c>
      <c r="I2" s="2730" t="str">
        <f>IF(E2="商业",项目基本情况!B38,IF(E2="办公",项目基本情况!C38,IF(E2="住宅",项目基本情况!D38,项目基本情况!E38)))</f>
        <v>Ⅱ—19</v>
      </c>
      <c r="J2" s="2731"/>
      <c r="K2" s="1373"/>
      <c r="L2" s="2732" t="s">
        <v>2820</v>
      </c>
      <c r="M2" s="1084">
        <f>SUMPRODUCT((区片价!B10:B28=I2)*(区片价!C3:F3=E2)*(区片价!C10:F28))</f>
        <v>26610</v>
      </c>
      <c r="N2" s="1086">
        <f>SUMPRODUCT((因素修正幅度!B10:B28=I2)*(因素修正幅度!C3:F3=E2)*(因素修正幅度!C10:F28))</f>
        <v>7.5999999999999998E-2</v>
      </c>
      <c r="O2" s="1373"/>
      <c r="P2" s="1373"/>
      <c r="Q2" s="1373"/>
      <c r="R2" s="1606">
        <v>1</v>
      </c>
      <c r="S2" s="1606">
        <f>ROUND(IF(G3&gt;1,IF(R2&lt;7,SUMPRODUCT((B93:B98=R2)*(C92:N92=G2)*(C93:N98)),SUMIF(C92:N92,G2,C100:N100)),IF(R2&lt;7,SUMPRODUCT((B102:B107=R2)*(C92:N92=G2)*(C102:N107)),SUMIF(C92:N92,G2,C109:N109))),4)</f>
        <v>1.9361999999999999</v>
      </c>
      <c r="T2" s="1606">
        <f ca="1">ROUND($C$5*$C$18*$C$19*$C$20*S2*$C$24,0)</f>
        <v>61420</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31606</v>
      </c>
      <c r="C3" s="2727" t="s">
        <v>2822</v>
      </c>
      <c r="D3" s="2728" t="s">
        <v>2823</v>
      </c>
      <c r="E3" s="2733" t="s">
        <v>3072</v>
      </c>
      <c r="F3" s="2734" t="s">
        <v>2824</v>
      </c>
      <c r="G3" s="916">
        <f>IF(F3="宗地容积率",'数据-汇总表'!I4,IF(F3="估价对象容积率",'数据-汇总表'!I6,'数据-汇总表'!I7))</f>
        <v>2.64</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1.4198</v>
      </c>
      <c r="T3" s="1606">
        <f t="shared" ref="T3:T16" ca="1" si="0">ROUND($C$5*$C$18*$C$19*$C$20*S3*$C$24,0)</f>
        <v>45038</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8"/>
      <c r="B4" s="3239"/>
      <c r="C4" s="3239"/>
      <c r="D4" s="3240"/>
      <c r="E4" s="3240"/>
      <c r="F4" s="3240"/>
      <c r="G4" s="3240"/>
      <c r="H4" s="3240"/>
      <c r="I4" s="3240"/>
      <c r="J4" s="3241"/>
      <c r="K4" s="1373"/>
      <c r="L4" s="2732"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1.1594</v>
      </c>
      <c r="T4" s="1606">
        <f t="shared" ca="1" si="0"/>
        <v>36778</v>
      </c>
      <c r="U4" s="1607"/>
      <c r="V4" s="1606">
        <f t="shared" ca="1" si="1"/>
        <v>0</v>
      </c>
      <c r="W4" s="1610"/>
      <c r="X4" s="1610"/>
      <c r="Y4" s="1610"/>
      <c r="Z4" s="1610"/>
      <c r="AA4" s="1610"/>
      <c r="AB4" s="1610"/>
      <c r="AC4" s="1611"/>
      <c r="AD4" s="1612"/>
      <c r="AE4" s="1612"/>
      <c r="AF4" s="1612"/>
      <c r="AG4" s="1612"/>
      <c r="AH4" s="1612"/>
      <c r="AI4" s="1612"/>
      <c r="AJ4" s="1613"/>
    </row>
    <row r="5" spans="1:36" s="2744" customFormat="1" ht="15.75" thickBot="1">
      <c r="A5" s="2735" t="s">
        <v>807</v>
      </c>
      <c r="B5" s="2736" t="s">
        <v>2829</v>
      </c>
      <c r="C5" s="917">
        <f>ROUND(IF(E2="商业",IF(F16="增加",C6*C7+C16,C6*C7-C16),IF(E2="住宅",IF(F16="增加",C6*C12+C16,C6*C12-C16),IF(F16="增加",C6+C16,C6-C16))),0)</f>
        <v>26610</v>
      </c>
      <c r="D5" s="1791">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0.96220000000000006</v>
      </c>
      <c r="T5" s="1606">
        <f t="shared" ca="1" si="0"/>
        <v>30523</v>
      </c>
      <c r="U5" s="1607"/>
      <c r="V5" s="1606">
        <f t="shared" ca="1" si="1"/>
        <v>0</v>
      </c>
      <c r="W5" s="1610"/>
      <c r="X5" s="1610"/>
      <c r="Y5" s="1610"/>
      <c r="Z5" s="1610"/>
      <c r="AA5" s="1610"/>
      <c r="AB5" s="1610"/>
      <c r="AC5" s="2741"/>
      <c r="AD5" s="2742"/>
      <c r="AE5" s="2742"/>
      <c r="AF5" s="2742"/>
      <c r="AG5" s="2742"/>
      <c r="AH5" s="2742"/>
      <c r="AI5" s="2742"/>
      <c r="AJ5" s="2743"/>
    </row>
    <row r="6" spans="1:36" ht="15.75" thickBot="1">
      <c r="A6" s="2745" t="s">
        <v>2831</v>
      </c>
      <c r="B6" s="2746" t="s">
        <v>2832</v>
      </c>
      <c r="C6" s="918">
        <f>SUMIF(L1:L12,G2,M1:M12)</f>
        <v>26610</v>
      </c>
      <c r="D6" s="2747" t="s">
        <v>2833</v>
      </c>
      <c r="E6" s="2748"/>
      <c r="F6" s="2748"/>
      <c r="G6" s="2749"/>
      <c r="H6" s="2749"/>
      <c r="I6" s="2749"/>
      <c r="J6" s="2750"/>
      <c r="K6" s="1846"/>
      <c r="L6" s="2732"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0.8417</v>
      </c>
      <c r="T6" s="1606">
        <f t="shared" ca="1" si="0"/>
        <v>26700</v>
      </c>
      <c r="U6" s="1607"/>
      <c r="V6" s="1606">
        <f t="shared" ca="1" si="1"/>
        <v>0</v>
      </c>
      <c r="W6" s="1610"/>
      <c r="X6" s="1610"/>
      <c r="Y6" s="1610"/>
      <c r="Z6" s="1610"/>
      <c r="AA6" s="1610"/>
      <c r="AB6" s="1610"/>
      <c r="AC6" s="2741"/>
      <c r="AD6" s="2742"/>
      <c r="AE6" s="2742"/>
      <c r="AF6" s="2742"/>
      <c r="AG6" s="2742"/>
      <c r="AH6" s="2742"/>
      <c r="AI6" s="2742"/>
      <c r="AJ6" s="2743"/>
    </row>
    <row r="7" spans="1:36" ht="24">
      <c r="A7" s="3224" t="str">
        <f>IF(E2="商业",IF(C8="不临58条商业街","",2),"")</f>
        <v/>
      </c>
      <c r="B7" s="2751" t="s">
        <v>2835</v>
      </c>
      <c r="C7" s="919" t="e">
        <f>IF(C8="不临58条商业街",1,ROUND(1+(1.6*E8+1.2*E9+0.8*E10+0.4*E11)*C9,4))</f>
        <v>#DIV/0!</v>
      </c>
      <c r="D7" s="2752" t="s">
        <v>2836</v>
      </c>
      <c r="E7" s="948"/>
      <c r="F7" s="2753"/>
      <c r="G7" s="2754"/>
      <c r="H7" s="2754"/>
      <c r="I7" s="2754"/>
      <c r="J7" s="2755"/>
      <c r="K7" s="1846"/>
      <c r="L7" s="2732"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0.76080000000000003</v>
      </c>
      <c r="T7" s="1606">
        <f t="shared" ca="1" si="0"/>
        <v>24134</v>
      </c>
      <c r="U7" s="1607"/>
      <c r="V7" s="1606">
        <f t="shared" ca="1" si="1"/>
        <v>0</v>
      </c>
      <c r="W7" s="1820" t="s">
        <v>2838</v>
      </c>
      <c r="X7" s="1608" t="str">
        <f>G2</f>
        <v>二级</v>
      </c>
      <c r="Y7" s="1608" t="s">
        <v>2839</v>
      </c>
      <c r="Z7" s="1609">
        <f>G3</f>
        <v>2.64</v>
      </c>
      <c r="AA7" s="1610"/>
      <c r="AB7" s="1610"/>
      <c r="AC7" s="1611"/>
      <c r="AD7" s="1612"/>
      <c r="AE7" s="1612"/>
      <c r="AF7" s="1612"/>
      <c r="AG7" s="1612"/>
      <c r="AH7" s="1612"/>
      <c r="AI7" s="1612"/>
      <c r="AJ7" s="1613"/>
    </row>
    <row r="8" spans="1:36" ht="15">
      <c r="A8" s="3225"/>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5" t="s">
        <v>2843</v>
      </c>
      <c r="X8" s="3236"/>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25"/>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7"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5"/>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5"/>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7" t="s">
        <v>2867</v>
      </c>
      <c r="X11" s="1618" t="s">
        <v>2868</v>
      </c>
      <c r="Y11" s="1619">
        <f>$G$3</f>
        <v>2.64</v>
      </c>
      <c r="Z11" s="1619">
        <f t="shared" ref="Z11:AJ11" si="3">$G$3</f>
        <v>2.64</v>
      </c>
      <c r="AA11" s="1619">
        <f t="shared" si="3"/>
        <v>2.64</v>
      </c>
      <c r="AB11" s="1619">
        <f t="shared" si="3"/>
        <v>2.64</v>
      </c>
      <c r="AC11" s="1619">
        <f t="shared" si="3"/>
        <v>2.64</v>
      </c>
      <c r="AD11" s="1619">
        <f t="shared" si="3"/>
        <v>2.64</v>
      </c>
      <c r="AE11" s="1619">
        <f t="shared" si="3"/>
        <v>2.64</v>
      </c>
      <c r="AF11" s="1619">
        <f t="shared" si="3"/>
        <v>2.64</v>
      </c>
      <c r="AG11" s="1619">
        <f t="shared" si="3"/>
        <v>2.64</v>
      </c>
      <c r="AH11" s="1619">
        <f t="shared" si="3"/>
        <v>2.64</v>
      </c>
      <c r="AI11" s="1619">
        <f t="shared" si="3"/>
        <v>2.64</v>
      </c>
      <c r="AJ11" s="1619">
        <f t="shared" si="3"/>
        <v>2.64</v>
      </c>
    </row>
    <row r="12" spans="1:36" ht="25.5" thickBot="1">
      <c r="A12" s="3224"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7"/>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2"/>
      <c r="B13" s="2770" t="s">
        <v>2874</v>
      </c>
      <c r="C13" s="2771" t="s">
        <v>2875</v>
      </c>
      <c r="D13" s="1812" t="s">
        <v>2876</v>
      </c>
      <c r="E13" s="1812" t="s">
        <v>2877</v>
      </c>
      <c r="F13" s="30" t="s">
        <v>2878</v>
      </c>
      <c r="G13" s="2772" t="s">
        <v>2879</v>
      </c>
      <c r="H13" s="2772" t="s">
        <v>2879</v>
      </c>
      <c r="I13" s="2772" t="s">
        <v>2879</v>
      </c>
      <c r="J13" s="2773" t="s">
        <v>2879</v>
      </c>
      <c r="K13" s="1373"/>
      <c r="L13" s="1373"/>
      <c r="M13" s="1373"/>
      <c r="N13" s="1373"/>
      <c r="O13" s="1373"/>
      <c r="P13" s="1373"/>
      <c r="Q13" s="1373"/>
      <c r="R13" s="1606">
        <v>12</v>
      </c>
      <c r="S13" s="1607"/>
      <c r="T13" s="1606">
        <f t="shared" ca="1" si="0"/>
        <v>0</v>
      </c>
      <c r="U13" s="1607"/>
      <c r="V13" s="1606">
        <f t="shared" ca="1" si="1"/>
        <v>0</v>
      </c>
      <c r="W13" s="3237"/>
      <c r="X13" s="1620"/>
      <c r="Y13" s="1617">
        <f>(-0.163*(Y12^2)-0.59*Y12+7617)*(10^(-4))/Y11</f>
        <v>0.28852272727272726</v>
      </c>
      <c r="Z13" s="1617">
        <f t="shared" ref="Z13:AJ13" si="5">(-0.163*(Z12^2)-0.59*Z12+7617)*(10^(-4))/Z11</f>
        <v>0.28852272727272726</v>
      </c>
      <c r="AA13" s="1617">
        <f t="shared" si="5"/>
        <v>0.28852272727272726</v>
      </c>
      <c r="AB13" s="1617">
        <f t="shared" si="5"/>
        <v>0.28852272727272726</v>
      </c>
      <c r="AC13" s="1617">
        <f t="shared" si="5"/>
        <v>0.28852272727272726</v>
      </c>
      <c r="AD13" s="1617">
        <f t="shared" si="5"/>
        <v>0.28852272727272726</v>
      </c>
      <c r="AE13" s="1617">
        <f t="shared" si="5"/>
        <v>0.28852272727272726</v>
      </c>
      <c r="AF13" s="1617">
        <f t="shared" si="5"/>
        <v>0.28852272727272726</v>
      </c>
      <c r="AG13" s="1617">
        <f t="shared" si="5"/>
        <v>0.28852272727272726</v>
      </c>
      <c r="AH13" s="1617">
        <f t="shared" si="5"/>
        <v>0.28852272727272726</v>
      </c>
      <c r="AI13" s="1617">
        <f t="shared" si="5"/>
        <v>0.28852272727272726</v>
      </c>
      <c r="AJ13" s="1617">
        <f t="shared" si="5"/>
        <v>0.28852272727272726</v>
      </c>
    </row>
    <row r="14" spans="1:36" ht="15">
      <c r="A14" s="3242"/>
      <c r="B14" s="2774"/>
      <c r="C14" s="2775"/>
      <c r="D14" s="2776"/>
      <c r="E14" s="2776"/>
      <c r="F14" s="2777"/>
      <c r="G14" s="2778" t="s">
        <v>2880</v>
      </c>
      <c r="H14" s="2779"/>
      <c r="I14" s="2780"/>
      <c r="J14" s="2781"/>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3"/>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4" t="s">
        <v>2886</v>
      </c>
      <c r="B16" s="2751" t="s">
        <v>2887</v>
      </c>
      <c r="C16" s="1805">
        <f>ROUND(SUM(G17:J17)/C17,0)</f>
        <v>0</v>
      </c>
      <c r="D16" s="2785" t="s">
        <v>2888</v>
      </c>
      <c r="E16" s="2786" t="s">
        <v>3073</v>
      </c>
      <c r="F16" s="2787" t="s">
        <v>3074</v>
      </c>
      <c r="G16" s="2788"/>
      <c r="H16" s="2788"/>
      <c r="I16" s="2788"/>
      <c r="J16" s="2789"/>
      <c r="K16" s="1373"/>
      <c r="L16" s="2790"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5"/>
      <c r="B17" s="2791" t="s">
        <v>2890</v>
      </c>
      <c r="C17" s="924">
        <f>SUMPRODUCT((修正!A2:A5=E2)*(修正!B1:M1=G2)*(修正!B2:M5))</f>
        <v>3.5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2895</v>
      </c>
      <c r="C19" s="927">
        <f>ROUND(IF(H19="按公示增长率计算",SUMPRODUCT((地价!A3:A20=YEAR(G19)&amp;"-"&amp;ROUNDUP(MONTH(G19)/3,0))*(地价!X2:AB2=E2)*(地价!X3:AB20)),IF(H19="地价指数",M20/M19,(1+I19)^O19)),4)</f>
        <v>1.2636000000000001</v>
      </c>
      <c r="D19" s="2803" t="s">
        <v>2896</v>
      </c>
      <c r="E19" s="928">
        <v>41640</v>
      </c>
      <c r="F19" s="2803" t="s">
        <v>2897</v>
      </c>
      <c r="G19" s="929">
        <f>'数据-取费表'!B2</f>
        <v>43063</v>
      </c>
      <c r="H19" s="2804" t="s">
        <v>2898</v>
      </c>
      <c r="I19" s="930" t="str">
        <f>IF(H19="季度增幅（自定义）",SUMIF(N21:N24,E2,O21:O24),"")</f>
        <v/>
      </c>
      <c r="J19" s="2801"/>
      <c r="K19" s="1380"/>
      <c r="L19" s="2805" t="s">
        <v>2899</v>
      </c>
      <c r="M19" s="1738">
        <f>ROUND(SUMIF(地价!B2:F2,E2,地价!B20:F20),0)</f>
        <v>258</v>
      </c>
      <c r="N19" s="2806" t="s">
        <v>2900</v>
      </c>
      <c r="O19" s="931">
        <f>ROUNDDOWN(DATEDIF(E19,G19,"M")/3,0)</f>
        <v>15</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2901</v>
      </c>
      <c r="C20" s="932">
        <f ca="1">ROUND(POWER(1+G20,J20-I20)*(POWER(1+G20,I20)-1)/(POWER(1+G20,J20)-1),4)</f>
        <v>0.94199999999999995</v>
      </c>
      <c r="D20" s="2812" t="s">
        <v>2902</v>
      </c>
      <c r="E20" s="1772">
        <f ca="1">存贷款利率!D4/100</f>
        <v>4.3499999999999997E-2</v>
      </c>
      <c r="F20" s="2812" t="s">
        <v>2893</v>
      </c>
      <c r="G20" s="937">
        <f ca="1">SUMIF(M15:P15,E2,M17:P17)</f>
        <v>5.1999999999999998E-2</v>
      </c>
      <c r="H20" s="2812" t="s">
        <v>2903</v>
      </c>
      <c r="I20" s="938">
        <f>SUMIF('数据-取费表'!C6:C15,E2,'数据-取费表'!F6:F15)/COUNTIF('数据-取费表'!C6:C15,E2)</f>
        <v>39.840000000000003</v>
      </c>
      <c r="J20" s="939">
        <f>IF(E2="住宅",70,IF(E2="商业",40,50))</f>
        <v>50</v>
      </c>
      <c r="K20" s="1380"/>
      <c r="L20" s="2813" t="s">
        <v>2904</v>
      </c>
      <c r="M20" s="1739">
        <f>ROUND(SUMPRODUCT((地价!A5:A20=YEAR(G19)&amp;"-"&amp;ROUNDUP(MONTH(G19)/3,0))*(地价!B2:F2=E2)*(地价!B5:F20)),0)</f>
        <v>326</v>
      </c>
      <c r="N20" s="2814" t="s">
        <v>2905</v>
      </c>
      <c r="O20" s="2815" t="s">
        <v>2906</v>
      </c>
      <c r="P20" s="2816" t="s">
        <v>2907</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3075</v>
      </c>
      <c r="C21" s="940">
        <f>IF(B21="容积率修正",IF(G3&lt;=10,D22,J22),C23)</f>
        <v>1.0849</v>
      </c>
      <c r="D21" s="2819"/>
      <c r="E21" s="2819"/>
      <c r="F21" s="2819"/>
      <c r="G21" s="2819"/>
      <c r="H21" s="2819"/>
      <c r="I21" s="2819"/>
      <c r="J21" s="2820"/>
      <c r="K21" s="1380"/>
      <c r="N21" s="2821" t="s">
        <v>2908</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4" t="s">
        <v>2911</v>
      </c>
      <c r="D22" s="1814">
        <f>IF(E22=G22,F22,IF(G3&lt;=10,ROUND(F22+(H22-F22)*(G3-E22)/(G22-E22),4),"——"))</f>
        <v>1.0849</v>
      </c>
      <c r="E22" s="916">
        <f>ROUNDDOWN(G3,1)</f>
        <v>2.6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1.0895999999999999</v>
      </c>
      <c r="G22" s="916">
        <f>ROUNDUP(G3,1)</f>
        <v>2.7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1.0778000000000001</v>
      </c>
      <c r="I22" s="1814" t="s">
        <v>155</v>
      </c>
      <c r="J22" s="941" t="str">
        <f>IF(G3&gt;10,D113,"——")</f>
        <v>——</v>
      </c>
      <c r="K22" s="1380"/>
      <c r="N22" s="2821" t="s">
        <v>2912</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1.0015000000000001</v>
      </c>
      <c r="D24" s="2799"/>
      <c r="E24" s="2829"/>
      <c r="F24" s="2829"/>
      <c r="G24" s="2829"/>
      <c r="H24" s="2829"/>
      <c r="I24" s="2829"/>
      <c r="J24" s="2830"/>
      <c r="K24" s="1380"/>
      <c r="N24" s="2831" t="s">
        <v>2917</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5"/>
      <c r="B26" s="2822" t="s">
        <v>2920</v>
      </c>
      <c r="C26" s="206">
        <f ca="1">E29+SUM(E33:E39)</f>
        <v>14662</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f ca="1">ROUND(C5*C18*C19*C20*C21*C24,0)</f>
        <v>34415</v>
      </c>
      <c r="D29" s="2851">
        <f>'数据-汇总表'!F19</f>
        <v>4115.6000000000004</v>
      </c>
      <c r="E29" s="945">
        <f ca="1">ROUND(C29*D29/10000,0)</f>
        <v>14164</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f ca="1">ROUND(IF(E2="工业",C29*M39,C29*M38),0)</f>
        <v>8604</v>
      </c>
      <c r="D30" s="2857"/>
      <c r="E30" s="945">
        <f ca="1">ROUND(C30*D30/10000,0)</f>
        <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32" t="s">
        <v>2934</v>
      </c>
      <c r="B33" s="2867" t="s">
        <v>2935</v>
      </c>
      <c r="C33" s="206">
        <f ca="1">ROUND(D5*C19*C20*C24*F33,0)</f>
        <v>0</v>
      </c>
      <c r="D33" s="2851"/>
      <c r="E33" s="200">
        <f ca="1">ROUND(C33*D33/10000,0)</f>
        <v>0</v>
      </c>
      <c r="F33" s="200">
        <f>SUMIF(修正!A45:A56,G2,修正!B45:B56)</f>
        <v>0.8</v>
      </c>
      <c r="G33" s="200">
        <f t="shared" ref="G33:G39"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3"/>
      <c r="B34" s="2771" t="s">
        <v>2936</v>
      </c>
      <c r="C34" s="206">
        <f ca="1">ROUND(D5*C19*C20*C24*F34,0)</f>
        <v>0</v>
      </c>
      <c r="D34" s="2851"/>
      <c r="E34" s="200">
        <f t="shared" ref="E34:E39" ca="1" si="7">ROUND(C34*D34/10000,0)</f>
        <v>0</v>
      </c>
      <c r="F34" s="200">
        <f>SUMIF(修正!A45:A56,G2,修正!C45:C56)</f>
        <v>0.5</v>
      </c>
      <c r="G34" s="200">
        <f t="shared" ca="1" si="6"/>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3"/>
      <c r="B35" s="2771" t="s">
        <v>2937</v>
      </c>
      <c r="C35" s="206">
        <f ca="1">ROUND(D5*C19*C20*C24*F35,0)</f>
        <v>0</v>
      </c>
      <c r="D35" s="2851"/>
      <c r="E35" s="200">
        <f t="shared" ca="1" si="7"/>
        <v>0</v>
      </c>
      <c r="F35" s="200">
        <f>SUMIF(修正!A45:A56,G2,修正!D45:D56)</f>
        <v>0.36</v>
      </c>
      <c r="G35" s="200">
        <f t="shared" ca="1" si="6"/>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34"/>
      <c r="B36" s="2771" t="s">
        <v>2938</v>
      </c>
      <c r="C36" s="206">
        <f ca="1">ROUND(D5*C19*C20*C24*F36,0)</f>
        <v>0</v>
      </c>
      <c r="D36" s="2851"/>
      <c r="E36" s="200">
        <f t="shared" ca="1" si="7"/>
        <v>0</v>
      </c>
      <c r="F36" s="200">
        <f>SUMIF(修正!A45:A56,G2,修正!E45:E56)</f>
        <v>0.3</v>
      </c>
      <c r="G36" s="200">
        <f t="shared" ca="1" si="6"/>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f ca="1">ROUND(C5*C19*C20*C24*F37,0)</f>
        <v>9517</v>
      </c>
      <c r="D37" s="2851">
        <f>'数据-基础表'!K13</f>
        <v>523.4</v>
      </c>
      <c r="E37" s="200">
        <f t="shared" ca="1" si="7"/>
        <v>498</v>
      </c>
      <c r="F37" s="206">
        <f>SUMIF(修正!A45:A56,G2,修正!F45:F56)</f>
        <v>0.3</v>
      </c>
      <c r="G37" s="200">
        <f t="shared" ca="1" si="6"/>
        <v>2379</v>
      </c>
      <c r="H37" s="200">
        <f t="shared" si="8"/>
        <v>523.4</v>
      </c>
      <c r="I37" s="200">
        <f t="shared" ca="1" si="9"/>
        <v>125</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f ca="1">ROUND(C5*C19*C20*C24*F38,0)</f>
        <v>9517</v>
      </c>
      <c r="D38" s="2851"/>
      <c r="E38" s="200">
        <f t="shared" ca="1" si="7"/>
        <v>0</v>
      </c>
      <c r="F38" s="206">
        <f>SUMIF(修正!A45:A56,G2,修正!G45:G56)</f>
        <v>0.3</v>
      </c>
      <c r="G38" s="200">
        <f t="shared" ca="1" si="6"/>
        <v>2379</v>
      </c>
      <c r="H38" s="200">
        <f t="shared" si="8"/>
        <v>0</v>
      </c>
      <c r="I38" s="200">
        <f t="shared" ca="1" si="9"/>
        <v>0</v>
      </c>
      <c r="J38" s="2868"/>
      <c r="K38" s="1373"/>
      <c r="L38" s="1891"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f ca="1">ROUND(C5*C19*C20*C24*F39,0)</f>
        <v>7930</v>
      </c>
      <c r="D39" s="2857"/>
      <c r="E39" s="229">
        <f t="shared" ca="1" si="7"/>
        <v>0</v>
      </c>
      <c r="F39" s="935">
        <f>SUMIF(修正!A45:A56,G2,修正!H45:H56)</f>
        <v>0.25</v>
      </c>
      <c r="G39" s="229" t="e">
        <f t="shared" si="6"/>
        <v>#DIV/0!</v>
      </c>
      <c r="H39" s="229">
        <f t="shared" si="8"/>
        <v>0</v>
      </c>
      <c r="I39" s="229" t="e">
        <f t="shared"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ht="13.5" thickBot="1">
      <c r="A44" s="1374"/>
      <c r="B44" s="2877"/>
      <c r="Z44" s="1374"/>
      <c r="AA44" s="1374"/>
      <c r="AB44" s="1374"/>
      <c r="AC44" s="1374"/>
      <c r="AD44" s="1374"/>
      <c r="AE44" s="1374"/>
      <c r="AF44" s="1374"/>
      <c r="AG44" s="1374"/>
      <c r="AH44" s="1374"/>
      <c r="AI44" s="1374"/>
      <c r="AJ44" s="1374"/>
    </row>
    <row r="45" spans="1:37" s="1373" customFormat="1" ht="15.75" hidden="1"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2946</v>
      </c>
      <c r="B47" s="1813" t="s">
        <v>2947</v>
      </c>
      <c r="C47" s="1813" t="s">
        <v>2948</v>
      </c>
      <c r="D47" s="1813" t="s">
        <v>2949</v>
      </c>
      <c r="E47" s="819" t="s">
        <v>2950</v>
      </c>
      <c r="F47" s="2885" t="s">
        <v>2951</v>
      </c>
      <c r="G47" s="1813" t="s">
        <v>754</v>
      </c>
      <c r="H47" s="2886" t="s">
        <v>2952</v>
      </c>
      <c r="I47" s="1813"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hidden="1">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1" t="s">
        <v>2962</v>
      </c>
      <c r="B54" s="1729"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1.0015000000000001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3"/>
      <c r="C58" s="1813" t="s">
        <v>2948</v>
      </c>
      <c r="D58" s="1813" t="s">
        <v>2949</v>
      </c>
      <c r="E58" s="819" t="s">
        <v>2950</v>
      </c>
      <c r="F58" s="2885" t="s">
        <v>2966</v>
      </c>
      <c r="G58" s="1813" t="s">
        <v>754</v>
      </c>
      <c r="H58" s="2886" t="s">
        <v>2952</v>
      </c>
      <c r="I58" s="1813"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t="s">
        <v>3095</v>
      </c>
      <c r="D59" s="1289">
        <f t="shared" ref="D59:D67" si="15">SUMIF($J$58:$N$58,C59,J59:N59)</f>
        <v>-1.7999999999999999E-2</v>
      </c>
      <c r="E59" s="821">
        <f>ROUND(SUM(D59:D67),4)</f>
        <v>1.5E-3</v>
      </c>
      <c r="F59" s="2507">
        <f>IF(E2="办公",SUMIF(L1:L12,G2,N1:N12),"——")</f>
        <v>7.5999999999999998E-2</v>
      </c>
      <c r="G59" s="1287">
        <v>8.9999999999999993E-3</v>
      </c>
      <c r="H59" s="1291">
        <f t="shared" ref="H59:H67" si="16">IFERROR(ROUNDDOWN($F$59*I59/2,4),"——")</f>
        <v>9.1000000000000004E-3</v>
      </c>
      <c r="I59" s="820">
        <v>0.24</v>
      </c>
      <c r="J59" s="1288">
        <f t="shared" ref="J59:J67" si="17">K59+$G59</f>
        <v>1.7999999999999999E-2</v>
      </c>
      <c r="K59" s="1288">
        <f t="shared" ref="K59:K67" si="18">$L59+$G59</f>
        <v>8.9999999999999993E-3</v>
      </c>
      <c r="L59" s="1288">
        <v>0</v>
      </c>
      <c r="M59" s="1288">
        <f t="shared" ref="M59:N67" si="19">L59-$G59</f>
        <v>-8.9999999999999993E-3</v>
      </c>
      <c r="N59" s="1288">
        <f t="shared" si="19"/>
        <v>-1.7999999999999999E-2</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t="s">
        <v>3098</v>
      </c>
      <c r="D60" s="1289">
        <f t="shared" si="15"/>
        <v>1.0999999999999999E-2</v>
      </c>
      <c r="E60" s="822"/>
      <c r="F60" s="2507"/>
      <c r="G60" s="1287">
        <v>1.0999999999999999E-2</v>
      </c>
      <c r="H60" s="1291">
        <f t="shared" si="16"/>
        <v>1.14E-2</v>
      </c>
      <c r="I60" s="820">
        <v>0.3</v>
      </c>
      <c r="J60" s="1288">
        <f t="shared" si="17"/>
        <v>2.1999999999999999E-2</v>
      </c>
      <c r="K60" s="1288">
        <f t="shared" si="18"/>
        <v>1.0999999999999999E-2</v>
      </c>
      <c r="L60" s="1288">
        <v>0</v>
      </c>
      <c r="M60" s="1288">
        <f t="shared" si="19"/>
        <v>-1.0999999999999999E-2</v>
      </c>
      <c r="N60" s="1288">
        <f t="shared" si="19"/>
        <v>-2.1999999999999999E-2</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t="s">
        <v>3094</v>
      </c>
      <c r="D61" s="1289">
        <f t="shared" si="15"/>
        <v>-3.0000000000000001E-3</v>
      </c>
      <c r="E61" s="822"/>
      <c r="F61" s="2507"/>
      <c r="G61" s="1287">
        <v>3.0000000000000001E-3</v>
      </c>
      <c r="H61" s="1291">
        <f t="shared" si="16"/>
        <v>3.0000000000000001E-3</v>
      </c>
      <c r="I61" s="820">
        <v>0.08</v>
      </c>
      <c r="J61" s="1288">
        <f t="shared" si="17"/>
        <v>6.0000000000000001E-3</v>
      </c>
      <c r="K61" s="1288">
        <f t="shared" si="18"/>
        <v>3.0000000000000001E-3</v>
      </c>
      <c r="L61" s="1288">
        <v>0</v>
      </c>
      <c r="M61" s="1288">
        <f t="shared" si="19"/>
        <v>-3.0000000000000001E-3</v>
      </c>
      <c r="N61" s="1288">
        <f t="shared" si="19"/>
        <v>-6.0000000000000001E-3</v>
      </c>
      <c r="AA61" s="1374"/>
      <c r="AB61" s="1374"/>
      <c r="AC61" s="1374"/>
      <c r="AD61" s="1374"/>
      <c r="AE61" s="1374"/>
      <c r="AF61" s="1374"/>
      <c r="AG61" s="1374"/>
      <c r="AH61" s="1374"/>
      <c r="AI61" s="1374"/>
      <c r="AJ61" s="1374"/>
      <c r="AK61" s="1374"/>
    </row>
    <row r="62" spans="1:37" s="1373" customFormat="1" ht="36.75">
      <c r="A62" s="2884" t="s">
        <v>2957</v>
      </c>
      <c r="B62" s="2889" t="s">
        <v>2958</v>
      </c>
      <c r="C62" s="2776" t="s">
        <v>3096</v>
      </c>
      <c r="D62" s="1289">
        <f t="shared" si="15"/>
        <v>0</v>
      </c>
      <c r="E62" s="822"/>
      <c r="F62" s="2507"/>
      <c r="G62" s="1287">
        <v>1.5E-3</v>
      </c>
      <c r="H62" s="1291">
        <f t="shared" si="16"/>
        <v>1.5E-3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t="s">
        <v>3095</v>
      </c>
      <c r="D63" s="1289">
        <f t="shared" si="15"/>
        <v>-3.0000000000000001E-3</v>
      </c>
      <c r="E63" s="822"/>
      <c r="F63" s="2507"/>
      <c r="G63" s="1287">
        <v>1.5E-3</v>
      </c>
      <c r="H63" s="1291">
        <f t="shared" si="16"/>
        <v>1.9E-3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4" t="s">
        <v>2960</v>
      </c>
      <c r="B64" s="2890" t="s">
        <v>2961</v>
      </c>
      <c r="C64" s="2776" t="s">
        <v>3098</v>
      </c>
      <c r="D64" s="1289">
        <f t="shared" si="15"/>
        <v>1.5E-3</v>
      </c>
      <c r="E64" s="822"/>
      <c r="F64" s="2507"/>
      <c r="G64" s="1287">
        <v>1.5E-3</v>
      </c>
      <c r="H64" s="1291">
        <f t="shared" si="16"/>
        <v>1.9E-3</v>
      </c>
      <c r="I64" s="820">
        <v>0.05</v>
      </c>
      <c r="J64" s="1288">
        <f t="shared" si="17"/>
        <v>3.0000000000000001E-3</v>
      </c>
      <c r="K64" s="1288">
        <f t="shared" si="18"/>
        <v>1.5E-3</v>
      </c>
      <c r="L64" s="1288">
        <v>0</v>
      </c>
      <c r="M64" s="1288">
        <f t="shared" si="19"/>
        <v>-1.5E-3</v>
      </c>
      <c r="N64" s="1288">
        <f t="shared" si="19"/>
        <v>-3.0000000000000001E-3</v>
      </c>
      <c r="AA64" s="1374"/>
      <c r="AB64" s="1374"/>
      <c r="AC64" s="1374"/>
      <c r="AD64" s="1374"/>
      <c r="AE64" s="1374"/>
      <c r="AF64" s="1374"/>
      <c r="AG64" s="1374"/>
      <c r="AH64" s="1374"/>
      <c r="AI64" s="1374"/>
      <c r="AJ64" s="1374"/>
      <c r="AK64" s="1374"/>
    </row>
    <row r="65" spans="1:37" s="1373" customFormat="1" ht="25.5">
      <c r="A65" s="2884" t="s">
        <v>2962</v>
      </c>
      <c r="B65" s="1729" t="str">
        <f>估价对象房地状况!C21</f>
        <v>估价对象所在区域公共配套设施齐备情况</v>
      </c>
      <c r="C65" s="2776" t="s">
        <v>3098</v>
      </c>
      <c r="D65" s="1289">
        <f t="shared" si="15"/>
        <v>2E-3</v>
      </c>
      <c r="E65" s="822"/>
      <c r="F65" s="2507"/>
      <c r="G65" s="1287">
        <v>2E-3</v>
      </c>
      <c r="H65" s="1291">
        <f t="shared" si="16"/>
        <v>2.2000000000000001E-3</v>
      </c>
      <c r="I65" s="820">
        <v>0.06</v>
      </c>
      <c r="J65" s="1288">
        <f t="shared" si="17"/>
        <v>4.0000000000000001E-3</v>
      </c>
      <c r="K65" s="1288">
        <f t="shared" si="18"/>
        <v>2E-3</v>
      </c>
      <c r="L65" s="1288">
        <v>0</v>
      </c>
      <c r="M65" s="1288">
        <f t="shared" si="19"/>
        <v>-2E-3</v>
      </c>
      <c r="N65" s="1288">
        <f t="shared" si="19"/>
        <v>-4.0000000000000001E-3</v>
      </c>
      <c r="AA65" s="1374"/>
      <c r="AB65" s="1374"/>
      <c r="AC65" s="1374"/>
      <c r="AD65" s="1374"/>
      <c r="AE65" s="1374"/>
      <c r="AF65" s="1374"/>
      <c r="AG65" s="1374"/>
      <c r="AH65" s="1374"/>
      <c r="AI65" s="1374"/>
      <c r="AJ65" s="1374"/>
      <c r="AK65" s="1374"/>
    </row>
    <row r="66" spans="1:37" s="1373" customFormat="1" ht="25.5">
      <c r="A66" s="2884" t="s">
        <v>2963</v>
      </c>
      <c r="B66" s="1729" t="str">
        <f>估价对象房地状况!C22</f>
        <v>估价对象所在区域基础设施水平</v>
      </c>
      <c r="C66" s="2776" t="s">
        <v>3097</v>
      </c>
      <c r="D66" s="1289">
        <f t="shared" si="15"/>
        <v>8.9999999999999993E-3</v>
      </c>
      <c r="E66" s="822"/>
      <c r="F66" s="2507"/>
      <c r="G66" s="1287">
        <v>4.4999999999999997E-3</v>
      </c>
      <c r="H66" s="1291">
        <f t="shared" si="16"/>
        <v>4.4999999999999997E-3</v>
      </c>
      <c r="I66" s="820">
        <v>0.12</v>
      </c>
      <c r="J66" s="1288">
        <f t="shared" si="17"/>
        <v>8.9999999999999993E-3</v>
      </c>
      <c r="K66" s="1288">
        <f t="shared" si="18"/>
        <v>4.4999999999999997E-3</v>
      </c>
      <c r="L66" s="1288">
        <v>0</v>
      </c>
      <c r="M66" s="1288">
        <f t="shared" si="19"/>
        <v>-4.4999999999999997E-3</v>
      </c>
      <c r="N66" s="1288">
        <f t="shared" si="19"/>
        <v>-8.9999999999999993E-3</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t="s">
        <v>3098</v>
      </c>
      <c r="D67" s="1289">
        <f t="shared" si="15"/>
        <v>2E-3</v>
      </c>
      <c r="E67" s="825"/>
      <c r="F67" s="2507"/>
      <c r="G67" s="1287">
        <v>2E-3</v>
      </c>
      <c r="H67" s="1291">
        <f t="shared" si="16"/>
        <v>2.2000000000000001E-3</v>
      </c>
      <c r="I67" s="824">
        <v>0.06</v>
      </c>
      <c r="J67" s="1288">
        <f t="shared" si="17"/>
        <v>4.0000000000000001E-3</v>
      </c>
      <c r="K67" s="1288">
        <f t="shared" si="18"/>
        <v>2E-3</v>
      </c>
      <c r="L67" s="1288">
        <v>0</v>
      </c>
      <c r="M67" s="1288">
        <f t="shared" si="19"/>
        <v>-2E-3</v>
      </c>
      <c r="N67" s="1288">
        <f t="shared" si="19"/>
        <v>-4.0000000000000001E-3</v>
      </c>
      <c r="AA67" s="1374"/>
      <c r="AB67" s="1374"/>
      <c r="AC67" s="1374"/>
      <c r="AD67" s="1374"/>
      <c r="AE67" s="1374"/>
      <c r="AF67" s="1374"/>
      <c r="AG67" s="1374"/>
      <c r="AH67" s="1374"/>
      <c r="AI67" s="1374"/>
      <c r="AJ67" s="1374"/>
      <c r="AK67" s="1374"/>
    </row>
    <row r="68" spans="1:37" s="1373" customFormat="1" ht="15" hidden="1">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4" t="s">
        <v>2946</v>
      </c>
      <c r="B69" s="1813"/>
      <c r="C69" s="1813" t="s">
        <v>2948</v>
      </c>
      <c r="D69" s="1813" t="s">
        <v>2949</v>
      </c>
      <c r="E69" s="819" t="s">
        <v>2950</v>
      </c>
      <c r="F69" s="2885" t="s">
        <v>2966</v>
      </c>
      <c r="G69" s="1813" t="s">
        <v>754</v>
      </c>
      <c r="H69" s="2886" t="s">
        <v>2952</v>
      </c>
      <c r="I69" s="1813"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hidden="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4" t="s">
        <v>2962</v>
      </c>
      <c r="B74" s="1729"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4" t="s">
        <v>2963</v>
      </c>
      <c r="B75" s="1729"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hidden="1">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hidden="1">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hidden="1"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hidden="1">
      <c r="A79" s="2880" t="s">
        <v>2972</v>
      </c>
      <c r="B79" s="2881">
        <f>1+E81</f>
        <v>1</v>
      </c>
      <c r="C79" s="814"/>
      <c r="D79" s="814"/>
      <c r="E79" s="815"/>
      <c r="F79" s="2883"/>
      <c r="G79" s="6"/>
      <c r="H79" s="6"/>
      <c r="I79" s="6"/>
      <c r="J79" s="7"/>
      <c r="K79" s="7"/>
      <c r="L79" s="7"/>
      <c r="M79" s="7"/>
      <c r="N79" s="7"/>
      <c r="Z79" s="2726"/>
      <c r="AA79" s="2802"/>
      <c r="AG79" s="1375"/>
      <c r="AK79" s="2802"/>
    </row>
    <row r="80" spans="1:37" ht="24.75" hidden="1">
      <c r="A80" s="2884" t="s">
        <v>2946</v>
      </c>
      <c r="B80" s="1813"/>
      <c r="C80" s="1813" t="s">
        <v>2948</v>
      </c>
      <c r="D80" s="1813" t="s">
        <v>2949</v>
      </c>
      <c r="E80" s="819" t="s">
        <v>2950</v>
      </c>
      <c r="F80" s="2885" t="s">
        <v>2966</v>
      </c>
      <c r="G80" s="1813" t="s">
        <v>754</v>
      </c>
      <c r="H80" s="2886" t="s">
        <v>2952</v>
      </c>
      <c r="I80" s="1813" t="s">
        <v>2953</v>
      </c>
      <c r="J80" s="603" t="s">
        <v>2600</v>
      </c>
      <c r="K80" s="603" t="s">
        <v>2601</v>
      </c>
      <c r="L80" s="603" t="s">
        <v>2602</v>
      </c>
      <c r="M80" s="603" t="s">
        <v>2603</v>
      </c>
      <c r="N80" s="603" t="s">
        <v>2604</v>
      </c>
      <c r="Z80" s="2726"/>
      <c r="AA80" s="2802"/>
      <c r="AG80" s="1375"/>
      <c r="AK80" s="2802"/>
    </row>
    <row r="81" spans="1:37" ht="38.25" hidden="1">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hidden="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hidden="1">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hidden="1">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hidden="1">
      <c r="A85" s="2884" t="s">
        <v>2962</v>
      </c>
      <c r="B85" s="1729"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hidden="1">
      <c r="A86" s="2884" t="s">
        <v>2963</v>
      </c>
      <c r="B86" s="1729"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hidden="1">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hidden="1"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26" t="s">
        <v>2976</v>
      </c>
      <c r="B90" s="3226"/>
      <c r="C90" s="3226"/>
      <c r="D90" s="3226"/>
      <c r="E90" s="3226"/>
      <c r="F90" s="3226"/>
      <c r="G90" s="3226"/>
      <c r="H90" s="3226"/>
      <c r="I90" s="3226"/>
      <c r="J90" s="3226"/>
      <c r="K90" s="2898"/>
      <c r="L90" s="2898"/>
      <c r="M90" s="2898"/>
      <c r="N90" s="2898"/>
    </row>
    <row r="91" spans="1:37">
      <c r="A91" s="3228" t="s">
        <v>2977</v>
      </c>
      <c r="B91" s="3228" t="s">
        <v>2978</v>
      </c>
      <c r="C91" s="2852" t="s">
        <v>2979</v>
      </c>
      <c r="D91" s="2853"/>
      <c r="E91" s="2853"/>
      <c r="F91" s="2853"/>
      <c r="G91" s="2853"/>
      <c r="H91" s="2853"/>
      <c r="I91" s="2853"/>
      <c r="J91" s="2899"/>
      <c r="K91" s="2900"/>
      <c r="L91" s="2900"/>
      <c r="M91" s="2900"/>
      <c r="N91" s="2900"/>
    </row>
    <row r="92" spans="1:37">
      <c r="A92" s="3228"/>
      <c r="B92" s="322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29"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3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3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3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3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3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30"/>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3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29" t="s">
        <v>2981</v>
      </c>
      <c r="B101" s="2905" t="s">
        <v>2982</v>
      </c>
      <c r="C101" s="2906">
        <f>$G$3</f>
        <v>2.64</v>
      </c>
      <c r="D101" s="2906">
        <f t="shared" ref="D101:N101" si="31">$G$3</f>
        <v>2.64</v>
      </c>
      <c r="E101" s="2906">
        <f t="shared" si="31"/>
        <v>2.64</v>
      </c>
      <c r="F101" s="2906">
        <f t="shared" si="31"/>
        <v>2.64</v>
      </c>
      <c r="G101" s="2906">
        <f t="shared" si="31"/>
        <v>2.64</v>
      </c>
      <c r="H101" s="2906">
        <f t="shared" si="31"/>
        <v>2.64</v>
      </c>
      <c r="I101" s="2906">
        <f t="shared" si="31"/>
        <v>2.64</v>
      </c>
      <c r="J101" s="2906">
        <f t="shared" si="31"/>
        <v>2.64</v>
      </c>
      <c r="K101" s="2906">
        <f t="shared" si="31"/>
        <v>2.64</v>
      </c>
      <c r="L101" s="2906">
        <f t="shared" si="31"/>
        <v>2.64</v>
      </c>
      <c r="M101" s="2906">
        <f t="shared" si="31"/>
        <v>2.64</v>
      </c>
      <c r="N101" s="2906">
        <f t="shared" si="31"/>
        <v>2.64</v>
      </c>
    </row>
    <row r="102" spans="1:14">
      <c r="A102" s="3230"/>
      <c r="B102" s="2901">
        <v>1</v>
      </c>
      <c r="C102" s="2902">
        <f>1.9362/C101</f>
        <v>0.7334090909090909</v>
      </c>
      <c r="D102" s="2902">
        <f>1.9362/D101</f>
        <v>0.7334090909090909</v>
      </c>
      <c r="E102" s="2902">
        <f>1.8629/E101</f>
        <v>0.70564393939393932</v>
      </c>
      <c r="F102" s="2902">
        <f>1.8629/F101</f>
        <v>0.70564393939393932</v>
      </c>
      <c r="G102" s="2902">
        <f>1.8629/G101</f>
        <v>0.70564393939393932</v>
      </c>
      <c r="H102" s="2902">
        <f>1.8629/H101</f>
        <v>0.70564393939393932</v>
      </c>
      <c r="I102" s="2902">
        <f>1.8629/I101</f>
        <v>0.70564393939393932</v>
      </c>
      <c r="J102" s="2902">
        <f>1.942/J101</f>
        <v>0.7356060606060606</v>
      </c>
      <c r="K102" s="2902">
        <f>1.942/K101</f>
        <v>0.7356060606060606</v>
      </c>
      <c r="L102" s="2902">
        <f>1.942/L101</f>
        <v>0.7356060606060606</v>
      </c>
      <c r="M102" s="2902">
        <f>1.942/M101</f>
        <v>0.7356060606060606</v>
      </c>
      <c r="N102" s="2902">
        <f>1.942/N101</f>
        <v>0.7356060606060606</v>
      </c>
    </row>
    <row r="103" spans="1:14">
      <c r="A103" s="3230"/>
      <c r="B103" s="2901">
        <v>2</v>
      </c>
      <c r="C103" s="2902">
        <f>1.4198/C101</f>
        <v>0.53780303030303023</v>
      </c>
      <c r="D103" s="2902">
        <f>1.4198/D101</f>
        <v>0.53780303030303023</v>
      </c>
      <c r="E103" s="2902">
        <f>1.3372/E101</f>
        <v>0.50651515151515147</v>
      </c>
      <c r="F103" s="2902">
        <f>1.3372/F101</f>
        <v>0.50651515151515147</v>
      </c>
      <c r="G103" s="2902">
        <f>1.3372/G101</f>
        <v>0.50651515151515147</v>
      </c>
      <c r="H103" s="2902">
        <f>1.3372/H101</f>
        <v>0.50651515151515147</v>
      </c>
      <c r="I103" s="2902">
        <f>1.3372/I101</f>
        <v>0.50651515151515147</v>
      </c>
      <c r="J103" s="2902">
        <f>1.2799/J101</f>
        <v>0.48481060606060605</v>
      </c>
      <c r="K103" s="2902">
        <f>1.2799/K101</f>
        <v>0.48481060606060605</v>
      </c>
      <c r="L103" s="2902">
        <f>1.2799/L101</f>
        <v>0.48481060606060605</v>
      </c>
      <c r="M103" s="2902">
        <f>1.2799/M101</f>
        <v>0.48481060606060605</v>
      </c>
      <c r="N103" s="2902">
        <f>1.2799/N101</f>
        <v>0.48481060606060605</v>
      </c>
    </row>
    <row r="104" spans="1:14">
      <c r="A104" s="3230"/>
      <c r="B104" s="2901">
        <v>3</v>
      </c>
      <c r="C104" s="2902">
        <f>1.1594/C101</f>
        <v>0.43916666666666665</v>
      </c>
      <c r="D104" s="2902">
        <f>1.1594/D101</f>
        <v>0.43916666666666665</v>
      </c>
      <c r="E104" s="2902">
        <f>1.0788/E101</f>
        <v>0.40863636363636363</v>
      </c>
      <c r="F104" s="2902">
        <f>1.0788/F101</f>
        <v>0.40863636363636363</v>
      </c>
      <c r="G104" s="2902">
        <f>1.0788/G101</f>
        <v>0.40863636363636363</v>
      </c>
      <c r="H104" s="2902">
        <f>1.0788/H101</f>
        <v>0.40863636363636363</v>
      </c>
      <c r="I104" s="2902">
        <f>1.0788/I101</f>
        <v>0.40863636363636363</v>
      </c>
      <c r="J104" s="2902">
        <f>1.0072/J101</f>
        <v>0.38151515151515153</v>
      </c>
      <c r="K104" s="2902">
        <f>1.0072/K101</f>
        <v>0.38151515151515153</v>
      </c>
      <c r="L104" s="2902">
        <f>1.0072/L101</f>
        <v>0.38151515151515153</v>
      </c>
      <c r="M104" s="2902">
        <f>1.0072/M101</f>
        <v>0.38151515151515153</v>
      </c>
      <c r="N104" s="2902">
        <f>1.0072/N101</f>
        <v>0.38151515151515153</v>
      </c>
    </row>
    <row r="105" spans="1:14">
      <c r="A105" s="3230"/>
      <c r="B105" s="2901">
        <v>4</v>
      </c>
      <c r="C105" s="2902">
        <f>0.9622/C101</f>
        <v>0.364469696969697</v>
      </c>
      <c r="D105" s="2902">
        <f>0.9622/D101</f>
        <v>0.364469696969697</v>
      </c>
      <c r="E105" s="2902">
        <f>0.8656/E101</f>
        <v>0.32787878787878788</v>
      </c>
      <c r="F105" s="2902">
        <f>0.8656/F101</f>
        <v>0.32787878787878788</v>
      </c>
      <c r="G105" s="2902">
        <f>0.8656/G101</f>
        <v>0.32787878787878788</v>
      </c>
      <c r="H105" s="2902">
        <f>0.8656/H101</f>
        <v>0.32787878787878788</v>
      </c>
      <c r="I105" s="2902">
        <f>0.8656/I101</f>
        <v>0.32787878787878788</v>
      </c>
      <c r="J105" s="2902">
        <f>0.7525/J101</f>
        <v>0.28503787878787873</v>
      </c>
      <c r="K105" s="2902">
        <f>0.7525/K101</f>
        <v>0.28503787878787873</v>
      </c>
      <c r="L105" s="2902">
        <f>0.7525/L101</f>
        <v>0.28503787878787873</v>
      </c>
      <c r="M105" s="2902">
        <f>0.7525/M101</f>
        <v>0.28503787878787873</v>
      </c>
      <c r="N105" s="2902">
        <f>0.7525/N101</f>
        <v>0.28503787878787873</v>
      </c>
    </row>
    <row r="106" spans="1:14">
      <c r="A106" s="3230"/>
      <c r="B106" s="2901">
        <v>5</v>
      </c>
      <c r="C106" s="2902">
        <f>0.8417/C101</f>
        <v>0.31882575757575754</v>
      </c>
      <c r="D106" s="2902">
        <f>0.8417/D101</f>
        <v>0.31882575757575754</v>
      </c>
      <c r="E106" s="2902">
        <f>0.7371/E101</f>
        <v>0.27920454545454543</v>
      </c>
      <c r="F106" s="2902">
        <f>0.7371/F101</f>
        <v>0.27920454545454543</v>
      </c>
      <c r="G106" s="2902">
        <f>0.7371/G101</f>
        <v>0.27920454545454543</v>
      </c>
      <c r="H106" s="2902">
        <f>0.7371/H101</f>
        <v>0.27920454545454543</v>
      </c>
      <c r="I106" s="2902">
        <f>0.7371/I101</f>
        <v>0.27920454545454543</v>
      </c>
      <c r="J106" s="2902">
        <f>0.5659/J101</f>
        <v>0.21435606060606058</v>
      </c>
      <c r="K106" s="2902">
        <f>0.5659/K101</f>
        <v>0.21435606060606058</v>
      </c>
      <c r="L106" s="2902">
        <f>0.5659/L101</f>
        <v>0.21435606060606058</v>
      </c>
      <c r="M106" s="2902">
        <f>0.5659/M101</f>
        <v>0.21435606060606058</v>
      </c>
      <c r="N106" s="2902">
        <f>0.5659/N101</f>
        <v>0.21435606060606058</v>
      </c>
    </row>
    <row r="107" spans="1:14">
      <c r="A107" s="3230"/>
      <c r="B107" s="2901">
        <v>6</v>
      </c>
      <c r="C107" s="2902">
        <f>0.7608/C101</f>
        <v>0.28818181818181821</v>
      </c>
      <c r="D107" s="2902">
        <f>0.7608/D101</f>
        <v>0.28818181818181821</v>
      </c>
      <c r="E107" s="2902">
        <f>0.6482/E101</f>
        <v>0.24553030303030302</v>
      </c>
      <c r="F107" s="2902">
        <f>0.6482/F101</f>
        <v>0.24553030303030302</v>
      </c>
      <c r="G107" s="2902">
        <f>0.6482/G101</f>
        <v>0.24553030303030302</v>
      </c>
      <c r="H107" s="2902">
        <f>0.6482/H101</f>
        <v>0.24553030303030302</v>
      </c>
      <c r="I107" s="2902">
        <f>0.6482/I101</f>
        <v>0.24553030303030302</v>
      </c>
      <c r="J107" s="2902">
        <f>0.4525/J101</f>
        <v>0.17140151515151514</v>
      </c>
      <c r="K107" s="2902">
        <f>0.4525/K101</f>
        <v>0.17140151515151514</v>
      </c>
      <c r="L107" s="2902">
        <f>0.4525/L101</f>
        <v>0.17140151515151514</v>
      </c>
      <c r="M107" s="2902">
        <f>0.4525/M101</f>
        <v>0.17140151515151514</v>
      </c>
      <c r="N107" s="2902">
        <f>0.4525/N101</f>
        <v>0.17140151515151514</v>
      </c>
    </row>
    <row r="108" spans="1:14">
      <c r="A108" s="3230"/>
      <c r="B108" s="3058"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31"/>
      <c r="B109" s="3059"/>
      <c r="C109" s="2904">
        <f>(-0.163*(C108^2)-0.59*C108+7617)*(10^(-4))/C101</f>
        <v>0.28852272727272726</v>
      </c>
      <c r="D109" s="2904">
        <f>(-0.163*(D108^2)-0.59*D108+7617)*(10^(-4))/D101</f>
        <v>0.28852272727272726</v>
      </c>
      <c r="E109" s="2904">
        <f>(-0.161*(E108^2)-7.509*E108+6533)*(10^(-4))/E101</f>
        <v>0.24746212121212119</v>
      </c>
      <c r="F109" s="2904">
        <f>(-0.161*(F108^2)-7.509*F108+6533)*(10^(-4))/F101</f>
        <v>0.24746212121212119</v>
      </c>
      <c r="G109" s="2904">
        <f>(-0.161*(G108^2)-7.509*G108+6533)*(10^(-4))/G101</f>
        <v>0.24746212121212119</v>
      </c>
      <c r="H109" s="2904">
        <f>(-0.161*(H108^2)-7.509*H108+6533)*(10^(-4))/H101</f>
        <v>0.24746212121212119</v>
      </c>
      <c r="I109" s="2904">
        <f>(-0.161*(I108^2)-7.509*I108+6533)*(10^(-4))/I101</f>
        <v>0.24746212121212119</v>
      </c>
      <c r="J109" s="2904">
        <f>(-0.214*(J108^2)-21.991*J108+4665)*(10^(-4))/J101</f>
        <v>0.17670454545454545</v>
      </c>
      <c r="K109" s="2904">
        <f>(-0.214*(K108^2)-21.991*K108+4665)*(10^(-4))/K101</f>
        <v>0.17670454545454545</v>
      </c>
      <c r="L109" s="2904">
        <f>(-0.214*(L108^2)-21.991*L108+4665)*(10^(-4))/L101</f>
        <v>0.17670454545454545</v>
      </c>
      <c r="M109" s="2904">
        <f>(-0.214*(M108^2)-21.991*M108+4665)*(10^(-4))/M101</f>
        <v>0.17670454545454545</v>
      </c>
      <c r="N109" s="2904">
        <f>(-0.214*(N108^2)-21.991*N108+4665)*(10^(-4))/N101</f>
        <v>0.17670454545454545</v>
      </c>
    </row>
    <row r="110" spans="1:14">
      <c r="A110" s="3227" t="s">
        <v>2984</v>
      </c>
      <c r="B110" s="3227"/>
      <c r="C110" s="3227"/>
      <c r="D110" s="3227"/>
      <c r="E110" s="3227"/>
      <c r="F110" s="3227"/>
      <c r="G110" s="3227"/>
      <c r="H110" s="3227"/>
      <c r="I110" s="3227"/>
      <c r="J110" s="3227"/>
      <c r="K110" s="2907"/>
      <c r="L110" s="2907"/>
      <c r="M110" s="2907"/>
      <c r="N110" s="2907"/>
    </row>
    <row r="112" spans="1:14" ht="13.5" thickBot="1"/>
    <row r="113" spans="1:13" ht="25.5" thickBot="1">
      <c r="A113" s="903" t="s">
        <v>2985</v>
      </c>
      <c r="B113" s="1290">
        <f>G3</f>
        <v>2.64</v>
      </c>
      <c r="C113" s="904" t="s">
        <v>2986</v>
      </c>
      <c r="D113" s="905">
        <f>SUMPRODUCT((A115:A118=F113)*(B114:M114=H113)*B115:M118)</f>
        <v>0.9173</v>
      </c>
      <c r="E113" s="2730" t="s">
        <v>2817</v>
      </c>
      <c r="F113" s="2909" t="str">
        <f>E2</f>
        <v>办公</v>
      </c>
      <c r="G113" s="2730" t="s">
        <v>2818</v>
      </c>
      <c r="H113" s="2909" t="str">
        <f>G2</f>
        <v>二级</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2882</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2883</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2884</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2885</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4" t="s">
        <v>183</v>
      </c>
      <c r="B18" s="882" t="s">
        <v>560</v>
      </c>
      <c r="C18" s="883" t="s">
        <v>561</v>
      </c>
      <c r="D18" s="884"/>
      <c r="E18" s="882">
        <v>1</v>
      </c>
      <c r="F18" s="885" t="s">
        <v>562</v>
      </c>
      <c r="G18" s="886"/>
      <c r="H18" s="878"/>
      <c r="I18" s="878"/>
    </row>
    <row r="19" spans="1:9" s="887" customFormat="1" ht="19.5" customHeight="1">
      <c r="A19" s="3244"/>
      <c r="B19" s="3244" t="s">
        <v>563</v>
      </c>
      <c r="C19" s="883" t="s">
        <v>564</v>
      </c>
      <c r="D19" s="884"/>
      <c r="E19" s="882">
        <v>0.9</v>
      </c>
      <c r="F19" s="885" t="s">
        <v>565</v>
      </c>
      <c r="G19" s="886"/>
      <c r="H19" s="878"/>
      <c r="I19" s="878"/>
    </row>
    <row r="20" spans="1:9" s="887" customFormat="1" ht="19.5" customHeight="1">
      <c r="A20" s="3244"/>
      <c r="B20" s="3244"/>
      <c r="C20" s="883" t="s">
        <v>566</v>
      </c>
      <c r="D20" s="884"/>
      <c r="E20" s="882">
        <v>1.1000000000000001</v>
      </c>
      <c r="F20" s="885" t="s">
        <v>567</v>
      </c>
      <c r="G20" s="886"/>
      <c r="H20" s="878"/>
      <c r="I20" s="878"/>
    </row>
    <row r="21" spans="1:9" s="887" customFormat="1" ht="19.5" customHeight="1">
      <c r="A21" s="3244"/>
      <c r="B21" s="3244"/>
      <c r="C21" s="883" t="s">
        <v>568</v>
      </c>
      <c r="D21" s="884"/>
      <c r="E21" s="882">
        <v>0.8</v>
      </c>
      <c r="F21" s="885" t="s">
        <v>569</v>
      </c>
      <c r="G21" s="886"/>
      <c r="H21" s="878"/>
      <c r="I21" s="878"/>
    </row>
    <row r="22" spans="1:9" s="887" customFormat="1" ht="19.5" customHeight="1">
      <c r="A22" s="3244"/>
      <c r="B22" s="3244"/>
      <c r="C22" s="883" t="s">
        <v>570</v>
      </c>
      <c r="D22" s="884"/>
      <c r="E22" s="882">
        <v>0.5</v>
      </c>
      <c r="F22" s="885"/>
      <c r="G22" s="886"/>
      <c r="H22" s="878"/>
      <c r="I22" s="878"/>
    </row>
    <row r="23" spans="1:9" s="887" customFormat="1" ht="19.5" customHeight="1">
      <c r="A23" s="3244" t="s">
        <v>184</v>
      </c>
      <c r="B23" s="882" t="s">
        <v>560</v>
      </c>
      <c r="C23" s="883" t="s">
        <v>571</v>
      </c>
      <c r="D23" s="884"/>
      <c r="E23" s="882">
        <v>1</v>
      </c>
      <c r="F23" s="885" t="s">
        <v>572</v>
      </c>
      <c r="G23" s="886"/>
      <c r="H23" s="878"/>
      <c r="I23" s="878"/>
    </row>
    <row r="24" spans="1:9" s="887" customFormat="1" ht="19.5" customHeight="1">
      <c r="A24" s="3244"/>
      <c r="B24" s="3244" t="s">
        <v>563</v>
      </c>
      <c r="C24" s="883" t="s">
        <v>573</v>
      </c>
      <c r="D24" s="884"/>
      <c r="E24" s="882">
        <v>0.5</v>
      </c>
      <c r="F24" s="885"/>
      <c r="G24" s="886"/>
      <c r="H24" s="878"/>
      <c r="I24" s="878"/>
    </row>
    <row r="25" spans="1:9" s="887" customFormat="1" ht="19.5" customHeight="1">
      <c r="A25" s="3244"/>
      <c r="B25" s="3244"/>
      <c r="C25" s="883" t="s">
        <v>574</v>
      </c>
      <c r="D25" s="884"/>
      <c r="E25" s="882">
        <v>1.1000000000000001</v>
      </c>
      <c r="F25" s="885"/>
      <c r="G25" s="886"/>
      <c r="H25" s="878"/>
      <c r="I25" s="878"/>
    </row>
    <row r="26" spans="1:9" s="887" customFormat="1" ht="19.5" customHeight="1">
      <c r="A26" s="3244"/>
      <c r="B26" s="3244"/>
      <c r="C26" s="883" t="s">
        <v>575</v>
      </c>
      <c r="D26" s="884"/>
      <c r="E26" s="882">
        <v>1.1000000000000001</v>
      </c>
      <c r="F26" s="885"/>
      <c r="G26" s="886"/>
      <c r="H26" s="878"/>
      <c r="I26" s="878"/>
    </row>
    <row r="27" spans="1:9" s="887" customFormat="1" ht="19.5" customHeight="1">
      <c r="A27" s="3244"/>
      <c r="B27" s="3244"/>
      <c r="C27" s="883" t="s">
        <v>576</v>
      </c>
      <c r="D27" s="884"/>
      <c r="E27" s="882">
        <v>0.9</v>
      </c>
      <c r="F27" s="885" t="s">
        <v>577</v>
      </c>
      <c r="G27" s="886"/>
      <c r="H27" s="878"/>
      <c r="I27" s="878"/>
    </row>
    <row r="28" spans="1:9" s="887" customFormat="1" ht="19.5" customHeight="1">
      <c r="A28" s="3244"/>
      <c r="B28" s="3244"/>
      <c r="C28" s="883" t="s">
        <v>578</v>
      </c>
      <c r="D28" s="884"/>
      <c r="E28" s="882">
        <v>0.9</v>
      </c>
      <c r="F28" s="885" t="s">
        <v>579</v>
      </c>
      <c r="G28" s="886"/>
      <c r="H28" s="878"/>
      <c r="I28" s="878"/>
    </row>
    <row r="29" spans="1:9" s="887" customFormat="1" ht="19.5" customHeight="1">
      <c r="A29" s="3244"/>
      <c r="B29" s="3244"/>
      <c r="C29" s="883" t="s">
        <v>580</v>
      </c>
      <c r="D29" s="884"/>
      <c r="E29" s="882">
        <v>0.9</v>
      </c>
      <c r="F29" s="885" t="s">
        <v>581</v>
      </c>
      <c r="G29" s="886"/>
      <c r="H29" s="878"/>
      <c r="I29" s="878"/>
    </row>
    <row r="30" spans="1:9" s="887" customFormat="1" ht="19.5" customHeight="1">
      <c r="A30" s="3244"/>
      <c r="B30" s="3244"/>
      <c r="C30" s="883" t="s">
        <v>582</v>
      </c>
      <c r="D30" s="884"/>
      <c r="E30" s="882">
        <v>0.9</v>
      </c>
      <c r="F30" s="885" t="s">
        <v>583</v>
      </c>
      <c r="G30" s="886"/>
      <c r="H30" s="878"/>
      <c r="I30" s="878"/>
    </row>
    <row r="31" spans="1:9" s="887" customFormat="1" ht="19.5" customHeight="1">
      <c r="A31" s="3244"/>
      <c r="B31" s="3244"/>
      <c r="C31" s="883" t="s">
        <v>584</v>
      </c>
      <c r="D31" s="884"/>
      <c r="E31" s="882">
        <v>0.8</v>
      </c>
      <c r="F31" s="885" t="s">
        <v>585</v>
      </c>
      <c r="G31" s="886"/>
      <c r="H31" s="878"/>
      <c r="I31" s="878"/>
    </row>
    <row r="32" spans="1:9" s="887" customFormat="1" ht="19.5" customHeight="1">
      <c r="A32" s="3244"/>
      <c r="B32" s="3244"/>
      <c r="C32" s="883" t="s">
        <v>586</v>
      </c>
      <c r="D32" s="884"/>
      <c r="E32" s="882">
        <v>0.8</v>
      </c>
      <c r="F32" s="885" t="s">
        <v>587</v>
      </c>
      <c r="G32" s="886"/>
      <c r="H32" s="878"/>
      <c r="I32" s="878"/>
    </row>
    <row r="33" spans="1:9" s="887" customFormat="1" ht="19.5" customHeight="1">
      <c r="A33" s="3244" t="s">
        <v>185</v>
      </c>
      <c r="B33" s="882" t="s">
        <v>560</v>
      </c>
      <c r="C33" s="883" t="s">
        <v>588</v>
      </c>
      <c r="D33" s="884"/>
      <c r="E33" s="882">
        <v>1</v>
      </c>
      <c r="F33" s="885" t="s">
        <v>589</v>
      </c>
      <c r="G33" s="886"/>
      <c r="H33" s="878"/>
      <c r="I33" s="878"/>
    </row>
    <row r="34" spans="1:9" s="887" customFormat="1" ht="19.5" customHeight="1">
      <c r="A34" s="3244"/>
      <c r="B34" s="882" t="s">
        <v>563</v>
      </c>
      <c r="C34" s="883" t="s">
        <v>590</v>
      </c>
      <c r="D34" s="884"/>
      <c r="E34" s="882">
        <v>1.5</v>
      </c>
      <c r="F34" s="885" t="s">
        <v>591</v>
      </c>
      <c r="G34" s="886"/>
      <c r="H34" s="878"/>
      <c r="I34" s="878"/>
    </row>
    <row r="35" spans="1:9" s="887" customFormat="1" ht="19.5" customHeight="1">
      <c r="A35" s="3244" t="s">
        <v>186</v>
      </c>
      <c r="B35" s="882" t="s">
        <v>560</v>
      </c>
      <c r="C35" s="883" t="s">
        <v>592</v>
      </c>
      <c r="D35" s="884"/>
      <c r="E35" s="882">
        <v>1</v>
      </c>
      <c r="F35" s="885" t="s">
        <v>593</v>
      </c>
      <c r="G35" s="886"/>
      <c r="H35" s="878"/>
      <c r="I35" s="878"/>
    </row>
    <row r="36" spans="1:9" s="887" customFormat="1" ht="19.5" customHeight="1">
      <c r="A36" s="3244"/>
      <c r="B36" s="3244" t="s">
        <v>563</v>
      </c>
      <c r="C36" s="883" t="s">
        <v>594</v>
      </c>
      <c r="D36" s="884"/>
      <c r="E36" s="882">
        <v>1</v>
      </c>
      <c r="F36" s="885" t="s">
        <v>595</v>
      </c>
      <c r="G36" s="886"/>
      <c r="H36" s="878"/>
      <c r="I36" s="878"/>
    </row>
    <row r="37" spans="1:9" s="887" customFormat="1" ht="19.5" customHeight="1">
      <c r="A37" s="3244"/>
      <c r="B37" s="3244"/>
      <c r="C37" s="883" t="s">
        <v>596</v>
      </c>
      <c r="D37" s="884"/>
      <c r="E37" s="882">
        <v>1.5</v>
      </c>
      <c r="F37" s="885" t="s">
        <v>597</v>
      </c>
      <c r="G37" s="886"/>
      <c r="H37" s="878"/>
      <c r="I37" s="878"/>
    </row>
    <row r="38" spans="1:9" s="887" customFormat="1" ht="19.5" customHeight="1">
      <c r="A38" s="3244"/>
      <c r="B38" s="3244"/>
      <c r="C38" s="883" t="s">
        <v>598</v>
      </c>
      <c r="D38" s="884"/>
      <c r="E38" s="882">
        <v>1</v>
      </c>
      <c r="F38" s="885" t="s">
        <v>599</v>
      </c>
      <c r="G38" s="886"/>
      <c r="H38" s="878"/>
      <c r="I38" s="878"/>
    </row>
    <row r="39" spans="1:9" s="887" customFormat="1" ht="19.5" customHeight="1">
      <c r="A39" s="3244"/>
      <c r="B39" s="324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4" t="s">
        <v>614</v>
      </c>
      <c r="C61" s="818" t="s">
        <v>615</v>
      </c>
      <c r="D61" s="818" t="s">
        <v>616</v>
      </c>
      <c r="E61" s="895">
        <v>0.5</v>
      </c>
      <c r="F61" s="882">
        <v>80</v>
      </c>
    </row>
    <row r="62" spans="1:8" s="878" customFormat="1" ht="24">
      <c r="A62" s="882">
        <v>2</v>
      </c>
      <c r="B62" s="3244"/>
      <c r="C62" s="818" t="s">
        <v>617</v>
      </c>
      <c r="D62" s="818" t="s">
        <v>618</v>
      </c>
      <c r="E62" s="895">
        <v>0.5</v>
      </c>
      <c r="F62" s="882">
        <v>80</v>
      </c>
    </row>
    <row r="63" spans="1:8" s="878" customFormat="1" ht="36">
      <c r="A63" s="882">
        <v>3</v>
      </c>
      <c r="B63" s="3244"/>
      <c r="C63" s="818" t="s">
        <v>619</v>
      </c>
      <c r="D63" s="818" t="s">
        <v>620</v>
      </c>
      <c r="E63" s="895">
        <v>0.5</v>
      </c>
      <c r="F63" s="882">
        <v>80</v>
      </c>
    </row>
    <row r="64" spans="1:8" s="878" customFormat="1" ht="36">
      <c r="A64" s="882">
        <v>4</v>
      </c>
      <c r="B64" s="3244"/>
      <c r="C64" s="818" t="s">
        <v>621</v>
      </c>
      <c r="D64" s="818" t="s">
        <v>622</v>
      </c>
      <c r="E64" s="895">
        <v>0.4</v>
      </c>
      <c r="F64" s="882">
        <v>60</v>
      </c>
    </row>
    <row r="65" spans="1:6" s="878" customFormat="1" ht="36">
      <c r="A65" s="882">
        <v>5</v>
      </c>
      <c r="B65" s="3244"/>
      <c r="C65" s="818" t="s">
        <v>623</v>
      </c>
      <c r="D65" s="818" t="s">
        <v>624</v>
      </c>
      <c r="E65" s="895">
        <v>0.2</v>
      </c>
      <c r="F65" s="882">
        <v>30</v>
      </c>
    </row>
    <row r="66" spans="1:6" s="878" customFormat="1" ht="36">
      <c r="A66" s="882">
        <v>6</v>
      </c>
      <c r="B66" s="3244"/>
      <c r="C66" s="818" t="s">
        <v>625</v>
      </c>
      <c r="D66" s="818" t="s">
        <v>626</v>
      </c>
      <c r="E66" s="895">
        <v>0.3</v>
      </c>
      <c r="F66" s="882">
        <v>50</v>
      </c>
    </row>
    <row r="67" spans="1:6" s="878" customFormat="1" ht="36">
      <c r="A67" s="882">
        <v>7</v>
      </c>
      <c r="B67" s="3244"/>
      <c r="C67" s="818" t="s">
        <v>627</v>
      </c>
      <c r="D67" s="818" t="s">
        <v>628</v>
      </c>
      <c r="E67" s="895">
        <v>0.2</v>
      </c>
      <c r="F67" s="882">
        <v>30</v>
      </c>
    </row>
    <row r="68" spans="1:6" s="878" customFormat="1" ht="36">
      <c r="A68" s="882">
        <v>8</v>
      </c>
      <c r="B68" s="3244"/>
      <c r="C68" s="818" t="s">
        <v>629</v>
      </c>
      <c r="D68" s="818" t="s">
        <v>630</v>
      </c>
      <c r="E68" s="895">
        <v>0.2</v>
      </c>
      <c r="F68" s="882">
        <v>30</v>
      </c>
    </row>
    <row r="69" spans="1:6" s="878" customFormat="1" ht="36">
      <c r="A69" s="882">
        <v>9</v>
      </c>
      <c r="B69" s="3244"/>
      <c r="C69" s="818" t="s">
        <v>631</v>
      </c>
      <c r="D69" s="818" t="s">
        <v>632</v>
      </c>
      <c r="E69" s="895">
        <v>0.2</v>
      </c>
      <c r="F69" s="882">
        <v>30</v>
      </c>
    </row>
    <row r="70" spans="1:6" s="878" customFormat="1" ht="48">
      <c r="A70" s="882">
        <v>10</v>
      </c>
      <c r="B70" s="3244"/>
      <c r="C70" s="818" t="s">
        <v>633</v>
      </c>
      <c r="D70" s="818" t="s">
        <v>634</v>
      </c>
      <c r="E70" s="895">
        <v>0.2</v>
      </c>
      <c r="F70" s="882">
        <v>30</v>
      </c>
    </row>
    <row r="71" spans="1:6" s="878" customFormat="1" ht="48">
      <c r="A71" s="882">
        <v>11</v>
      </c>
      <c r="B71" s="3244"/>
      <c r="C71" s="818" t="s">
        <v>635</v>
      </c>
      <c r="D71" s="818" t="s">
        <v>636</v>
      </c>
      <c r="E71" s="895">
        <v>0.2</v>
      </c>
      <c r="F71" s="882">
        <v>30</v>
      </c>
    </row>
    <row r="72" spans="1:6" s="878" customFormat="1" ht="36">
      <c r="A72" s="882">
        <v>12</v>
      </c>
      <c r="B72" s="3244"/>
      <c r="C72" s="818" t="s">
        <v>637</v>
      </c>
      <c r="D72" s="818" t="s">
        <v>638</v>
      </c>
      <c r="E72" s="895">
        <v>0.5</v>
      </c>
      <c r="F72" s="882">
        <v>80</v>
      </c>
    </row>
    <row r="73" spans="1:6" s="878" customFormat="1" ht="24">
      <c r="A73" s="882">
        <v>13</v>
      </c>
      <c r="B73" s="3244"/>
      <c r="C73" s="818" t="s">
        <v>639</v>
      </c>
      <c r="D73" s="818" t="s">
        <v>640</v>
      </c>
      <c r="E73" s="895">
        <v>0.4</v>
      </c>
      <c r="F73" s="882">
        <v>60</v>
      </c>
    </row>
    <row r="74" spans="1:6" s="878" customFormat="1" ht="24">
      <c r="A74" s="882">
        <v>14</v>
      </c>
      <c r="B74" s="3244"/>
      <c r="C74" s="818" t="s">
        <v>641</v>
      </c>
      <c r="D74" s="818" t="s">
        <v>642</v>
      </c>
      <c r="E74" s="895">
        <v>0.2</v>
      </c>
      <c r="F74" s="882">
        <v>30</v>
      </c>
    </row>
    <row r="75" spans="1:6" s="878" customFormat="1" ht="24">
      <c r="A75" s="882">
        <v>15</v>
      </c>
      <c r="B75" s="3244"/>
      <c r="C75" s="818" t="s">
        <v>643</v>
      </c>
      <c r="D75" s="818" t="s">
        <v>644</v>
      </c>
      <c r="E75" s="895">
        <v>0.2</v>
      </c>
      <c r="F75" s="882">
        <v>30</v>
      </c>
    </row>
    <row r="76" spans="1:6" s="878" customFormat="1" ht="24">
      <c r="A76" s="882">
        <v>16</v>
      </c>
      <c r="B76" s="3244" t="s">
        <v>645</v>
      </c>
      <c r="C76" s="818" t="s">
        <v>646</v>
      </c>
      <c r="D76" s="818" t="s">
        <v>647</v>
      </c>
      <c r="E76" s="895">
        <v>0.5</v>
      </c>
      <c r="F76" s="882">
        <v>80</v>
      </c>
    </row>
    <row r="77" spans="1:6" s="878" customFormat="1" ht="24">
      <c r="A77" s="882">
        <v>17</v>
      </c>
      <c r="B77" s="3244"/>
      <c r="C77" s="818" t="s">
        <v>648</v>
      </c>
      <c r="D77" s="818" t="s">
        <v>649</v>
      </c>
      <c r="E77" s="895">
        <v>0.5</v>
      </c>
      <c r="F77" s="882">
        <v>80</v>
      </c>
    </row>
    <row r="78" spans="1:6" s="878" customFormat="1" ht="24">
      <c r="A78" s="882">
        <v>18</v>
      </c>
      <c r="B78" s="3244"/>
      <c r="C78" s="818" t="s">
        <v>650</v>
      </c>
      <c r="D78" s="818" t="s">
        <v>651</v>
      </c>
      <c r="E78" s="895">
        <v>0.2</v>
      </c>
      <c r="F78" s="882">
        <v>30</v>
      </c>
    </row>
    <row r="79" spans="1:6" s="878" customFormat="1" ht="24">
      <c r="A79" s="882">
        <v>19</v>
      </c>
      <c r="B79" s="3244"/>
      <c r="C79" s="818" t="s">
        <v>652</v>
      </c>
      <c r="D79" s="818" t="s">
        <v>653</v>
      </c>
      <c r="E79" s="895">
        <v>0.5</v>
      </c>
      <c r="F79" s="882">
        <v>80</v>
      </c>
    </row>
    <row r="80" spans="1:6" s="878" customFormat="1" ht="36">
      <c r="A80" s="882">
        <v>20</v>
      </c>
      <c r="B80" s="3244"/>
      <c r="C80" s="818" t="s">
        <v>654</v>
      </c>
      <c r="D80" s="818" t="s">
        <v>655</v>
      </c>
      <c r="E80" s="895">
        <v>0.2</v>
      </c>
      <c r="F80" s="882">
        <v>30</v>
      </c>
    </row>
    <row r="81" spans="1:6" s="878" customFormat="1" ht="36">
      <c r="A81" s="882">
        <v>21</v>
      </c>
      <c r="B81" s="3244"/>
      <c r="C81" s="818" t="s">
        <v>656</v>
      </c>
      <c r="D81" s="818" t="s">
        <v>657</v>
      </c>
      <c r="E81" s="895">
        <v>0.2</v>
      </c>
      <c r="F81" s="882">
        <v>30</v>
      </c>
    </row>
    <row r="82" spans="1:6" s="878" customFormat="1" ht="48">
      <c r="A82" s="882">
        <v>22</v>
      </c>
      <c r="B82" s="3244"/>
      <c r="C82" s="818" t="s">
        <v>658</v>
      </c>
      <c r="D82" s="818" t="s">
        <v>659</v>
      </c>
      <c r="E82" s="895">
        <v>0.2</v>
      </c>
      <c r="F82" s="882">
        <v>30</v>
      </c>
    </row>
    <row r="83" spans="1:6" s="878" customFormat="1" ht="48">
      <c r="A83" s="882">
        <v>23</v>
      </c>
      <c r="B83" s="3244"/>
      <c r="C83" s="818" t="s">
        <v>660</v>
      </c>
      <c r="D83" s="818" t="s">
        <v>661</v>
      </c>
      <c r="E83" s="895">
        <v>0.2</v>
      </c>
      <c r="F83" s="882">
        <v>30</v>
      </c>
    </row>
    <row r="84" spans="1:6" s="878" customFormat="1" ht="36">
      <c r="A84" s="882">
        <v>24</v>
      </c>
      <c r="B84" s="3244"/>
      <c r="C84" s="818" t="s">
        <v>662</v>
      </c>
      <c r="D84" s="818" t="s">
        <v>663</v>
      </c>
      <c r="E84" s="895">
        <v>0.2</v>
      </c>
      <c r="F84" s="882">
        <v>30</v>
      </c>
    </row>
    <row r="85" spans="1:6" s="878" customFormat="1" ht="36">
      <c r="A85" s="882">
        <v>25</v>
      </c>
      <c r="B85" s="3244"/>
      <c r="C85" s="818" t="s">
        <v>664</v>
      </c>
      <c r="D85" s="818" t="s">
        <v>665</v>
      </c>
      <c r="E85" s="895">
        <v>0.5</v>
      </c>
      <c r="F85" s="882">
        <v>80</v>
      </c>
    </row>
    <row r="86" spans="1:6" s="878" customFormat="1" ht="36">
      <c r="A86" s="882">
        <v>26</v>
      </c>
      <c r="B86" s="3244"/>
      <c r="C86" s="818" t="s">
        <v>666</v>
      </c>
      <c r="D86" s="818" t="s">
        <v>667</v>
      </c>
      <c r="E86" s="895">
        <v>0.2</v>
      </c>
      <c r="F86" s="882">
        <v>30</v>
      </c>
    </row>
    <row r="87" spans="1:6" s="878" customFormat="1" ht="36">
      <c r="A87" s="882">
        <v>27</v>
      </c>
      <c r="B87" s="3244"/>
      <c r="C87" s="818" t="s">
        <v>668</v>
      </c>
      <c r="D87" s="818" t="s">
        <v>669</v>
      </c>
      <c r="E87" s="895">
        <v>0.2</v>
      </c>
      <c r="F87" s="882">
        <v>30</v>
      </c>
    </row>
    <row r="88" spans="1:6" s="878" customFormat="1" ht="36">
      <c r="A88" s="882">
        <v>28</v>
      </c>
      <c r="B88" s="3244"/>
      <c r="C88" s="818" t="s">
        <v>670</v>
      </c>
      <c r="D88" s="818" t="s">
        <v>671</v>
      </c>
      <c r="E88" s="895">
        <v>0.2</v>
      </c>
      <c r="F88" s="882">
        <v>30</v>
      </c>
    </row>
    <row r="89" spans="1:6" s="878" customFormat="1" ht="24">
      <c r="A89" s="882">
        <v>29</v>
      </c>
      <c r="B89" s="3244"/>
      <c r="C89" s="818" t="s">
        <v>672</v>
      </c>
      <c r="D89" s="818" t="s">
        <v>673</v>
      </c>
      <c r="E89" s="895">
        <v>0.2</v>
      </c>
      <c r="F89" s="882">
        <v>30</v>
      </c>
    </row>
    <row r="90" spans="1:6" s="878" customFormat="1" ht="24">
      <c r="A90" s="882">
        <v>30</v>
      </c>
      <c r="B90" s="3244"/>
      <c r="C90" s="818" t="s">
        <v>674</v>
      </c>
      <c r="D90" s="818" t="s">
        <v>675</v>
      </c>
      <c r="E90" s="895">
        <v>0.2</v>
      </c>
      <c r="F90" s="882">
        <v>30</v>
      </c>
    </row>
    <row r="91" spans="1:6" s="878" customFormat="1" ht="36">
      <c r="A91" s="882">
        <v>31</v>
      </c>
      <c r="B91" s="3244"/>
      <c r="C91" s="818" t="s">
        <v>676</v>
      </c>
      <c r="D91" s="818" t="s">
        <v>677</v>
      </c>
      <c r="E91" s="895">
        <v>0.2</v>
      </c>
      <c r="F91" s="882">
        <v>30</v>
      </c>
    </row>
    <row r="92" spans="1:6" s="878" customFormat="1" ht="24">
      <c r="A92" s="882">
        <v>32</v>
      </c>
      <c r="B92" s="3244" t="s">
        <v>678</v>
      </c>
      <c r="C92" s="882" t="s">
        <v>679</v>
      </c>
      <c r="D92" s="818" t="s">
        <v>680</v>
      </c>
      <c r="E92" s="895">
        <v>0.2</v>
      </c>
      <c r="F92" s="882">
        <v>30</v>
      </c>
    </row>
    <row r="93" spans="1:6" s="878" customFormat="1" ht="36">
      <c r="A93" s="882">
        <v>33</v>
      </c>
      <c r="B93" s="3244"/>
      <c r="C93" s="882" t="s">
        <v>681</v>
      </c>
      <c r="D93" s="818" t="s">
        <v>682</v>
      </c>
      <c r="E93" s="895">
        <v>0.2</v>
      </c>
      <c r="F93" s="882">
        <v>30</v>
      </c>
    </row>
    <row r="94" spans="1:6" s="878" customFormat="1" ht="48">
      <c r="A94" s="882">
        <v>34</v>
      </c>
      <c r="B94" s="3244"/>
      <c r="C94" s="882" t="s">
        <v>683</v>
      </c>
      <c r="D94" s="818" t="s">
        <v>684</v>
      </c>
      <c r="E94" s="895">
        <v>0.2</v>
      </c>
      <c r="F94" s="882">
        <v>30</v>
      </c>
    </row>
    <row r="95" spans="1:6" s="878" customFormat="1" ht="36">
      <c r="A95" s="882">
        <v>35</v>
      </c>
      <c r="B95" s="3244"/>
      <c r="C95" s="882" t="s">
        <v>685</v>
      </c>
      <c r="D95" s="818" t="s">
        <v>686</v>
      </c>
      <c r="E95" s="895">
        <v>0.2</v>
      </c>
      <c r="F95" s="882">
        <v>30</v>
      </c>
    </row>
    <row r="96" spans="1:6" s="878" customFormat="1" ht="48">
      <c r="A96" s="882">
        <v>36</v>
      </c>
      <c r="B96" s="3244"/>
      <c r="C96" s="818" t="s">
        <v>687</v>
      </c>
      <c r="D96" s="818" t="s">
        <v>688</v>
      </c>
      <c r="E96" s="895">
        <v>0.2</v>
      </c>
      <c r="F96" s="882">
        <v>30</v>
      </c>
    </row>
    <row r="97" spans="1:6" s="878" customFormat="1" ht="36">
      <c r="A97" s="882">
        <v>37</v>
      </c>
      <c r="B97" s="3244"/>
      <c r="C97" s="882" t="s">
        <v>689</v>
      </c>
      <c r="D97" s="818" t="s">
        <v>690</v>
      </c>
      <c r="E97" s="895">
        <v>0.2</v>
      </c>
      <c r="F97" s="882">
        <v>30</v>
      </c>
    </row>
    <row r="98" spans="1:6" s="878" customFormat="1" ht="36">
      <c r="A98" s="882">
        <v>38</v>
      </c>
      <c r="B98" s="3244"/>
      <c r="C98" s="882" t="s">
        <v>691</v>
      </c>
      <c r="D98" s="818" t="s">
        <v>692</v>
      </c>
      <c r="E98" s="895">
        <v>0.2</v>
      </c>
      <c r="F98" s="882">
        <v>30</v>
      </c>
    </row>
    <row r="99" spans="1:6" s="878" customFormat="1" ht="36">
      <c r="A99" s="882">
        <v>39</v>
      </c>
      <c r="B99" s="3244" t="s">
        <v>693</v>
      </c>
      <c r="C99" s="882" t="s">
        <v>694</v>
      </c>
      <c r="D99" s="818" t="s">
        <v>695</v>
      </c>
      <c r="E99" s="895">
        <v>0.3</v>
      </c>
      <c r="F99" s="882">
        <v>50</v>
      </c>
    </row>
    <row r="100" spans="1:6" s="878" customFormat="1" ht="24">
      <c r="A100" s="882">
        <v>40</v>
      </c>
      <c r="B100" s="3244"/>
      <c r="C100" s="882" t="s">
        <v>696</v>
      </c>
      <c r="D100" s="818" t="s">
        <v>697</v>
      </c>
      <c r="E100" s="895">
        <v>0.2</v>
      </c>
      <c r="F100" s="882">
        <v>30</v>
      </c>
    </row>
    <row r="101" spans="1:6" s="878" customFormat="1" ht="36">
      <c r="A101" s="882">
        <v>41</v>
      </c>
      <c r="B101" s="324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4" t="s">
        <v>708</v>
      </c>
      <c r="C105" s="882" t="s">
        <v>709</v>
      </c>
      <c r="D105" s="818" t="s">
        <v>710</v>
      </c>
      <c r="E105" s="895">
        <v>0.2</v>
      </c>
      <c r="F105" s="882">
        <v>30</v>
      </c>
    </row>
    <row r="106" spans="1:6" s="878" customFormat="1" ht="36">
      <c r="A106" s="882">
        <v>46</v>
      </c>
      <c r="B106" s="3244"/>
      <c r="C106" s="882" t="s">
        <v>711</v>
      </c>
      <c r="D106" s="818" t="s">
        <v>712</v>
      </c>
      <c r="E106" s="895">
        <v>0.2</v>
      </c>
      <c r="F106" s="882">
        <v>30</v>
      </c>
    </row>
    <row r="107" spans="1:6" s="878" customFormat="1" ht="36">
      <c r="A107" s="882">
        <v>47</v>
      </c>
      <c r="B107" s="3244" t="s">
        <v>713</v>
      </c>
      <c r="C107" s="882" t="s">
        <v>714</v>
      </c>
      <c r="D107" s="818" t="s">
        <v>715</v>
      </c>
      <c r="E107" s="895">
        <v>0.3</v>
      </c>
      <c r="F107" s="882">
        <v>50</v>
      </c>
    </row>
    <row r="108" spans="1:6" s="878" customFormat="1" ht="36">
      <c r="A108" s="882">
        <v>48</v>
      </c>
      <c r="B108" s="324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4" t="s">
        <v>724</v>
      </c>
      <c r="C111" s="882" t="s">
        <v>725</v>
      </c>
      <c r="D111" s="818" t="s">
        <v>726</v>
      </c>
      <c r="E111" s="895">
        <v>0.2</v>
      </c>
      <c r="F111" s="882">
        <v>30</v>
      </c>
    </row>
    <row r="112" spans="1:6" s="878" customFormat="1" ht="24">
      <c r="A112" s="882">
        <v>52</v>
      </c>
      <c r="B112" s="3244"/>
      <c r="C112" s="882" t="s">
        <v>727</v>
      </c>
      <c r="D112" s="818" t="s">
        <v>728</v>
      </c>
      <c r="E112" s="895">
        <v>0.2</v>
      </c>
      <c r="F112" s="882">
        <v>30</v>
      </c>
    </row>
    <row r="113" spans="1:6" s="878" customFormat="1" ht="24">
      <c r="A113" s="882">
        <v>53</v>
      </c>
      <c r="B113" s="324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4" t="s">
        <v>737</v>
      </c>
      <c r="C116" s="882" t="s">
        <v>738</v>
      </c>
      <c r="D116" s="818" t="s">
        <v>739</v>
      </c>
      <c r="E116" s="895">
        <v>0.2</v>
      </c>
      <c r="F116" s="882">
        <v>30</v>
      </c>
    </row>
    <row r="117" spans="1:6" ht="36">
      <c r="A117" s="882">
        <v>57</v>
      </c>
      <c r="B117" s="324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7" t="s">
        <v>3007</v>
      </c>
    </row>
    <row r="2" spans="1:5" ht="15.75">
      <c r="A2" s="2916" t="s">
        <v>2999</v>
      </c>
      <c r="B2" s="2917">
        <f ca="1">SUMIF(B6:B13,"&lt;&gt;#ref!",B6:B13)</f>
        <v>14662</v>
      </c>
      <c r="C2" s="2916" t="s">
        <v>3000</v>
      </c>
      <c r="D2" s="2916" t="s">
        <v>3001</v>
      </c>
      <c r="E2" s="2917" t="e">
        <f ca="1">SUM(E6:E13)</f>
        <v>#REF!</v>
      </c>
    </row>
    <row r="3" spans="1:5" ht="15.75">
      <c r="A3" s="2916" t="s">
        <v>3002</v>
      </c>
      <c r="B3" s="2917" t="e">
        <f ca="1">ROUND(B2*10000/E2,0)</f>
        <v>#REF!</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f ca="1">SUMIF(INDIRECT("'"&amp;A6&amp;"'"&amp;"!A:A"),"总价",INDIRECT("'"&amp;A6&amp;"'"&amp;"!B:B"))</f>
        <v>14662</v>
      </c>
      <c r="C6" s="2916" t="s">
        <v>3000</v>
      </c>
      <c r="D6" s="2918"/>
      <c r="E6" s="2581">
        <f ca="1">SUMIF(INDIRECT("'"&amp;A6&amp;"'"&amp;"!C:C"),"建筑面积",INDIRECT("'"&amp;A6&amp;"'"&amp;"!D:D"))</f>
        <v>4639</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0" t="s">
        <v>1150</v>
      </c>
      <c r="C1" s="3250"/>
      <c r="D1" s="3250"/>
      <c r="E1" s="3250"/>
      <c r="F1" s="3250"/>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30"/>
      <c r="J3" s="2930"/>
      <c r="K3" s="2930"/>
      <c r="L3" s="2930"/>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30">
        <f>ROUND(AVERAGE(I5:I20),2)</f>
        <v>2.4900000000000002</v>
      </c>
      <c r="J4" s="2930">
        <f t="shared" ref="J4:L4" si="7">ROUND(AVERAGE(J5:J20),2)</f>
        <v>1.64</v>
      </c>
      <c r="K4" s="2930">
        <f t="shared" si="7"/>
        <v>2.78</v>
      </c>
      <c r="L4" s="2930">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7">
        <v>2017</v>
      </c>
      <c r="H5" s="1734">
        <v>4</v>
      </c>
      <c r="I5" s="2931">
        <f>ROUND(AVERAGE(I6:I20),2)</f>
        <v>2.4900000000000002</v>
      </c>
      <c r="J5" s="2931">
        <f>ROUND(AVERAGE(J6:J20),2)</f>
        <v>1.64</v>
      </c>
      <c r="K5" s="2931">
        <f>ROUND(AVERAGE(K6:K20),2)</f>
        <v>2.78</v>
      </c>
      <c r="L5" s="2931">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9"/>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8"/>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9"/>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8"/>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8"/>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9"/>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7">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8"/>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8"/>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9"/>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7">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8"/>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8"/>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9"/>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7">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8"/>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8"/>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9"/>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7">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8">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8">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9">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7">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8">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8">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9">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7">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8">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8">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9">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7">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8">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8">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9">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7">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8">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8">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9">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7">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8">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8">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9">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7">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8">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8">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9">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7">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8">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8">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9">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7">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8">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8">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9">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7">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8">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8">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9">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2"/>
      <c r="C2" s="2942"/>
      <c r="D2" s="2942"/>
      <c r="E2" s="2942"/>
    </row>
    <row r="3" spans="1:5" ht="18">
      <c r="A3" s="2943" t="str">
        <f>IF(项目基本情况!B9="房地产市场价值","估价结果一览表（市场价值不需“结果表-1”）","估价结果一览表")</f>
        <v>估价结果一览表</v>
      </c>
      <c r="B3" s="2943"/>
      <c r="C3" s="2943"/>
      <c r="D3" s="2943"/>
      <c r="E3" s="2943"/>
    </row>
    <row r="4" spans="1:5" ht="19.5" thickBot="1">
      <c r="A4" s="1965"/>
      <c r="B4" s="2941" t="s">
        <v>1631</v>
      </c>
      <c r="C4" s="2941"/>
      <c r="D4" s="2941"/>
      <c r="E4" s="1965"/>
    </row>
    <row r="5" spans="1:5" ht="16.5" thickTop="1">
      <c r="A5" s="1963"/>
      <c r="B5" s="2939" t="s">
        <v>1623</v>
      </c>
      <c r="C5" s="1966" t="s">
        <v>1624</v>
      </c>
      <c r="D5" s="1043">
        <f ca="1">结果表!H101</f>
        <v>21995</v>
      </c>
      <c r="E5" s="1963"/>
    </row>
    <row r="6" spans="1:5" ht="15.75">
      <c r="A6" s="1963"/>
      <c r="B6" s="2939"/>
      <c r="C6" s="1966" t="s">
        <v>1625</v>
      </c>
      <c r="D6" s="1043" t="str">
        <f ca="1">NUMBERSTRING(INT(D5*10000),2)&amp;"元整"</f>
        <v>贰亿壹仟玖佰玖拾伍万元整</v>
      </c>
      <c r="E6" s="1963"/>
    </row>
    <row r="7" spans="1:5" ht="15.75">
      <c r="A7" s="1963"/>
      <c r="B7" s="2944"/>
      <c r="C7" s="1967" t="s">
        <v>1626</v>
      </c>
      <c r="D7" s="1044">
        <f ca="1">结果表!H102</f>
        <v>46462</v>
      </c>
      <c r="E7" s="1963"/>
    </row>
    <row r="8" spans="1:5" ht="15.75">
      <c r="A8" s="1963"/>
      <c r="B8" s="2945" t="str">
        <f>结果表!E103</f>
        <v>2.估价师知悉的法定优先受偿款</v>
      </c>
      <c r="C8" s="1968" t="s">
        <v>1627</v>
      </c>
      <c r="D8" s="1044">
        <f>结果表!H103</f>
        <v>0</v>
      </c>
      <c r="E8" s="1963"/>
    </row>
    <row r="9" spans="1:5" ht="15.75">
      <c r="A9" s="1963"/>
      <c r="B9" s="2947"/>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8" t="str">
        <f>结果表!E107</f>
        <v>3.房地产抵押价值</v>
      </c>
      <c r="C13" s="1971" t="s">
        <v>1624</v>
      </c>
      <c r="D13" s="1046">
        <f ca="1">结果表!H107</f>
        <v>21995</v>
      </c>
      <c r="E13" s="1963"/>
    </row>
    <row r="14" spans="1:5" ht="15.75">
      <c r="A14" s="1963"/>
      <c r="B14" s="2939"/>
      <c r="C14" s="1966" t="s">
        <v>1625</v>
      </c>
      <c r="D14" s="1043" t="str">
        <f ca="1">NUMBERSTRING(INT(D13*10000),2)&amp;"元整"</f>
        <v>贰亿壹仟玖佰玖拾伍万元整</v>
      </c>
      <c r="E14" s="1963"/>
    </row>
    <row r="15" spans="1:5" ht="15">
      <c r="A15" s="1963"/>
      <c r="B15" s="2944"/>
      <c r="C15" s="1967" t="s">
        <v>1635</v>
      </c>
      <c r="D15" s="1055">
        <f ca="1">结果表!H108</f>
        <v>46462</v>
      </c>
      <c r="E15" s="1963"/>
    </row>
    <row r="16" spans="1:5" ht="15">
      <c r="A16" s="1963"/>
      <c r="B16" s="2945" t="str">
        <f>结果表!E109</f>
        <v>——</v>
      </c>
      <c r="C16" s="1971" t="s">
        <v>1636</v>
      </c>
      <c r="D16" s="1972" t="str">
        <f>结果表!H109</f>
        <v>——</v>
      </c>
      <c r="E16" s="1963"/>
    </row>
    <row r="17" spans="1:5" ht="15.75">
      <c r="A17" s="1963"/>
      <c r="B17" s="2946"/>
      <c r="C17" s="1966" t="s">
        <v>1637</v>
      </c>
      <c r="D17" s="1043" t="e">
        <f>NUMBERSTRING(INT(D16*10000),2)&amp;"元整"</f>
        <v>#VALUE!</v>
      </c>
      <c r="E17" s="1963"/>
    </row>
    <row r="18" spans="1:5" ht="15">
      <c r="A18" s="1963"/>
      <c r="B18" s="2947"/>
      <c r="C18" s="1967" t="s">
        <v>1626</v>
      </c>
      <c r="D18" s="1055" t="str">
        <f>结果表!H110</f>
        <v>——</v>
      </c>
      <c r="E18" s="1963"/>
    </row>
    <row r="19" spans="1:5" ht="15.75">
      <c r="A19" s="1963"/>
      <c r="B19" s="2938" t="str">
        <f>结果表!E111</f>
        <v>——</v>
      </c>
      <c r="C19" s="1971" t="s">
        <v>1624</v>
      </c>
      <c r="D19" s="1044" t="str">
        <f>结果表!H111</f>
        <v>——</v>
      </c>
      <c r="E19" s="1963"/>
    </row>
    <row r="20" spans="1:5" ht="15.75">
      <c r="A20" s="1963"/>
      <c r="B20" s="2939"/>
      <c r="C20" s="1966" t="s">
        <v>1637</v>
      </c>
      <c r="D20" s="1043" t="e">
        <f>NUMBERSTRING(INT(D19*10000),2)&amp;"元整"</f>
        <v>#VALUE!</v>
      </c>
      <c r="E20" s="1963"/>
    </row>
    <row r="21" spans="1:5" ht="15.75" thickBot="1">
      <c r="A21" s="1963"/>
      <c r="B21" s="2940"/>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56" t="s">
        <v>3010</v>
      </c>
      <c r="D1" s="3257"/>
      <c r="E1" s="3257"/>
      <c r="F1" s="3257"/>
      <c r="G1" s="3257"/>
      <c r="H1" s="3257"/>
      <c r="I1" s="3257"/>
      <c r="J1" s="3257"/>
      <c r="K1" s="3257"/>
      <c r="L1" s="3257"/>
      <c r="M1" s="3257"/>
      <c r="N1" s="3257"/>
      <c r="O1" s="3257"/>
      <c r="P1" s="3257"/>
      <c r="Q1" s="3257"/>
      <c r="R1" s="3257"/>
      <c r="S1" s="3258"/>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3013</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3014</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3015</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6"/>
      <c r="F19" s="1796"/>
      <c r="G19" s="1796"/>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7"/>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39" t="s">
        <v>33</v>
      </c>
      <c r="D22" s="3040"/>
      <c r="E22" s="3040"/>
      <c r="F22" s="3040"/>
      <c r="G22" s="3040"/>
      <c r="H22" s="3040"/>
      <c r="I22" s="3040"/>
      <c r="J22" s="3040"/>
      <c r="K22" s="3040"/>
      <c r="L22" s="3040"/>
      <c r="M22" s="3040"/>
      <c r="N22" s="3040"/>
      <c r="O22" s="3040"/>
      <c r="P22" s="3040"/>
      <c r="Q22" s="3255"/>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29330</v>
      </c>
      <c r="C2" s="2" t="s">
        <v>133</v>
      </c>
      <c r="D2" s="243"/>
      <c r="E2" s="243"/>
      <c r="F2" s="243"/>
      <c r="G2" s="243"/>
    </row>
    <row r="3" spans="1:7" s="244" customFormat="1" ht="18" customHeight="1" thickBot="1">
      <c r="A3" s="247" t="s">
        <v>85</v>
      </c>
      <c r="B3" s="248">
        <f ca="1">ROUND(B2*10000/'数据-汇总表'!E3,0)</f>
        <v>61956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95</v>
      </c>
      <c r="D10" s="1035">
        <f>'数据-汇总表'!E6</f>
        <v>4734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4734</v>
      </c>
      <c r="E19" s="255">
        <f>'数据-取费表'!B31</f>
        <v>200</v>
      </c>
      <c r="F19" s="275"/>
      <c r="G19" s="1" t="s">
        <v>1074</v>
      </c>
    </row>
    <row r="20" spans="1:7" s="258" customFormat="1" ht="13.5" customHeight="1">
      <c r="A20" s="951" t="s">
        <v>1057</v>
      </c>
      <c r="B20" s="254" t="s">
        <v>104</v>
      </c>
      <c r="C20" s="276">
        <f>ROUND((C5+C19)*F20,0)</f>
        <v>311</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908</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4203</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1326</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95</v>
      </c>
      <c r="D37" s="261">
        <f>'数据-汇总表'!E3</f>
        <v>4734</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24" t="s">
        <v>121</v>
      </c>
    </row>
    <row r="43" spans="1:7" ht="13.5" customHeight="1">
      <c r="A43" s="954" t="s">
        <v>792</v>
      </c>
      <c r="B43" s="259" t="s">
        <v>1064</v>
      </c>
      <c r="C43" s="282">
        <f ca="1">ROUND(IF('数据-取费表'!B22&lt;=1,C39*F22*'数据-取费表'!B21/2,C39*(POWER((1+F22),'数据-取费表'!B21/2)-1)),0)</f>
        <v>0</v>
      </c>
      <c r="D43" s="282"/>
      <c r="E43" s="282"/>
      <c r="F43" s="283"/>
      <c r="G43" s="3125"/>
    </row>
    <row r="44" spans="1:7" ht="13.5" customHeight="1">
      <c r="A44" s="954" t="s">
        <v>793</v>
      </c>
      <c r="B44" s="259" t="s">
        <v>1066</v>
      </c>
      <c r="C44" s="282">
        <f ca="1">ROUND(IF('数据-取费表'!B22&lt;=1,C40*F22*'数据-取费表'!B21/2,C40*(POWER((1+F22),'数据-取费表'!B21/2)-1)),4)</f>
        <v>2.9999999999999997E-4</v>
      </c>
      <c r="D44" s="282"/>
      <c r="E44" s="282"/>
      <c r="F44" s="283"/>
      <c r="G44" s="3126"/>
    </row>
    <row r="45" spans="1:7" s="258" customFormat="1" ht="13.5" customHeight="1">
      <c r="A45" s="951" t="s">
        <v>786</v>
      </c>
      <c r="B45" s="288" t="s">
        <v>112</v>
      </c>
      <c r="C45" s="289">
        <f>C46</f>
        <v>301</v>
      </c>
      <c r="D45" s="279">
        <f>C47</f>
        <v>3.0000000000000001E-3</v>
      </c>
      <c r="E45" s="280" t="s">
        <v>129</v>
      </c>
      <c r="F45" s="290"/>
      <c r="G45" s="291" t="s">
        <v>1072</v>
      </c>
    </row>
    <row r="46" spans="1:7" s="258" customFormat="1" ht="13.5" customHeight="1">
      <c r="A46" s="954" t="s">
        <v>794</v>
      </c>
      <c r="B46" s="292" t="s">
        <v>1065</v>
      </c>
      <c r="C46" s="293">
        <f>ROUND((C33+C39)*F27,0)</f>
        <v>301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1978</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1187</v>
      </c>
      <c r="D51" s="276"/>
      <c r="E51" s="276"/>
      <c r="F51" s="308"/>
      <c r="G51" s="278" t="s">
        <v>64</v>
      </c>
    </row>
    <row r="52" spans="1:7" s="252" customFormat="1" ht="16.5" thickBot="1">
      <c r="A52" s="309" t="s">
        <v>65</v>
      </c>
      <c r="B52" s="310"/>
      <c r="C52" s="311">
        <f ca="1">C31+C51</f>
        <v>29330</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9" t="s">
        <v>156</v>
      </c>
      <c r="B1" s="3259"/>
      <c r="C1" s="3259"/>
      <c r="D1" s="3259"/>
      <c r="E1" s="3259"/>
      <c r="F1" s="325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0" t="s">
        <v>169</v>
      </c>
      <c r="B2" s="3260"/>
      <c r="C2" s="3260"/>
      <c r="D2" s="3260"/>
      <c r="E2" s="3260"/>
      <c r="F2" s="326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9" t="s">
        <v>871</v>
      </c>
      <c r="B1" s="325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8" t="str">
        <f>IF(项目基本情况!B9="房地产市场价值","估价结果一览表","结果表-2")</f>
        <v>结果表-2</v>
      </c>
      <c r="B1" s="2948"/>
      <c r="C1" s="2948"/>
      <c r="D1" s="2948"/>
      <c r="E1" s="2948"/>
      <c r="F1" s="2948"/>
      <c r="G1" s="2948"/>
      <c r="H1" s="2948"/>
      <c r="I1" s="2948"/>
    </row>
    <row r="2" spans="1:9" ht="30" customHeight="1" thickTop="1">
      <c r="A2" s="2949" t="s">
        <v>1642</v>
      </c>
      <c r="B2" s="2949" t="s">
        <v>1643</v>
      </c>
      <c r="C2" s="2949" t="s">
        <v>1644</v>
      </c>
      <c r="D2" s="2949" t="str">
        <f>结果表!D116</f>
        <v>出让国有建设用地使用权价值</v>
      </c>
      <c r="E2" s="2949"/>
      <c r="F2" s="2949" t="str">
        <f>结果表!F116</f>
        <v>在建建筑物价值</v>
      </c>
      <c r="G2" s="2949"/>
      <c r="H2" s="2949" t="str">
        <f>IF(项目基本情况!B9="房地产市场价值","房地产市场价值","房地产价值")</f>
        <v>房地产价值</v>
      </c>
      <c r="I2" s="2949"/>
    </row>
    <row r="3" spans="1:9" ht="15">
      <c r="A3" s="2950"/>
      <c r="B3" s="2950"/>
      <c r="C3" s="2950"/>
      <c r="D3" s="1047" t="s">
        <v>1639</v>
      </c>
      <c r="E3" s="1047" t="s">
        <v>1645</v>
      </c>
      <c r="F3" s="1047" t="s">
        <v>1639</v>
      </c>
      <c r="G3" s="1047" t="s">
        <v>1640</v>
      </c>
      <c r="H3" s="1047" t="s">
        <v>1639</v>
      </c>
      <c r="I3" s="1047" t="s">
        <v>1640</v>
      </c>
    </row>
    <row r="4" spans="1:9" ht="30">
      <c r="A4" s="1977" t="str">
        <f>项目基本情况!S2</f>
        <v>北京市东城区菊儿胡同33号13幢等4幢房地产</v>
      </c>
      <c r="B4" s="1047">
        <f>项目基本情况!C17</f>
        <v>4734</v>
      </c>
      <c r="C4" s="1047">
        <f>项目基本情况!C18</f>
        <v>1597.9</v>
      </c>
      <c r="D4" s="1047">
        <f ca="1">结果表!D118</f>
        <v>20807</v>
      </c>
      <c r="E4" s="1047">
        <f ca="1">结果表!E118</f>
        <v>43952</v>
      </c>
      <c r="F4" s="1047">
        <f ca="1">结果表!F118</f>
        <v>1188</v>
      </c>
      <c r="G4" s="1047">
        <f ca="1">结果表!G118</f>
        <v>2510</v>
      </c>
      <c r="H4" s="1047">
        <f ca="1">结果表!H118</f>
        <v>21995</v>
      </c>
      <c r="I4" s="1047">
        <f ca="1">结果表!I118</f>
        <v>46462</v>
      </c>
    </row>
    <row r="5" spans="1:9" ht="30" customHeight="1">
      <c r="A5" s="2950" t="s">
        <v>1641</v>
      </c>
      <c r="B5" s="2950"/>
      <c r="C5" s="2950"/>
      <c r="D5" s="2951" t="str">
        <f ca="1">结果表!D119</f>
        <v>贰亿零捌佰零柒万元整</v>
      </c>
      <c r="E5" s="2951"/>
      <c r="F5" s="2951" t="str">
        <f ca="1">结果表!F119</f>
        <v>壹仟壹佰捌拾捌万元整</v>
      </c>
      <c r="G5" s="2951"/>
      <c r="H5" s="2951" t="str">
        <f ca="1">结果表!H119</f>
        <v>贰亿壹仟玖佰玖拾伍万元整</v>
      </c>
      <c r="I5" s="2951"/>
    </row>
    <row r="6" spans="1:9" ht="15.75">
      <c r="A6" s="2952" t="str">
        <f>结果表!A120</f>
        <v>估价师知悉的法定优先受偿款</v>
      </c>
      <c r="B6" s="2952"/>
      <c r="C6" s="2952"/>
      <c r="D6" s="2952">
        <f>结果表!D120</f>
        <v>0</v>
      </c>
      <c r="E6" s="2952"/>
      <c r="F6" s="2952"/>
      <c r="G6" s="2952"/>
      <c r="H6" s="2952"/>
      <c r="I6" s="2952"/>
    </row>
    <row r="7" spans="1:9" ht="15">
      <c r="A7" s="2950" t="s">
        <v>1641</v>
      </c>
      <c r="B7" s="2950"/>
      <c r="C7" s="2950"/>
      <c r="D7" s="2953" t="str">
        <f>结果表!D121</f>
        <v>零元整</v>
      </c>
      <c r="E7" s="2954"/>
      <c r="F7" s="2954"/>
      <c r="G7" s="2954"/>
      <c r="H7" s="2954"/>
      <c r="I7" s="2955"/>
    </row>
    <row r="8" spans="1:9" ht="15.75">
      <c r="A8" s="2952" t="str">
        <f>结果表!A122</f>
        <v>房地产抵押价值</v>
      </c>
      <c r="B8" s="2952"/>
      <c r="C8" s="2952"/>
      <c r="D8" s="2952">
        <f ca="1">结果表!D122</f>
        <v>21995</v>
      </c>
      <c r="E8" s="2952"/>
      <c r="F8" s="2952"/>
      <c r="G8" s="2952"/>
      <c r="H8" s="2952"/>
      <c r="I8" s="2952"/>
    </row>
    <row r="9" spans="1:9" ht="15">
      <c r="A9" s="2950" t="s">
        <v>1641</v>
      </c>
      <c r="B9" s="2950"/>
      <c r="C9" s="2950"/>
      <c r="D9" s="2951" t="str">
        <f ca="1">结果表!D123</f>
        <v>贰亿壹仟玖佰玖拾伍万元整</v>
      </c>
      <c r="E9" s="2951"/>
      <c r="F9" s="2951"/>
      <c r="G9" s="2951"/>
      <c r="H9" s="2951"/>
      <c r="I9" s="2951"/>
    </row>
    <row r="10" spans="1:9" ht="15.75">
      <c r="A10" s="2952" t="str">
        <f>结果表!A124</f>
        <v/>
      </c>
      <c r="B10" s="2952"/>
      <c r="C10" s="2952"/>
      <c r="D10" s="2952" t="str">
        <f>结果表!D124</f>
        <v>——</v>
      </c>
      <c r="E10" s="2952"/>
      <c r="F10" s="2952"/>
      <c r="G10" s="2952"/>
      <c r="H10" s="2952"/>
      <c r="I10" s="2952"/>
    </row>
    <row r="11" spans="1:9" ht="15">
      <c r="A11" s="2950" t="s">
        <v>1641</v>
      </c>
      <c r="B11" s="2950"/>
      <c r="C11" s="2950"/>
      <c r="D11" s="2951" t="e">
        <f>结果表!D125</f>
        <v>#VALUE!</v>
      </c>
      <c r="E11" s="2951"/>
      <c r="F11" s="2951"/>
      <c r="G11" s="2951"/>
      <c r="H11" s="2951"/>
      <c r="I11" s="2951"/>
    </row>
    <row r="12" spans="1:9" ht="15.75">
      <c r="A12" s="2952" t="str">
        <f>结果表!A126</f>
        <v/>
      </c>
      <c r="B12" s="2952"/>
      <c r="C12" s="2952"/>
      <c r="D12" s="2952" t="str">
        <f>结果表!D126</f>
        <v>——</v>
      </c>
      <c r="E12" s="2952"/>
      <c r="F12" s="2952"/>
      <c r="G12" s="2952"/>
      <c r="H12" s="2952"/>
      <c r="I12" s="2952"/>
    </row>
    <row r="13" spans="1:9" ht="15.75" thickBot="1">
      <c r="A13" s="2956" t="s">
        <v>1641</v>
      </c>
      <c r="B13" s="2956"/>
      <c r="C13" s="2956"/>
      <c r="D13" s="2957" t="e">
        <f>结果表!D127</f>
        <v>#VALUE!</v>
      </c>
      <c r="E13" s="2957"/>
      <c r="F13" s="2957"/>
      <c r="G13" s="2957"/>
      <c r="H13" s="2957"/>
      <c r="I13" s="2957"/>
    </row>
    <row r="14" spans="1:9" ht="15" thickTop="1">
      <c r="A14" s="2958" t="s">
        <v>1646</v>
      </c>
      <c r="B14" s="2958"/>
      <c r="C14" s="2958"/>
      <c r="D14" s="2958"/>
      <c r="E14" s="2958"/>
      <c r="F14" s="2958"/>
      <c r="G14" s="2958"/>
      <c r="H14" s="2958"/>
      <c r="I14" s="295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9" t="s">
        <v>1663</v>
      </c>
      <c r="B1" s="2959"/>
      <c r="C1" s="2959"/>
      <c r="D1" s="2959"/>
    </row>
    <row r="2" spans="1:4" ht="18">
      <c r="A2" s="2960" t="s">
        <v>1647</v>
      </c>
      <c r="B2" s="2960"/>
      <c r="C2" s="2960"/>
      <c r="D2" s="2960"/>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0" t="s">
        <v>1653</v>
      </c>
      <c r="B6" s="2960"/>
      <c r="C6" s="2960"/>
      <c r="D6" s="2960"/>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1" t="s">
        <v>1656</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3"/>
      <c r="C12" s="2963"/>
      <c r="D12" s="2963"/>
    </row>
    <row r="13" spans="1:4" ht="30" customHeight="1">
      <c r="A13" s="2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3"/>
      <c r="C13" s="2963"/>
      <c r="D13" s="2963"/>
    </row>
    <row r="14" spans="1:4" ht="15.75" customHeight="1">
      <c r="A14" s="2962" t="str">
        <f>IF(项目基本情况!B8="抵押","4.本次评估估价师所知悉的法定优先受偿款情况说明如下：","——")</f>
        <v>4.本次评估估价师所知悉的法定优先受偿款情况说明如下：</v>
      </c>
      <c r="B14" s="2963"/>
      <c r="C14" s="2963"/>
      <c r="D14" s="2963"/>
    </row>
    <row r="15" spans="1:4" ht="42" customHeight="1">
      <c r="A15" s="2962" t="str">
        <f>IF(项目基本情况!B8="抵押","（1）"&amp;CONCATENATE(项目基本情况!L20,项目基本情况!L21,项目基本情况!L22),"——")</f>
        <v>（1）根据估价对象《房屋所有权证》原件、《国有土地使用权》原件，截至价值时点，估价对象抵押权未见登记。</v>
      </c>
      <c r="B15" s="2962"/>
      <c r="C15" s="2962"/>
      <c r="D15" s="2962"/>
    </row>
    <row r="16" spans="1:4" ht="30" customHeight="1">
      <c r="A16" s="2965" t="s">
        <v>1657</v>
      </c>
      <c r="B16" s="2965"/>
      <c r="C16" s="2965"/>
      <c r="D16" s="2965"/>
    </row>
    <row r="17" spans="1:4" ht="144" customHeight="1">
      <c r="A17" s="2965" t="s">
        <v>1658</v>
      </c>
      <c r="B17" s="2965"/>
      <c r="C17" s="2965"/>
      <c r="D17" s="2965"/>
    </row>
    <row r="18" spans="1:4" ht="15.75" customHeight="1">
      <c r="A18" s="2962" t="str">
        <f>IF(项目基本情况!B8="抵押",结果表!K120,"——")</f>
        <v>故，本次评估不存在估价师知悉的法定优先受偿款</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6"/>
      <c r="C21" s="2966"/>
      <c r="D21" s="2966"/>
    </row>
    <row r="22" spans="1:4" ht="18.75" customHeight="1">
      <c r="A22" s="2967" t="s">
        <v>1659</v>
      </c>
      <c r="B22" s="2967"/>
      <c r="C22" s="2967"/>
      <c r="D22" s="2967"/>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4">
        <v>42551</v>
      </c>
      <c r="D31" s="29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3" t="s">
        <v>1670</v>
      </c>
      <c r="B15" s="2968" t="s">
        <v>136</v>
      </c>
      <c r="C15" s="2969"/>
    </row>
    <row r="16" spans="1:7" ht="13.5">
      <c r="A16" s="2974"/>
      <c r="B16" s="2968" t="s">
        <v>69</v>
      </c>
      <c r="C16" s="2969"/>
    </row>
    <row r="17" spans="1:3" ht="13.5">
      <c r="A17" s="2974"/>
      <c r="B17" s="2971" t="s">
        <v>1671</v>
      </c>
      <c r="C17" s="2004" t="s">
        <v>1670</v>
      </c>
    </row>
    <row r="18" spans="1:3" ht="13.5">
      <c r="A18" s="2974"/>
      <c r="B18" s="2971"/>
      <c r="C18" s="2004" t="s">
        <v>1672</v>
      </c>
    </row>
    <row r="19" spans="1:3" ht="13.5">
      <c r="A19" s="2974"/>
      <c r="B19" s="2971"/>
      <c r="C19" s="2004" t="s">
        <v>1673</v>
      </c>
    </row>
    <row r="20" spans="1:3" ht="13.5">
      <c r="A20" s="2975"/>
      <c r="B20" s="2970" t="s">
        <v>1674</v>
      </c>
      <c r="C20" s="2969"/>
    </row>
    <row r="21" spans="1:3" ht="13.5">
      <c r="A21" s="2005" t="s">
        <v>1675</v>
      </c>
      <c r="B21" s="2006"/>
      <c r="C21" s="2007"/>
    </row>
    <row r="22" spans="1:3" ht="13.5">
      <c r="A22" s="2972" t="s">
        <v>1676</v>
      </c>
      <c r="B22" s="2970" t="s">
        <v>1677</v>
      </c>
      <c r="C22" s="2969"/>
    </row>
    <row r="23" spans="1:3" ht="13.5">
      <c r="A23" s="2972"/>
      <c r="B23" s="2970" t="s">
        <v>1678</v>
      </c>
      <c r="C23" s="2969"/>
    </row>
    <row r="24" spans="1:3" ht="13.5">
      <c r="A24" s="2972"/>
      <c r="B24" s="2970" t="s">
        <v>1679</v>
      </c>
      <c r="C24" s="2969"/>
    </row>
    <row r="25" spans="1:3" ht="13.5">
      <c r="A25" s="2972"/>
      <c r="B25" s="2971" t="s">
        <v>1680</v>
      </c>
      <c r="C25" s="2004" t="s">
        <v>1681</v>
      </c>
    </row>
    <row r="26" spans="1:3" ht="13.5">
      <c r="A26" s="2972"/>
      <c r="B26" s="2971"/>
      <c r="C26" s="2004" t="s">
        <v>1682</v>
      </c>
    </row>
    <row r="27" spans="1:3" ht="13.5">
      <c r="A27" s="2972"/>
      <c r="B27" s="2971"/>
      <c r="C27" s="2004" t="s">
        <v>1683</v>
      </c>
    </row>
    <row r="28" spans="1:3" ht="13.5">
      <c r="A28" s="2972"/>
      <c r="B28" s="2971"/>
      <c r="C28" s="2004" t="s">
        <v>1684</v>
      </c>
    </row>
    <row r="29" spans="1:3" ht="13.5">
      <c r="A29" s="2972"/>
      <c r="B29" s="2971"/>
      <c r="C29" s="2004" t="s">
        <v>1685</v>
      </c>
    </row>
    <row r="30" spans="1:3" ht="13.5">
      <c r="A30" s="2972"/>
      <c r="B30" s="2971"/>
      <c r="C30" s="2004" t="s">
        <v>1686</v>
      </c>
    </row>
    <row r="31" spans="1:3" ht="13.5">
      <c r="A31" s="2972"/>
      <c r="B31" s="2971"/>
      <c r="C31" s="2004" t="s">
        <v>1687</v>
      </c>
    </row>
    <row r="32" spans="1:3" ht="13.5">
      <c r="A32" s="2972"/>
      <c r="B32" s="2971"/>
      <c r="C32" s="2004" t="s">
        <v>1688</v>
      </c>
    </row>
    <row r="33" spans="1:3" ht="13.5">
      <c r="A33" s="2972"/>
      <c r="B33" s="2971"/>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43123</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2976" t="s">
        <v>846</v>
      </c>
      <c r="B25" s="2976"/>
      <c r="C25" s="2976"/>
      <c r="D25" s="2976"/>
      <c r="E25" s="2976"/>
      <c r="F25" s="2976"/>
      <c r="G25" s="2976"/>
    </row>
    <row r="26" spans="1:7" s="1028" customFormat="1" ht="24" customHeight="1">
      <c r="A26" s="2977" t="s">
        <v>847</v>
      </c>
      <c r="B26" s="2977"/>
      <c r="C26" s="2978"/>
      <c r="D26" s="2979" t="s">
        <v>848</v>
      </c>
      <c r="E26" s="2977"/>
      <c r="F26" s="297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成新度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2018-01-23T11:41:36Z</dcterms:modified>
</cp:coreProperties>
</file>