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6" windowWidth="13908" windowHeight="1164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E20" i="1" l="1"/>
  <c r="I48" i="34" l="1"/>
  <c r="G48" i="34"/>
  <c r="E48" i="34"/>
  <c r="E52" i="34" s="1"/>
  <c r="G20" i="1"/>
  <c r="J53" i="15" l="1"/>
  <c r="L38" i="15"/>
  <c r="L37" i="15"/>
  <c r="C37" i="34" l="1"/>
  <c r="E37" i="34" s="1"/>
  <c r="G37" i="34" s="1"/>
  <c r="I37" i="34" s="1"/>
  <c r="I5" i="34"/>
  <c r="G5" i="34"/>
  <c r="E13" i="1"/>
  <c r="E5"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D80" i="34"/>
  <c r="E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s="1"/>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s="1"/>
  <c r="F114" i="34"/>
  <c r="G114" i="34" s="1"/>
  <c r="H114" i="34" s="1"/>
  <c r="I114" i="34" s="1"/>
  <c r="J114" i="34" s="1"/>
  <c r="K114" i="34" s="1"/>
  <c r="L114" i="34" s="1"/>
  <c r="M114" i="34" s="1"/>
  <c r="F28" i="34"/>
  <c r="AA28"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14" i="33"/>
  <c r="AA13" i="33"/>
  <c r="AC31" i="33"/>
  <c r="AA30" i="33"/>
  <c r="AB10" i="33"/>
  <c r="S11" i="33"/>
  <c r="AC33" i="21"/>
  <c r="AB38" i="21"/>
  <c r="AA23" i="37"/>
  <c r="W10" i="36"/>
  <c r="W38" i="37"/>
  <c r="H37" i="21"/>
  <c r="U37" i="21"/>
  <c r="J37" i="21"/>
  <c r="W37" i="21"/>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s="1"/>
  <c r="H16" i="44"/>
  <c r="D17" i="43"/>
  <c r="I17" i="43"/>
  <c r="D108" i="9"/>
  <c r="F22" i="43"/>
  <c r="G22" i="43"/>
  <c r="H14" i="44"/>
  <c r="W40" i="39"/>
  <c r="AC20" i="35"/>
  <c r="S39" i="34"/>
  <c r="AB12" i="34"/>
  <c r="H23" i="34"/>
  <c r="AB23" i="34" s="1"/>
  <c r="F33" i="34"/>
  <c r="S33" i="34" s="1"/>
  <c r="H36" i="34"/>
  <c r="AB36" i="34" s="1"/>
  <c r="F35" i="34"/>
  <c r="AA35" i="34" s="1"/>
  <c r="J35" i="34"/>
  <c r="AC35" i="34" s="1"/>
  <c r="F27" i="34"/>
  <c r="S27" i="34" s="1"/>
  <c r="W34" i="34"/>
  <c r="S28" i="34"/>
  <c r="J33" i="34"/>
  <c r="AC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38" i="34"/>
  <c r="F40" i="34"/>
  <c r="AA40" i="34"/>
  <c r="G118" i="34"/>
  <c r="U20" i="36"/>
  <c r="AB20" i="36"/>
  <c r="AA16" i="36"/>
  <c r="AC44" i="39"/>
  <c r="W44" i="39"/>
  <c r="H13" i="21"/>
  <c r="U13" i="21"/>
  <c r="J13" i="21"/>
  <c r="F13" i="21"/>
  <c r="AA13" i="21"/>
  <c r="J45" i="21"/>
  <c r="F45" i="21"/>
  <c r="AA45" i="21"/>
  <c r="S42" i="21"/>
  <c r="B41" i="47"/>
  <c r="C23" i="40"/>
  <c r="W8" i="34"/>
  <c r="W12" i="34"/>
  <c r="AC12" i="34"/>
  <c r="J9" i="34"/>
  <c r="AC9" i="34" s="1"/>
  <c r="F9" i="34"/>
  <c r="S9" i="34" s="1"/>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J40" i="34"/>
  <c r="AC40"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c r="G116" i="34"/>
  <c r="H116" i="34"/>
  <c r="I116" i="34"/>
  <c r="J116" i="34"/>
  <c r="K116" i="34"/>
  <c r="L116" i="34"/>
  <c r="M116" i="34"/>
  <c r="J39" i="34"/>
  <c r="W39" i="34"/>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W40" i="34"/>
  <c r="U45" i="21"/>
  <c r="U12" i="36"/>
  <c r="AC45" i="21"/>
  <c r="W45" i="21"/>
  <c r="W13" i="21"/>
  <c r="AC13" i="21"/>
  <c r="S27" i="36"/>
  <c r="AB25" i="34"/>
  <c r="I60" i="37"/>
  <c r="J10" i="37"/>
  <c r="AC10" i="37"/>
  <c r="H23" i="39"/>
  <c r="AB23" i="39"/>
  <c r="J11" i="34"/>
  <c r="W11" i="34" s="1"/>
  <c r="J27" i="33"/>
  <c r="W27" i="33"/>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AB11" i="34"/>
  <c r="AC28" i="34"/>
  <c r="S40" i="34"/>
  <c r="S38" i="34"/>
  <c r="S36" i="34"/>
  <c r="S4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G11" i="43"/>
  <c r="AG13" i="43" s="1"/>
  <c r="AE11" i="43"/>
  <c r="AC11" i="43"/>
  <c r="AC13" i="43" s="1"/>
  <c r="AA11" i="43"/>
  <c r="Y11" i="43"/>
  <c r="Y13" i="43" s="1"/>
  <c r="AJ11" i="43"/>
  <c r="AH11" i="43"/>
  <c r="AH13" i="43" s="1"/>
  <c r="AF11" i="43"/>
  <c r="AD11" i="43"/>
  <c r="AD13" i="43" s="1"/>
  <c r="AB11" i="43"/>
  <c r="Z11" i="43"/>
  <c r="Z13" i="43" s="1"/>
  <c r="Z7" i="43"/>
  <c r="B46" i="43"/>
  <c r="E8"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A45" i="34"/>
  <c r="AB45" i="34"/>
  <c r="AB35" i="34"/>
  <c r="U34" i="34"/>
  <c r="S34" i="34"/>
  <c r="AC25" i="34"/>
  <c r="AB47" i="34"/>
  <c r="U31" i="34"/>
  <c r="AB14" i="34"/>
  <c r="AC45" i="34"/>
  <c r="AC13" i="34"/>
  <c r="AB13" i="34"/>
  <c r="S13"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67" i="43"/>
  <c r="H9" i="44"/>
  <c r="H7" i="44"/>
  <c r="H10" i="44"/>
  <c r="N12" i="43"/>
  <c r="N4" i="43"/>
  <c r="F70" i="43" s="1"/>
  <c r="M7" i="43"/>
  <c r="N1" i="43"/>
  <c r="M10" i="43"/>
  <c r="M2" i="43"/>
  <c r="H15" i="44"/>
  <c r="H87" i="43"/>
  <c r="H5" i="44"/>
  <c r="N10" i="43"/>
  <c r="N2" i="43"/>
  <c r="N11" i="43"/>
  <c r="N9" i="43"/>
  <c r="M4" i="43"/>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2" i="50"/>
  <c r="D43" i="50" s="1"/>
  <c r="D4" i="61"/>
  <c r="C19" i="57"/>
  <c r="D3" i="61"/>
  <c r="E2" i="33"/>
  <c r="E2" i="34"/>
  <c r="H23" i="31"/>
  <c r="F6" i="61"/>
  <c r="F4" i="61"/>
  <c r="D7" i="61"/>
  <c r="D6" i="61"/>
  <c r="C20" i="57"/>
  <c r="E2" i="11"/>
  <c r="F5" i="61"/>
  <c r="F3" i="61"/>
  <c r="E2" i="37"/>
  <c r="D20" i="57"/>
  <c r="E2" i="36"/>
  <c r="E2" i="21"/>
  <c r="D19" i="57"/>
  <c r="F7" i="61"/>
  <c r="D5" i="61"/>
  <c r="E2" i="35"/>
  <c r="C21" i="11" l="1"/>
  <c r="C29" i="11" s="1"/>
  <c r="D27" i="11" s="1"/>
  <c r="C59" i="34"/>
  <c r="E7" i="34"/>
  <c r="I7" i="34" s="1"/>
  <c r="W47" i="34"/>
  <c r="E10" i="43"/>
  <c r="C7" i="43" s="1"/>
  <c r="AB13" i="43"/>
  <c r="AF13" i="43"/>
  <c r="AJ13" i="43"/>
  <c r="AA13" i="43"/>
  <c r="AE13" i="43"/>
  <c r="AI13" i="43"/>
  <c r="C6" i="43"/>
  <c r="H61" i="43"/>
  <c r="H84" i="43"/>
  <c r="H59" i="43"/>
  <c r="H81" i="43"/>
  <c r="H86" i="43"/>
  <c r="H64" i="43"/>
  <c r="H66" i="43"/>
  <c r="H60" i="43"/>
  <c r="H65" i="43"/>
  <c r="F112" i="34"/>
  <c r="G112" i="34" s="1"/>
  <c r="H112" i="34" s="1"/>
  <c r="I112" i="34" s="1"/>
  <c r="J112" i="34" s="1"/>
  <c r="K112" i="34" s="1"/>
  <c r="L112" i="34" s="1"/>
  <c r="M112" i="34" s="1"/>
  <c r="J37" i="34"/>
  <c r="W37" i="34" s="1"/>
  <c r="H37" i="34"/>
  <c r="F37" i="34"/>
  <c r="AA37" i="34" s="1"/>
  <c r="W35" i="34"/>
  <c r="AB44" i="34"/>
  <c r="S44" i="34"/>
  <c r="W44" i="34"/>
  <c r="W43" i="34"/>
  <c r="U43" i="34"/>
  <c r="W41" i="34"/>
  <c r="AB41" i="34"/>
  <c r="AA41" i="34"/>
  <c r="U36" i="34"/>
  <c r="AC36" i="34"/>
  <c r="S35" i="34"/>
  <c r="AA31" i="34"/>
  <c r="AA29" i="34"/>
  <c r="W29" i="34"/>
  <c r="AB28" i="34"/>
  <c r="W31" i="34"/>
  <c r="AA30" i="34"/>
  <c r="AC30" i="34"/>
  <c r="AB30" i="34"/>
  <c r="AC27" i="34"/>
  <c r="AB27" i="34"/>
  <c r="AA27" i="34"/>
  <c r="AB33" i="34"/>
  <c r="AA33" i="34"/>
  <c r="W33" i="34"/>
  <c r="AC11" i="34"/>
  <c r="J15" i="34"/>
  <c r="AC15" i="34" s="1"/>
  <c r="F78" i="34"/>
  <c r="G78" i="34" s="1"/>
  <c r="F15" i="34"/>
  <c r="AA15" i="34" s="1"/>
  <c r="H15" i="34"/>
  <c r="AB15" i="34" s="1"/>
  <c r="F80" i="34"/>
  <c r="G80" i="34" s="1"/>
  <c r="J17" i="34"/>
  <c r="AC17" i="34" s="1"/>
  <c r="F17" i="34"/>
  <c r="AA17" i="34" s="1"/>
  <c r="H17" i="34"/>
  <c r="U17" i="34" s="1"/>
  <c r="H19" i="34"/>
  <c r="U19" i="34" s="1"/>
  <c r="F82" i="34"/>
  <c r="G82" i="34" s="1"/>
  <c r="F19" i="34"/>
  <c r="AA19" i="34" s="1"/>
  <c r="J19" i="34"/>
  <c r="W19" i="34" s="1"/>
  <c r="S23" i="34"/>
  <c r="U23" i="34"/>
  <c r="AC23" i="34"/>
  <c r="S21" i="34"/>
  <c r="W21" i="34"/>
  <c r="AB19" i="34"/>
  <c r="AC19" i="34"/>
  <c r="AB17" i="34"/>
  <c r="S17" i="34"/>
  <c r="W17" i="34"/>
  <c r="U15" i="34"/>
  <c r="W15" i="34"/>
  <c r="S15" i="34"/>
  <c r="W9" i="34"/>
  <c r="U9" i="34"/>
  <c r="U10" i="34"/>
  <c r="AC10" i="34"/>
  <c r="AA9" i="34"/>
  <c r="AB8" i="34"/>
  <c r="S8" i="34"/>
  <c r="K106" i="43"/>
  <c r="H102" i="43"/>
  <c r="A8" i="52"/>
  <c r="B65" i="60" s="1"/>
  <c r="F6" i="59"/>
  <c r="F5" i="59" s="1"/>
  <c r="V7" i="59"/>
  <c r="E6" i="59"/>
  <c r="E5" i="59" s="1"/>
  <c r="U7" i="59"/>
  <c r="B6" i="59"/>
  <c r="B5" i="59" s="1"/>
  <c r="S7"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AC37" i="34" l="1"/>
  <c r="S37" i="34"/>
  <c r="C105" i="57"/>
  <c r="U37" i="34"/>
  <c r="AB37" i="34"/>
  <c r="S19" i="34"/>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0" i="59"/>
  <c r="C9" i="59"/>
  <c r="P24" i="43"/>
  <c r="B66" i="40" s="1"/>
  <c r="P21" i="43"/>
  <c r="B71" i="39" s="1"/>
  <c r="P23" i="43"/>
  <c r="P22" i="43"/>
  <c r="P28" i="43"/>
  <c r="N28" i="43"/>
  <c r="M28" i="43"/>
  <c r="O28" i="43"/>
  <c r="G20" i="43" s="1"/>
  <c r="E41" i="43" s="1"/>
  <c r="C41" i="43" s="1"/>
  <c r="F11" i="15"/>
  <c r="M11" i="15"/>
  <c r="J10" i="15" s="1"/>
  <c r="J5" i="15" s="1"/>
  <c r="E42" i="37" l="1"/>
  <c r="C19" i="15"/>
  <c r="C20" i="15" s="1"/>
  <c r="C26" i="15" s="1"/>
  <c r="J7" i="36"/>
  <c r="H7" i="36"/>
  <c r="C20" i="43"/>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D8" i="59" l="1"/>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6" i="59" l="1"/>
  <c r="C5" i="59" s="1"/>
  <c r="D5" i="59" s="1"/>
  <c r="T7" i="59"/>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19"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39" i="43" l="1"/>
  <c r="C38" i="43"/>
  <c r="C29" i="43"/>
  <c r="T6" i="43"/>
  <c r="V6" i="43" s="1"/>
  <c r="T9" i="43"/>
  <c r="V9" i="43" s="1"/>
  <c r="C33" i="43"/>
  <c r="T8" i="43"/>
  <c r="V8" i="43" s="1"/>
  <c r="T11" i="43"/>
  <c r="V11" i="43" s="1"/>
  <c r="T13" i="43"/>
  <c r="V13" i="43" s="1"/>
  <c r="T3" i="43"/>
  <c r="V3" i="43" s="1"/>
  <c r="T7" i="43"/>
  <c r="V7" i="43" s="1"/>
  <c r="T10" i="43"/>
  <c r="V10" i="43" s="1"/>
  <c r="T2" i="43"/>
  <c r="V2" i="43" s="1"/>
  <c r="C36" i="43"/>
  <c r="T5" i="43"/>
  <c r="V5" i="43" s="1"/>
  <c r="C35" i="43"/>
  <c r="T12" i="43"/>
  <c r="V12" i="43" s="1"/>
  <c r="C37" i="43"/>
  <c r="T16" i="43"/>
  <c r="V16" i="43" s="1"/>
  <c r="T4" i="43"/>
  <c r="V4" i="43" s="1"/>
  <c r="T14" i="43"/>
  <c r="V14" i="43" s="1"/>
  <c r="C34" i="43"/>
  <c r="T15" i="43"/>
  <c r="V15" i="43" s="1"/>
  <c r="F7" i="21"/>
  <c r="H7" i="2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W7" i="21"/>
  <c r="J59" i="34"/>
  <c r="M70" i="39"/>
  <c r="N68" i="39"/>
  <c r="S7" i="21"/>
  <c r="AA7" i="21"/>
  <c r="R48" i="21" s="1"/>
  <c r="Q46" i="15"/>
  <c r="C60" i="15"/>
  <c r="C57" i="15"/>
  <c r="C66" i="15" s="1"/>
  <c r="C37" i="15"/>
  <c r="C30" i="15" s="1"/>
  <c r="C39" i="15" s="1"/>
  <c r="Q68" i="15"/>
  <c r="J16" i="15"/>
  <c r="J25" i="15" s="1"/>
  <c r="G34" i="43" l="1"/>
  <c r="I34" i="43" s="1"/>
  <c r="E34" i="43"/>
  <c r="E37" i="43"/>
  <c r="G37" i="43"/>
  <c r="I37" i="43" s="1"/>
  <c r="G35" i="43"/>
  <c r="I35" i="43" s="1"/>
  <c r="E35" i="43"/>
  <c r="E36" i="43"/>
  <c r="G36" i="43"/>
  <c r="I36" i="43" s="1"/>
  <c r="G33" i="43"/>
  <c r="I33" i="43" s="1"/>
  <c r="E33" i="43"/>
  <c r="G38" i="43"/>
  <c r="I38" i="43" s="1"/>
  <c r="E38" i="43"/>
  <c r="E29" i="43"/>
  <c r="C30" i="43"/>
  <c r="E30" i="43" s="1"/>
  <c r="G39" i="43"/>
  <c r="I39" i="43" s="1"/>
  <c r="E39" i="43"/>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7" i="43" l="1"/>
  <c r="C6" i="11"/>
  <c r="C7" i="11" s="1"/>
  <c r="C5" i="11" s="1"/>
  <c r="C26" i="43"/>
  <c r="B2" i="43" s="1"/>
  <c r="B3" i="43"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0" i="11" l="1"/>
  <c r="C23" i="11"/>
  <c r="D35" i="9"/>
  <c r="D34" i="9" s="1"/>
  <c r="L65" i="40"/>
  <c r="M63" i="40"/>
  <c r="AA7" i="39"/>
  <c r="R47" i="39" s="1"/>
  <c r="R48" i="39" s="1"/>
  <c r="S7" i="39"/>
  <c r="M59" i="34"/>
  <c r="N59" i="34" s="1"/>
  <c r="O59" i="34" s="1"/>
  <c r="H7" i="34" s="1"/>
  <c r="AB7" i="39"/>
  <c r="U7" i="39"/>
  <c r="AC7" i="39"/>
  <c r="W7" i="39"/>
  <c r="L58" i="15"/>
  <c r="L61" i="15" s="1"/>
  <c r="C28" i="11" l="1"/>
  <c r="C27" i="11" s="1"/>
  <c r="C25" i="11"/>
  <c r="C2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31" i="11" l="1"/>
  <c r="C52" i="11" s="1"/>
  <c r="B2" i="11" s="1"/>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C56" i="11" l="1"/>
  <c r="C57" i="11" s="1"/>
  <c r="B3" i="11"/>
  <c r="D102" i="9"/>
  <c r="D101"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H122" i="9"/>
  <c r="H5" i="52" s="1"/>
  <c r="H4" i="52"/>
  <c r="D122" i="9"/>
  <c r="D5" i="52" s="1"/>
  <c r="B39" i="60" s="1"/>
  <c r="D4" i="52"/>
  <c r="B37" i="60" s="1"/>
  <c r="I102" i="9"/>
  <c r="I121" i="9"/>
  <c r="I103" i="9" s="1"/>
  <c r="D106" i="9"/>
  <c r="D112" i="9" s="1"/>
  <c r="G121" i="9"/>
  <c r="G4" i="52" s="1"/>
  <c r="B41" i="60" s="1"/>
  <c r="E121" i="9"/>
  <c r="E4" i="52" s="1"/>
  <c r="B38" i="60" s="1"/>
  <c r="D107" i="9"/>
  <c r="C103" i="9"/>
  <c r="D113" i="9" l="1"/>
  <c r="I111" i="9" s="1"/>
  <c r="C5" i="62"/>
  <c r="D5" i="62"/>
  <c r="C104" i="9"/>
  <c r="I4" i="52"/>
  <c r="D9" i="50"/>
  <c r="B21" i="60" s="1"/>
  <c r="D30" i="50"/>
  <c r="D45" i="9"/>
  <c r="D52" i="9" s="1"/>
  <c r="D7" i="50"/>
  <c r="D28" i="50"/>
  <c r="D29" i="50" s="1"/>
  <c r="I110" i="9"/>
  <c r="D125" i="9" s="1"/>
  <c r="D117" i="9"/>
  <c r="N48" i="9"/>
  <c r="C64" i="9"/>
  <c r="C63" i="9" s="1"/>
  <c r="C67" i="9" s="1"/>
  <c r="C68" i="9" s="1"/>
  <c r="D54" i="9" s="1"/>
  <c r="D38" i="50" l="1"/>
  <c r="B62" i="60" s="1"/>
  <c r="D8" i="52"/>
  <c r="G14" i="62"/>
  <c r="B6" i="62" s="1"/>
  <c r="C78" i="9"/>
  <c r="C73" i="9" s="1"/>
  <c r="C85" i="9"/>
  <c r="D53" i="9"/>
  <c r="D48" i="9" s="1"/>
  <c r="N52" i="9" s="1"/>
  <c r="O57" i="9" s="1"/>
  <c r="O58" i="9" s="1"/>
  <c r="C93" i="9"/>
  <c r="C86" i="9" s="1"/>
  <c r="C72" i="9"/>
  <c r="C79" i="9" s="1"/>
  <c r="N49" i="9"/>
  <c r="M64" i="9" s="1"/>
  <c r="N64" i="9" s="1"/>
  <c r="D36" i="50"/>
  <c r="D37" i="50" s="1"/>
  <c r="D15" i="50"/>
  <c r="B19" i="60"/>
  <c r="D8" i="50"/>
  <c r="B22" i="60" s="1"/>
  <c r="I115" i="9"/>
  <c r="D23" i="50" s="1"/>
  <c r="B34" i="60" s="1"/>
  <c r="D44" i="50"/>
  <c r="D126" i="9"/>
  <c r="D9" i="52" s="1"/>
  <c r="D17" i="50"/>
  <c r="C95" i="9" l="1"/>
  <c r="C96" i="9" s="1"/>
  <c r="E96" i="9" s="1"/>
  <c r="E97" i="9" s="1"/>
  <c r="D6" i="62"/>
  <c r="C6" i="62"/>
  <c r="M65" i="9"/>
  <c r="N65" i="9" s="1"/>
  <c r="M63" i="9"/>
  <c r="N63" i="9" s="1"/>
  <c r="M66" i="9"/>
  <c r="N66" i="9" s="1"/>
  <c r="M68" i="9"/>
  <c r="N68" i="9" s="1"/>
  <c r="M67" i="9"/>
  <c r="N67" i="9" s="1"/>
  <c r="O59" i="9"/>
  <c r="O61" i="9" s="1"/>
  <c r="Q57" i="9"/>
  <c r="B29" i="60"/>
  <c r="D16" i="50"/>
  <c r="B30" i="60" s="1"/>
  <c r="C80" i="9"/>
  <c r="E80" i="9" s="1"/>
  <c r="E81" i="9" s="1"/>
  <c r="C97" i="9" l="1"/>
  <c r="D58" i="9" s="1"/>
  <c r="N69" i="9"/>
  <c r="O69" i="9" s="1"/>
  <c r="C8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<sst xmlns="http://schemas.openxmlformats.org/spreadsheetml/2006/main" count="6853" uniqueCount="2934">
  <si>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</si>
  <si>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</si>
  <si>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</si>
  <si>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</si>
  <si>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</si>
  <si>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</si>
  <si>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</si>
  <si>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</si>
  <si>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</si>
  <si>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</si>
  <si>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</si>
  <si>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</si>
  <si>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</si>
  <si>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</si>
  <si>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</si>
  <si>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</si>
  <si>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</si>
  <si>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</si>
  <si>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</si>
  <si>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</si>
  <si>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</si>
  <si>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</si>
  <si>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</si>
  <si>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</si>
  <si>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</si>
  <si>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</si>
  <si>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</si>
  <si>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</si>
  <si>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</si>
  <si>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</si>
  <si>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</si>
  <si>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</si>
  <si>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</si>
  <si>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</si>
  <si>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</si>
  <si>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</si>
  <si>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</si>
  <si>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</si>
  <si>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</si>
  <si>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</si>
  <si>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</si>
  <si>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</si>
  <si>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</si>
  <si>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</si>
  <si>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</si>
  <si>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</si>
  <si>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</si>
  <si>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</si>
  <si>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</si>
  <si>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</si>
  <si>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</si>
  <si>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</si>
  <si>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</si>
  <si>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</si>
  <si>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</si>
  <si>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</si>
  <si>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</si>
  <si>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</si>
  <si>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</si>
  <si>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</si>
  <si>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</si>
  <si>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</si>
  <si>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</si>
  <si>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</si>
  <si>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</si>
  <si>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</si>
  <si>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</si>
  <si>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</si>
  <si>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</si>
  <si>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</si>
  <si>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</si>
  <si>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</si>
  <si>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</si>
  <si>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</si>
  <si>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</si>
  <si>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</si>
  <si>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</si>
  <si>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</si>
  <si>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</si>
  <si>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</si>
  <si>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</si>
  <si>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</si>
  <si>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</si>
  <si>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</si>
  <si>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</si>
  <si>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</si>
  <si>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</si>
  <si>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</si>
  <si>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</si>
  <si>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</si>
  <si>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</si>
  <si>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</si>
  <si>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</si>
  <si>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</si>
  <si>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</si>
  <si>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</si>
  <si>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</si>
  <si>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</si>
  <si>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</si>
  <si>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</si>
  <si>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</si>
  <si>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</si>
  <si>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</si>
  <si>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</si>
  <si>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</si>
  <si>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</si>
  <si>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</si>
  <si>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</si>
  <si>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</si>
  <si>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</si>
  <si>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</si>
  <si>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</si>
  <si>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</si>
  <si>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</si>
  <si>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</si>
  <si>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</si>
  <si>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</si>
  <si>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</si>
  <si>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</si>
  <si>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</si>
  <si>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</si>
  <si>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</si>
  <si>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</si>
  <si>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</si>
  <si>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</si>
  <si>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</si>
  <si>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</si>
  <si>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</si>
  <si>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</si>
  <si>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</si>
  <si>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</si>
  <si>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</si>
  <si>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</si>
  <si>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</si>
  <si>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</si>
  <si>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</si>
  <si>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</si>
  <si>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</si>
  <si>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</si>
  <si>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</si>
  <si>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</si>
  <si>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</si>
  <si>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</si>
  <si>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</si>
  <si>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</si>
  <si>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</si>
  <si>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</si>
  <si>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</si>
  <si>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</si>
  <si>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</si>
  <si>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</si>
  <si>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</si>
  <si>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</si>
  <si>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</si>
  <si>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</si>
  <si>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</si>
  <si>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</si>
  <si>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</si>
  <si>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</si>
  <si>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</si>
  <si>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</si>
  <si>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</si>
  <si>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</si>
  <si>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</si>
  <si>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</si>
  <si>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</si>
  <si>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</si>
  <si>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</si>
  <si>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</si>
  <si>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</si>
  <si>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</si>
  <si>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</si>
  <si>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</si>
  <si>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</si>
  <si>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</si>
  <si>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</si>
  <si>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</si>
  <si>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</si>
  <si>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</si>
  <si>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</si>
  <si>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</si>
  <si>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</si>
  <si>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</si>
  <si>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</si>
  <si>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</si>
  <si>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</si>
  <si>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</si>
  <si>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</si>
  <si>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</si>
  <si>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</si>
  <si>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</si>
  <si>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</si>
  <si>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</si>
  <si>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</si>
  <si>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</si>
  <si>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</si>
  <si>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</si>
  <si>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</si>
  <si>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</si>
  <si>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</si>
  <si>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</si>
  <si>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</si>
  <si>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</si>
  <si>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</si>
  <si>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</si>
  <si>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</si>
  <si>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</si>
  <si>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</si>
  <si>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</si>
  <si>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</si>
  <si>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</si>
  <si>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</si>
  <si>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</si>
  <si>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</si>
  <si>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</si>
  <si>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</si>
  <si>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</si>
  <si>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</si>
  <si>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</si>
  <si>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</si>
  <si>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</si>
  <si>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</si>
  <si>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</si>
  <si>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</si>
  <si>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</si>
  <si>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</si>
  <si>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</si>
  <si>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</si>
  <si>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</si>
  <si>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</si>
  <si>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</si>
  <si>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</si>
  <si>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</si>
  <si>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</si>
  <si>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</si>
  <si>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</si>
  <si>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</si>
  <si>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</si>
  <si>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</si>
  <si>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</si>
  <si>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</si>
  <si>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</si>
  <si>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</si>
  <si>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</si>
  <si>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</si>
  <si>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</si>
  <si>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</si>
  <si>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</si>
  <si>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</si>
  <si>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</si>
  <si>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</si>
  <si>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</si>
  <si>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</si>
  <si>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</si>
  <si>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</si>
  <si>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</si>
  <si>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</si>
  <si>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</si>
  <si>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</si>
  <si>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</si>
  <si>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</si>
  <si>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</si>
  <si>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</si>
  <si>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</si>
  <si>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</si>
  <si>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</si>
  <si>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</si>
  <si>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</si>
  <si>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</si>
  <si>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</si>
  <si>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</si>
  <si>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</si>
  <si>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</si>
  <si>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</si>
  <si>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</si>
  <si>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</si>
  <si>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</si>
  <si>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</si>
  <si>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</si>
  <si>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</si>
  <si>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</si>
  <si>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</si>
  <si>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</si>
  <si>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</si>
  <si>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</si>
  <si>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</si>
  <si>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</si>
  <si>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</si>
  <si>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</si>
  <si>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</si>
  <si>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</si>
  <si>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</si>
  <si>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</si>
  <si>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</si>
  <si>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</si>
  <si>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</si>
  <si>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</si>
  <si>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</si>
  <si>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</si>
  <si>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</si>
  <si>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</si>
  <si>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</si>
  <si>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</si>
  <si>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</si>
  <si>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</si>
  <si>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</si>
  <si>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</si>
  <si>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</si>
  <si>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</si>
  <si>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</si>
  <si>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</si>
  <si>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</si>
  <si>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</si>
  <si>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</si>
  <si>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</si>
  <si>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</si>
  <si>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</si>
  <si>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</si>
  <si>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</si>
  <si>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</si>
  <si>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</si>
  <si>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</si>
  <si>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</si>
  <si>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</si>
  <si>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</si>
  <si>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</si>
  <si>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</si>
  <si>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</si>
  <si>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</si>
  <si>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</si>
  <si>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</si>
  <si>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</si>
  <si>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</si>
  <si>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</si>
  <si>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</si>
  <si>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</si>
  <si>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</si>
  <si>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</si>
  <si>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</si>
  <si>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</si>
  <si>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</si>
  <si>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</si>
  <si>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</si>
  <si>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</si>
  <si>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</si>
  <si>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</si>
  <si>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</si>
  <si>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</si>
  <si>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</si>
  <si>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</si>
  <si>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</si>
  <si>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</si>
  <si>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</si>
  <si>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</si>
  <si>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</si>
  <si>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</si>
  <si>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</si>
  <si>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</si>
  <si>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</si>
  <si>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</si>
  <si>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</si>
  <si>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</si>
  <si>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</si>
  <si>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</si>
  <si>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</si>
  <si>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</si>
  <si>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</si>
  <si>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</si>
  <si>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</si>
  <si>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</si>
  <si>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</si>
  <si>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</si>
  <si>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</si>
  <si>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</si>
  <si>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</si>
  <si>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</si>
  <si>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</si>
  <si>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</si>
  <si>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</si>
  <si>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</si>
  <si>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</si>
  <si>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</si>
  <si>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</si>
  <si>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</si>
  <si>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</si>
  <si>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</si>
  <si>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</si>
  <si>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</si>
  <si>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</si>
  <si>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</si>
  <si>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</si>
  <si>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</si>
  <si>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</si>
  <si>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</si>
  <si>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</si>
  <si>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</si>
  <si>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</si>
  <si>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</si>
  <si>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</si>
  <si>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</si>
  <si>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</si>
  <si>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</si>
  <si>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</si>
  <si>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</si>
  <si>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</si>
  <si>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</si>
  <si>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</si>
  <si>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</si>
  <si>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</si>
  <si>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</si>
  <si>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</si>
  <si>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</si>
  <si>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</si>
  <si>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</si>
  <si>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</si>
  <si>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</si>
  <si>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</si>
  <si>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</si>
  <si>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</si>
  <si>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</si>
  <si>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</si>
  <si>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</si>
  <si>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</si>
  <si>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</si>
  <si>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</si>
  <si>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</si>
  <si>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</si>
  <si>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</si>
  <si>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</si>
  <si>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</si>
  <si>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</si>
  <si>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</si>
  <si>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</si>
  <si>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</si>
  <si>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</si>
  <si>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</si>
  <si>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</si>
  <si>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</si>
  <si>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</si>
  <si>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</si>
  <si>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</si>
  <si>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</si>
  <si>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</si>
  <si>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</si>
  <si>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</si>
  <si>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</si>
  <si>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</si>
  <si>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</si>
  <si>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</si>
  <si>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</si>
  <si>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</si>
  <si>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</si>
  <si>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</si>
  <si>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</si>
  <si>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</si>
  <si>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</si>
  <si>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</si>
  <si>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</si>
  <si>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</si>
  <si>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</si>
  <si>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</si>
  <si>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</si>
  <si>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</si>
  <si>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</si>
  <si>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</si>
  <si>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</si>
  <si>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</si>
  <si>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</si>
  <si>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</si>
  <si>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</si>
  <si>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</si>
  <si>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</si>
  <si>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</si>
  <si>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</si>
  <si>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</si>
  <si>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</si>
  <si>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</si>
  <si>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</si>
  <si>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</si>
  <si>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</si>
  <si>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</si>
  <si>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</si>
  <si>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</si>
  <si>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</si>
  <si>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</si>
  <si>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</si>
  <si>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</si>
  <si>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</si>
  <si>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</si>
  <si>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</si>
  <si>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</si>
  <si>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</si>
  <si>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</si>
  <si>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</si>
  <si>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</si>
  <si>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</si>
  <si>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</si>
  <si>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</si>
  <si>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</si>
  <si>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</si>
  <si>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</si>
  <si>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</si>
  <si>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</si>
  <si>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</si>
  <si>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</si>
  <si>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</si>
  <si>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</si>
  <si>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</si>
  <si>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</si>
  <si>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</si>
  <si>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</si>
  <si>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</si>
  <si>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</si>
  <si>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</si>
  <si>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</si>
  <si>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</si>
  <si>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</si>
  <si>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</si>
  <si>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</si>
  <si>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</si>
  <si>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</si>
  <si>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</si>
  <si>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</si>
  <si>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</si>
  <si>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</si>
  <si>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</si>
  <si>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</si>
  <si>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</si>
  <si>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</si>
  <si>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</si>
  <si>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</si>
  <si>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</si>
  <si>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</si>
  <si>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</si>
  <si>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</si>
  <si>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</si>
  <si>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</si>
  <si>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</si>
  <si>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</si>
  <si>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</si>
  <si>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</si>
  <si>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</si>
  <si>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</si>
  <si>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</si>
  <si>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</si>
  <si>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</si>
  <si>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</si>
  <si>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</si>
  <si>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</si>
  <si>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</si>
  <si>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</si>
  <si>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</si>
  <si>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</si>
  <si>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</si>
  <si>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</si>
  <si>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</si>
  <si>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</si>
  <si>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</si>
  <si>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</si>
  <si>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</si>
  <si>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</si>
  <si>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</si>
  <si>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</si>
  <si>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</si>
  <si>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</si>
  <si>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</si>
  <si>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</si>
  <si>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</si>
  <si>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</si>
  <si>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</si>
  <si>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</si>
  <si>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</si>
  <si>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</si>
  <si>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</si>
  <si>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</si>
  <si>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</si>
  <si>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</si>
  <si>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</si>
  <si>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</si>
  <si>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</si>
  <si>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</si>
  <si>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</si>
  <si>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</si>
  <si>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</si>
  <si>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</si>
  <si>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</si>
  <si>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</si>
  <si>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</si>
  <si>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</si>
  <si>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</si>
  <si>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</si>
  <si>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</si>
  <si>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</si>
  <si>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</si>
  <si>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</si>
  <si>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</si>
  <si>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</si>
  <si>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</si>
  <si>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</si>
  <si>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</si>
  <si>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</si>
  <si>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</si>
  <si>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</si>
  <si>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</si>
  <si>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</si>
  <si>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</si>
  <si>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</si>
  <si>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</si>
  <si>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</si>
  <si>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</si>
  <si>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</si>
  <si>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</si>
  <si>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</si>
  <si>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</si>
  <si>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</si>
  <si>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</si>
  <si>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</si>
  <si>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</si>
  <si>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</si>
  <si>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</si>
  <si>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</si>
  <si>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</si>
  <si>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</si>
  <si>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</si>
  <si>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</si>
  <si>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</si>
  <si>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</si>
  <si>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</si>
  <si>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</si>
  <si>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</si>
  <si>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</si>
  <si>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</si>
  <si>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</si>
  <si>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</si>
  <si>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</si>
  <si>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</si>
  <si>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</si>
  <si>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</si>
  <si>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</si>
  <si>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</si>
  <si>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</si>
  <si>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</si>
  <si>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</si>
  <si>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</si>
  <si>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</si>
  <si>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</si>
  <si>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</si>
  <si>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</si>
  <si>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</si>
  <si>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</si>
  <si>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</si>
  <si>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</si>
  <si>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</si>
  <si>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</si>
  <si>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</si>
  <si>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</si>
  <si>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</si>
  <si>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</si>
  <si>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</si>
  <si>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</si>
  <si>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</si>
  <si>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</si>
  <si>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</si>
  <si>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</si>
  <si>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</si>
  <si>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</si>
  <si>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</si>
  <si>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</si>
  <si>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</si>
  <si>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</si>
  <si>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</si>
  <si>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</si>
  <si>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</si>
  <si>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</si>
  <si>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</si>
  <si>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</si>
  <si>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</si>
  <si>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</si>
  <si>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</si>
  <si>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</si>
  <si>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</si>
  <si>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</si>
  <si>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</si>
  <si>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</si>
  <si>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</si>
  <si>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</si>
  <si>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</si>
  <si>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</si>
  <si>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</si>
  <si>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</si>
  <si>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</si>
  <si>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</si>
  <si>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</si>
  <si>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</si>
  <si>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</si>
  <si>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</si>
  <si>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</si>
  <si>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</si>
  <si>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</si>
  <si>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</si>
  <si>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</si>
  <si>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</si>
  <si>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</si>
  <si>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</si>
  <si>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</si>
  <si>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</si>
  <si>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</si>
  <si>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</si>
  <si>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</si>
  <si>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</si>
  <si>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</si>
  <si>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</si>
  <si>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</si>
  <si>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</si>
  <si>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</si>
  <si>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</si>
  <si>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</si>
  <si>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</si>
  <si>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</si>
  <si>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</si>
  <si>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</si>
  <si>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</si>
  <si>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</si>
  <si>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</si>
  <si>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</si>
  <si>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</si>
  <si>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</si>
  <si>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</si>
  <si>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</si>
  <si>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</si>
  <si>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</si>
  <si>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</si>
  <si>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</si>
  <si>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</si>
  <si>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</si>
  <si>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</si>
  <si>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</si>
  <si>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</si>
  <si>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</si>
  <si>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</si>
  <si>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</si>
  <si>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</si>
  <si>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</si>
  <si>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</si>
  <si>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</si>
  <si>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</si>
  <si>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</si>
  <si>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</si>
  <si>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</si>
  <si>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</si>
  <si>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</si>
  <si>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</si>
  <si>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</si>
  <si>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</si>
  <si>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</si>
  <si>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</si>
  <si>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</si>
  <si>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</si>
  <si>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</si>
  <si>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</si>
  <si>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</si>
  <si>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</si>
  <si>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</si>
  <si>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</si>
  <si>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</si>
  <si>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</si>
  <si>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</si>
  <si>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</si>
  <si>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</si>
  <si>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</si>
  <si>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</si>
  <si>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</si>
  <si>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</si>
  <si>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</si>
  <si>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</si>
  <si>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</si>
  <si>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</si>
  <si>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</si>
  <si>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</si>
  <si>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</si>
  <si>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</si>
  <si>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</si>
  <si>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</si>
  <si>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</si>
  <si>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</si>
  <si>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</si>
  <si>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</si>
  <si>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</si>
  <si>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</si>
  <si>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</si>
  <si>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</si>
  <si>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</si>
  <si>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</si>
  <si>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</si>
  <si>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</si>
  <si>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</si>
  <si>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</si>
  <si>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</si>
  <si>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</si>
  <si>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</si>
  <si>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</si>
  <si>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</si>
  <si>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</si>
  <si>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</si>
  <si>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</si>
  <si>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</si>
  <si>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</si>
  <si>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</si>
  <si>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</si>
  <si>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</si>
  <si>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</si>
  <si>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</si>
  <si>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</si>
  <si>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</si>
  <si>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</si>
  <si>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</si>
  <si>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</si>
  <si>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</si>
  <si>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</si>
  <si>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</si>
  <si>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</si>
  <si>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</si>
  <si>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</si>
  <si>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</si>
  <si>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</si>
  <si>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</si>
  <si>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</si>
  <si>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</si>
  <si>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</si>
  <si>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</si>
  <si>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</si>
  <si>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</si>
  <si>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</si>
  <si>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</si>
  <si>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</si>
  <si>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</si>
  <si>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</si>
  <si>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</si>
  <si>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</si>
  <si>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</si>
  <si>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</si>
  <si>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</si>
  <si>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</si>
  <si>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</si>
  <si>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</si>
  <si>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</si>
  <si>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</si>
  <si>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</si>
  <si>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</si>
  <si>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</si>
  <si>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</si>
  <si>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</si>
  <si>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</si>
  <si>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</si>
  <si>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</si>
  <si>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</si>
  <si>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</si>
  <si>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</si>
  <si>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</si>
  <si>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</si>
  <si>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</si>
  <si>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</si>
  <si>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</si>
  <si>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</si>
  <si>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</si>
  <si>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</si>
  <si>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</si>
  <si>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</si>
  <si>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</si>
  <si>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</si>
  <si>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</si>
  <si>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</si>
  <si>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</si>
  <si>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</si>
  <si>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</si>
  <si>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</si>
  <si>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</si>
  <si>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</si>
  <si>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</si>
  <si>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</si>
  <si>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</si>
  <si>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</si>
  <si>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</si>
  <si>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</si>
  <si>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</si>
  <si>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</si>
  <si>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</si>
  <si>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</si>
  <si>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</si>
  <si>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</si>
  <si>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</si>
  <si>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</si>
  <si>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</si>
  <si>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</si>
  <si>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</si>
  <si>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</si>
  <si>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</si>
  <si>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</si>
  <si>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</si>
  <si>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</si>
  <si>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</si>
  <si>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</si>
  <si>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</si>
  <si>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</si>
  <si>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</si>
  <si>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</si>
  <si>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</si>
  <si>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</si>
  <si>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</si>
  <si>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</si>
  <si>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</si>
  <si>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</si>
  <si>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</si>
  <si>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</si>
  <si>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</si>
  <si>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</si>
  <si>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</si>
  <si>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</si>
  <si>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</si>
  <si>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</si>
  <si>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</si>
  <si>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</si>
  <si>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</si>
  <si>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</si>
  <si>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</si>
  <si>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</si>
  <si>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</si>
  <si>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</si>
  <si>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</si>
  <si>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</si>
  <si>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</si>
  <si>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</si>
  <si>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</si>
  <si>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</si>
  <si>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</si>
  <si>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</si>
  <si>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</si>
  <si>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</si>
  <si>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</si>
  <si>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</si>
  <si>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</si>
  <si>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</si>
  <si>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</si>
  <si>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</si>
  <si>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</si>
  <si>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</si>
  <si>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</si>
  <si>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</si>
  <si>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</si>
  <si>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</si>
  <si>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</si>
  <si>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</si>
  <si>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</si>
  <si>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</si>
  <si>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</si>
  <si>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</si>
  <si>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</si>
  <si>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</si>
  <si>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</si>
  <si>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</si>
  <si>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</si>
  <si>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</si>
  <si>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</si>
  <si>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</si>
  <si>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</si>
  <si>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</si>
  <si>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</si>
  <si>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</si>
  <si>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</si>
  <si>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</si>
  <si>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</si>
  <si>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</si>
  <si>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</si>
  <si>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</si>
  <si>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</si>
  <si>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</si>
  <si>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</si>
  <si>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</si>
  <si>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</si>
  <si>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</si>
  <si>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</si>
  <si>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</si>
  <si>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</si>
  <si>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</si>
  <si>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</si>
  <si>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</si>
  <si>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</si>
  <si>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</si>
  <si>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</si>
  <si>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</si>
  <si>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</si>
  <si>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</si>
  <si>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</si>
  <si>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</si>
  <si>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</si>
  <si>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</si>
  <si>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</si>
  <si>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</si>
  <si>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</si>
  <si>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</si>
  <si>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</si>
  <si>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</si>
  <si>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</si>
  <si>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</si>
  <si>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</si>
  <si>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</si>
  <si>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</si>
  <si>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</si>
  <si>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</si>
  <si>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</si>
  <si>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</si>
  <si>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</si>
  <si>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</si>
  <si>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</si>
  <si>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</si>
  <si>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</si>
  <si>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</si>
  <si>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</si>
  <si>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</si>
  <si>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</si>
  <si>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</si>
  <si>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</si>
  <si>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</si>
  <si>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</si>
  <si>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</si>
  <si>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</si>
  <si>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</si>
  <si>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</si>
  <si>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</si>
  <si>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</si>
  <si>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</si>
  <si>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</si>
  <si>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</si>
  <si>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</si>
  <si>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</si>
  <si>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</si>
  <si>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</si>
  <si>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</si>
  <si>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</si>
  <si>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</si>
  <si>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</si>
  <si>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</si>
  <si>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</si>
  <si>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</si>
  <si>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</si>
  <si>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</si>
  <si>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</si>
  <si>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</si>
  <si>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</si>
  <si>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</si>
  <si>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</si>
  <si>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</si>
  <si>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</si>
  <si>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</si>
  <si>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</si>
  <si>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</si>
  <si>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</si>
  <si>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</si>
  <si>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</si>
  <si>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</si>
  <si>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</si>
  <si>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</si>
  <si>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</si>
  <si>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</si>
  <si>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</si>
  <si>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</si>
  <si>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</si>
  <si>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</si>
  <si>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</si>
  <si>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</si>
  <si>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</si>
  <si>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</si>
  <si>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</si>
  <si>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</si>
  <si>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</si>
  <si>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</si>
  <si>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</si>
  <si>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</si>
  <si>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</si>
  <si>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</si>
  <si>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</si>
  <si>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</si>
  <si>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</si>
  <si>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</si>
  <si>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</si>
  <si>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</si>
  <si>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</si>
  <si>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</si>
  <si>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</si>
  <si>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</si>
  <si>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</si>
  <si>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</si>
  <si>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</si>
  <si>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</si>
  <si>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</si>
  <si>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</si>
  <si>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</si>
  <si>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</si>
  <si>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</si>
  <si>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</si>
  <si>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</si>
  <si>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</si>
  <si>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</si>
  <si>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</si>
  <si>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</si>
  <si>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</si>
  <si>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</si>
  <si>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</si>
  <si>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</si>
  <si>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</si>
  <si>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</si>
  <si>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</si>
  <si>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</si>
  <si>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</si>
  <si>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</si>
  <si>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</si>
  <si>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</si>
  <si>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</si>
  <si>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</si>
  <si>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</si>
  <si>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</si>
  <si>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</si>
  <si>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</si>
  <si>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</si>
  <si>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</si>
  <si>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</si>
  <si>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</si>
  <si>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</si>
  <si>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</si>
  <si>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</si>
  <si>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</si>
  <si>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</si>
  <si>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</si>
  <si>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</si>
  <si>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</si>
  <si>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</si>
  <si>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</si>
  <si>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</si>
  <si>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</si>
  <si>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</si>
  <si>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</si>
  <si>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</si>
  <si>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</si>
  <si>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</si>
  <si>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</si>
  <si>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</si>
  <si>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</si>
  <si>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</si>
  <si>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</si>
  <si>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</si>
  <si>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</si>
  <si>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</si>
  <si>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</si>
  <si>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</si>
  <si>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</si>
  <si>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</si>
  <si>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</si>
  <si>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</si>
  <si>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</si>
  <si>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</si>
  <si>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</si>
  <si>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</si>
  <si>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</si>
  <si>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</si>
  <si>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</si>
  <si>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</si>
  <si>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</si>
  <si>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</si>
  <si>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</si>
  <si>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</si>
  <si>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</si>
  <si>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</si>
  <si>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</si>
  <si>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</si>
  <si>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</si>
  <si>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</si>
  <si>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</si>
  <si>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</si>
  <si>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</si>
  <si>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</si>
  <si>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</si>
  <si>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</si>
  <si>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</si>
  <si>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</si>
  <si>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</si>
  <si>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</si>
  <si>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</si>
  <si>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</si>
  <si>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</si>
  <si>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</si>
  <si>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</si>
  <si>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</si>
  <si>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</si>
  <si>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</si>
  <si>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</si>
  <si>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</si>
  <si>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</si>
  <si>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</si>
  <si>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</si>
  <si>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</si>
  <si>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</si>
  <si>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</si>
  <si>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</si>
  <si>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</si>
  <si>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</si>
  <si>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</si>
  <si>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</si>
  <si>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</si>
  <si>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</si>
  <si>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</si>
  <si>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</si>
  <si>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</si>
  <si>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</si>
  <si>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</si>
  <si>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</si>
  <si>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</si>
  <si>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</si>
  <si>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</si>
  <si>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</si>
  <si>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</si>
  <si>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</si>
  <si>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</si>
  <si>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</si>
  <si>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</si>
  <si>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</si>
  <si>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</si>
  <si>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</si>
  <si>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</si>
  <si>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</si>
  <si>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</si>
  <si>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</si>
  <si>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</si>
  <si>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</si>
  <si>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</si>
  <si>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</si>
  <si>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</si>
  <si>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</si>
  <si>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</si>
  <si>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</si>
  <si>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</si>
  <si>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</si>
  <si>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</si>
  <si>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</si>
  <si>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</si>
  <si>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</si>
  <si>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</si>
  <si>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</si>
  <si>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</si>
  <si>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</si>
  <si>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</si>
  <si>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</si>
  <si>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</si>
  <si>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</si>
  <si>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</si>
  <si>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</si>
  <si>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</si>
  <si>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</si>
  <si>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</si>
  <si>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</si>
  <si>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</si>
  <si>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</si>
  <si>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</si>
  <si>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</si>
  <si>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</si>
  <si>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</si>
  <si>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</si>
  <si>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</si>
  <si>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</si>
  <si>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</si>
  <si>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</si>
  <si>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</si>
  <si>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</si>
  <si>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</si>
  <si>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</si>
  <si>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</si>
  <si>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</si>
  <si>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</si>
  <si>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</si>
  <si>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</si>
  <si>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</si>
  <si>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</si>
  <si>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</si>
  <si>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</si>
  <si>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</si>
  <si>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</si>
  <si>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</si>
  <si>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</si>
  <si>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</si>
  <si>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</si>
  <si>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</si>
  <si>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</si>
  <si>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</si>
  <si>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</si>
  <si>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</si>
  <si>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</si>
  <si>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</si>
  <si>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</si>
  <si>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</si>
  <si>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</si>
  <si>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</si>
  <si>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</si>
  <si>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</si>
  <si>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</si>
  <si>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</si>
  <si>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</si>
  <si>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</si>
  <si>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</si>
  <si>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</si>
  <si>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</si>
  <si>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</si>
  <si>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</si>
  <si>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</si>
  <si>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</si>
  <si>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</si>
  <si>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</si>
  <si>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</si>
  <si>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</si>
  <si>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</si>
  <si>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</si>
  <si>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</si>
  <si>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</si>
  <si>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</si>
  <si>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</si>
  <si>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</si>
  <si>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</si>
  <si>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</si>
  <si>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</si>
  <si>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</si>
  <si>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</si>
  <si>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</si>
  <si>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</si>
  <si>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</si>
  <si>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</si>
  <si>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</si>
  <si>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</si>
  <si>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</si>
  <si>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</si>
  <si>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</si>
  <si>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</si>
  <si>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</si>
  <si>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</si>
  <si>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</si>
  <si>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</si>
  <si>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</si>
  <si>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</si>
  <si>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</si>
  <si>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</si>
  <si>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</si>
  <si>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</si>
  <si>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</si>
  <si>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</si>
  <si>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</si>
  <si>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</si>
  <si>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</si>
  <si>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</si>
  <si>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</si>
  <si>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</si>
  <si>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</si>
  <si>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</si>
  <si>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</si>
  <si>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</si>
  <si>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</si>
  <si>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</si>
  <si>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</si>
  <si>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</si>
  <si>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</si>
  <si>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</si>
  <si>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</si>
  <si>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</si>
  <si>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</si>
  <si>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</si>
  <si>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</si>
  <si>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</si>
  <si>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</si>
  <si>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</si>
  <si>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</si>
  <si>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</si>
  <si>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</si>
  <si>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</si>
  <si>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</si>
  <si>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</si>
  <si>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</si>
  <si>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</si>
  <si>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</si>
  <si>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</si>
  <si>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</si>
  <si>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</si>
  <si>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</si>
  <si>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</si>
  <si>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</si>
  <si>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</si>
  <si>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</si>
  <si>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</si>
  <si>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</si>
  <si>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</si>
  <si>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</si>
  <si>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</si>
  <si>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</si>
  <si>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</si>
  <si>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</si>
  <si>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</si>
  <si>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</si>
  <si>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</si>
  <si>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</si>
  <si>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</si>
  <si>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</si>
  <si>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</si>
  <si>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</si>
  <si>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</si>
  <si>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</si>
  <si>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</si>
  <si>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</si>
  <si>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</si>
  <si>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</si>
  <si>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</si>
  <si>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</si>
  <si>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</si>
  <si>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</si>
  <si>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</si>
  <si>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</si>
  <si>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</si>
  <si>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</si>
  <si>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</si>
  <si>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</si>
  <si>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</si>
  <si>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</si>
  <si>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</si>
  <si>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</si>
  <si>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</si>
  <si>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</si>
  <si>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</si>
  <si>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</si>
  <si>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</si>
  <si>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</si>
  <si>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</si>
  <si>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</si>
  <si>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</si>
  <si>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</si>
  <si>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</si>
  <si>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</si>
  <si>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</si>
  <si>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</si>
  <si>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</si>
  <si>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</si>
  <si>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</si>
  <si>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</si>
  <si>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</si>
  <si>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</si>
  <si>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</si>
  <si>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</si>
  <si>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</si>
  <si>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</si>
  <si>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</si>
  <si>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</si>
  <si>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</si>
  <si>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</si>
  <si>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</si>
  <si>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</si>
  <si>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</si>
  <si>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</si>
  <si>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</si>
  <si>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</si>
  <si>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</si>
  <si>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</si>
  <si>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</si>
  <si>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</si>
  <si>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</si>
  <si>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</si>
  <si>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</si>
  <si>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</si>
  <si>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</si>
  <si>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</si>
  <si>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</si>
  <si>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</si>
  <si>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</si>
  <si>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</si>
  <si>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</si>
  <si>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</si>
  <si>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</si>
  <si>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</si>
  <si>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</si>
  <si>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</si>
  <si>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</si>
  <si>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</si>
  <si>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</si>
  <si>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</si>
  <si>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</si>
  <si>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</si>
  <si>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</si>
  <si>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</si>
  <si>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</si>
  <si>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</si>
  <si>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</si>
  <si>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</si>
  <si>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</si>
  <si>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</si>
  <si>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</si>
  <si>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</si>
  <si>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</si>
  <si>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</si>
  <si>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</si>
  <si>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</si>
  <si>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</si>
  <si>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</si>
  <si>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</si>
  <si>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</si>
  <si>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</si>
  <si>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</si>
  <si>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</si>
  <si>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</si>
  <si>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</si>
  <si>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</si>
  <si>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</si>
  <si>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</si>
  <si>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</si>
  <si>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</si>
  <si>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</si>
  <si>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</si>
  <si>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</si>
  <si>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</si>
  <si>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</si>
  <si>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</si>
  <si>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</si>
  <si>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</si>
  <si>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</si>
  <si>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</si>
  <si>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</si>
  <si>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</si>
  <si>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</si>
  <si>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</si>
  <si>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</si>
  <si>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</si>
  <si>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</si>
  <si>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</si>
  <si>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</si>
  <si>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</si>
  <si>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</si>
  <si>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</si>
  <si>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</si>
  <si>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</si>
  <si>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</si>
  <si>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</si>
  <si>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</si>
  <si>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</si>
  <si>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</si>
  <si>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</si>
  <si>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</si>
  <si>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</si>
  <si>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</si>
  <si>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</si>
  <si>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</si>
  <si>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</si>
  <si>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</si>
  <si>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</si>
  <si>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</si>
  <si>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</si>
  <si>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</si>
  <si>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</si>
  <si>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</si>
  <si>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</si>
  <si>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</si>
  <si>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</si>
  <si>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</si>
  <si>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</si>
  <si>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</si>
  <si>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</si>
  <si>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</si>
  <si>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</si>
  <si>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</si>
  <si>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</si>
  <si>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</si>
  <si>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</si>
  <si>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</si>
  <si>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</si>
  <si>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</si>
  <si>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</si>
  <si>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</si>
  <si>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</si>
  <si>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</si>
  <si>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</si>
  <si>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</si>
  <si>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</si>
  <si>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</si>
  <si>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</si>
  <si>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</si>
  <si>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</si>
  <si>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</si>
  <si>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</si>
  <si>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</si>
  <si>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</si>
  <si>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</si>
  <si>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</si>
  <si>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</si>
  <si>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</si>
  <si>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</si>
  <si>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</si>
  <si>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</si>
  <si>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</si>
  <si>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</si>
  <si>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</si>
  <si>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</si>
  <si>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</si>
  <si>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</si>
  <si>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</si>
  <si>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</si>
  <si>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</si>
  <si>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</si>
  <si>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</si>
  <si>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</si>
  <si>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</si>
  <si>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</si>
  <si>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</si>
  <si>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</si>
  <si>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</si>
  <si>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</si>
  <si>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</si>
  <si>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</si>
  <si>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</si>
  <si>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</si>
  <si>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</si>
  <si>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</si>
  <si>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</si>
  <si>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</si>
  <si>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</si>
  <si>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</si>
  <si>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</si>
  <si>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</si>
  <si>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</si>
  <si>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</si>
  <si>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</si>
  <si>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</si>
  <si>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</si>
  <si>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</si>
  <si>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</si>
  <si>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</si>
  <si>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</si>
  <si>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</si>
  <si>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</si>
  <si>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</si>
  <si>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</si>
  <si>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</si>
  <si>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</si>
  <si>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</si>
  <si>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</si>
  <si>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</si>
  <si>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</si>
  <si>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</si>
  <si>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</si>
  <si>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</si>
  <si>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</si>
  <si>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</si>
  <si>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</si>
  <si>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</si>
  <si>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</si>
  <si>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</si>
  <si>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</si>
  <si>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</si>
  <si>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</si>
  <si>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</si>
  <si>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</si>
  <si>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</si>
  <si>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</si>
  <si>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</si>
  <si>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</si>
  <si>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</si>
  <si>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</si>
  <si>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</si>
  <si>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</si>
  <si>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</si>
  <si>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</si>
  <si>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</si>
  <si>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</si>
  <si>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</si>
  <si>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</si>
  <si>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</si>
  <si>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</si>
  <si>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</si>
  <si>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</si>
  <si>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</si>
  <si>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</si>
  <si>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</si>
  <si>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</si>
  <si>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</si>
  <si>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</si>
  <si>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</si>
  <si>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</si>
  <si>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</si>
  <si>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</si>
  <si>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</si>
  <si>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</si>
  <si>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</si>
  <si>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</si>
  <si>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</si>
  <si>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</si>
  <si>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</si>
  <si>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</si>
  <si>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</si>
  <si>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</si>
  <si>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</si>
  <si>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</si>
  <si>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</si>
  <si>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</si>
  <si>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</si>
  <si>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</si>
  <si>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</si>
  <si>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</si>
  <si>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</si>
  <si>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</si>
  <si>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</si>
  <si>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</si>
  <si>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</si>
  <si>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</si>
  <si>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</si>
  <si>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</si>
  <si>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</si>
  <si>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</si>
  <si>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</si>
  <si>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</si>
  <si>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</si>
  <si>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</si>
  <si>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</si>
  <si>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</si>
  <si>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</si>
  <si>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</si>
  <si>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</si>
  <si>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</si>
  <si>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</si>
  <si>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</si>
  <si>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</si>
  <si>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</si>
  <si>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</si>
  <si>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</si>
  <si>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</si>
  <si>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</si>
  <si>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</si>
  <si>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</si>
  <si>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</si>
  <si>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</si>
  <si>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</si>
  <si>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</si>
  <si>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</si>
  <si>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</si>
  <si>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</si>
  <si>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</si>
  <si>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</si>
  <si>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</si>
  <si>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</si>
  <si>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</si>
  <si>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</si>
  <si>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</si>
  <si>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</si>
  <si>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</si>
  <si>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</si>
  <si>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</si>
  <si>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</si>
  <si>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</si>
  <si>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</si>
  <si>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</si>
  <si>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</si>
  <si>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</si>
  <si>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</si>
  <si>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</si>
  <si>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</si>
  <si>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</si>
  <si>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</si>
  <si>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</si>
  <si>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</si>
  <si>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</si>
  <si>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</si>
  <si>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</si>
  <si>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</si>
  <si>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</si>
  <si>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</si>
  <si>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</si>
  <si>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</si>
  <si>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</si>
  <si>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</si>
  <si>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</si>
  <si>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</si>
  <si>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</si>
  <si>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</si>
  <si>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</si>
  <si>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</si>
  <si>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</si>
  <si>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</si>
  <si>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</si>
  <si>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</si>
  <si>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</si>
  <si>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</si>
  <si>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</si>
  <si>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</si>
  <si>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</si>
  <si>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</si>
  <si>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</si>
  <si>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</si>
  <si>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</si>
  <si>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</si>
  <si>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</si>
  <si>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</si>
  <si>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</si>
  <si>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</si>
  <si>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</si>
  <si>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</si>
  <si>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</si>
  <si>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</si>
  <si>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</si>
  <si>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</si>
  <si>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</si>
  <si>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</si>
  <si>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</si>
  <si>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</si>
  <si>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</si>
  <si>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</si>
  <si>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</si>
  <si>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</si>
  <si>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</si>
  <si>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</si>
  <si>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</si>
  <si>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</si>
  <si>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</si>
  <si>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</si>
  <si>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</si>
  <si>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</si>
  <si>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</si>
  <si>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</si>
  <si>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</si>
  <si>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</si>
  <si>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</si>
  <si>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</si>
  <si>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</si>
  <si>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</si>
  <si>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</si>
  <si>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</si>
  <si>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</si>
  <si>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</si>
  <si>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</si>
  <si>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</si>
  <si>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</si>
  <si>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</si>
  <si>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</si>
  <si>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</si>
  <si>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</si>
  <si>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</si>
  <si>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</si>
  <si>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</si>
  <si>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</si>
  <si>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</si>
  <si>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</si>
  <si>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</si>
  <si>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</si>
  <si>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</si>
  <si>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</si>
  <si>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</si>
  <si>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</si>
  <si>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</si>
  <si>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</si>
  <si>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</si>
  <si>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</si>
  <si>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</si>
  <si>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</si>
  <si>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</si>
  <si>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</si>
  <si>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</si>
  <si>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</si>
  <si>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</si>
  <si>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</si>
  <si>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</si>
  <si>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</si>
  <si>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</si>
  <si>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</si>
  <si>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</si>
  <si>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</si>
  <si>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</si>
  <si>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</si>
  <si>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</si>
  <si>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</si>
  <si>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</si>
  <si>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</si>
  <si>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</si>
  <si>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</si>
  <si>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</si>
  <si>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</si>
  <si>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</si>
  <si>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</si>
  <si>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</si>
  <si>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</si>
  <si>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</si>
  <si>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</si>
  <si>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</si>
  <si>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</si>
  <si>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</si>
  <si>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</si>
  <si>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</si>
  <si>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</si>
  <si>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</si>
  <si>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</si>
  <si>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</si>
  <si>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</si>
  <si>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</si>
  <si>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</si>
  <si>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</si>
  <si>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</si>
  <si>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</si>
  <si>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</si>
  <si>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</si>
  <si>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</si>
  <si>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</si>
  <si>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</si>
  <si>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</si>
  <si>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</si>
  <si>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</si>
  <si>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</si>
  <si>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</si>
  <si>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</si>
  <si>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</si>
  <si>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</si>
  <si>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</si>
  <si>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</si>
  <si>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</si>
  <si>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</si>
  <si>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</si>
  <si>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</si>
  <si>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</si>
  <si>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</si>
  <si>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</si>
  <si>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</si>
  <si>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</si>
  <si>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</si>
  <si>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</si>
  <si>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</si>
  <si>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</si>
  <si>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</si>
  <si>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</si>
  <si>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</si>
  <si>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</si>
  <si>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</si>
  <si>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</si>
  <si>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</si>
  <si>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</si>
  <si>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</si>
  <si>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</si>
  <si>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</si>
  <si>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</si>
  <si>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</si>
  <si>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</si>
  <si>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</si>
  <si>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</si>
  <si>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</si>
  <si>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</si>
  <si>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</si>
  <si>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</si>
  <si>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</si>
  <si>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</si>
  <si>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</si>
  <si>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</si>
  <si>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</si>
  <si>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</si>
  <si>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</si>
  <si>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</si>
  <si>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</si>
  <si>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</si>
  <si>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</si>
  <si>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</si>
  <si>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</si>
  <si>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</si>
  <si>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</si>
  <si>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</si>
  <si>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</si>
  <si>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</si>
  <si>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</si>
  <si>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</si>
  <si>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</si>
  <si>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</si>
  <si>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</si>
  <si>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</si>
  <si>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</si>
  <si>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</si>
  <si>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</si>
  <si>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</si>
  <si>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</si>
  <si>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</si>
  <si>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</si>
  <si>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</si>
  <si>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</si>
  <si>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</si>
  <si>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</si>
  <si>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</si>
  <si>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</si>
  <si>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</si>
  <si>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</si>
  <si>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</si>
  <si>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</si>
  <si>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</si>
  <si>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</si>
  <si>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</si>
  <si>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</si>
  <si>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</si>
  <si>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</si>
  <si>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</si>
  <si>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</si>
  <si>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</si>
  <si>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</si>
  <si>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</si>
  <si>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</si>
  <si>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</si>
  <si>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</si>
  <si>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</si>
  <si>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</si>
  <si>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</si>
  <si>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</si>
  <si>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</si>
  <si>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</si>
  <si>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</si>
  <si>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</si>
  <si>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</si>
  <si>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</si>
  <si>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</si>
  <si>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</si>
  <si>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</si>
  <si>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</si>
  <si>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</si>
  <si>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</si>
  <si>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</si>
  <si>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</si>
  <si>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</si>
  <si>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</si>
  <si>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</si>
  <si>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</si>
  <si>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</si>
  <si>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</si>
  <si>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</si>
  <si>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</si>
  <si>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</si>
  <si>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</si>
  <si>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</si>
  <si>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</si>
  <si>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</si>
  <si>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</si>
  <si>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</si>
  <si>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</si>
  <si>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</si>
  <si>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</si>
  <si>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</si>
  <si>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</si>
  <si>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</si>
  <si>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</si>
  <si>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</si>
  <si>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</si>
  <si>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</si>
  <si>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</si>
  <si>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</si>
  <si>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</si>
  <si>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</si>
  <si>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</si>
  <si>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</si>
  <si>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</si>
  <si>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</si>
  <si>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</si>
  <si>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</si>
  <si>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</si>
  <si>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</si>
  <si>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</si>
  <si>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</si>
  <si>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</si>
  <si>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</si>
  <si>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</si>
  <si>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</si>
  <si>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</si>
  <si>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</si>
  <si>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</si>
  <si>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</si>
  <si>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</si>
  <si>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</si>
  <si>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</si>
  <si>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</si>
  <si>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</si>
  <si>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</si>
  <si>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</si>
  <si>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</si>
  <si>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</si>
  <si>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</si>
  <si>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</si>
  <si>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</si>
  <si>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</si>
  <si>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</si>
  <si>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</si>
  <si>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</si>
  <si>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</si>
  <si>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</si>
  <si>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</si>
  <si>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</si>
  <si>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</si>
  <si>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</si>
  <si>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</si>
  <si>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</si>
  <si>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</si>
  <si>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</si>
  <si>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</si>
  <si>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</si>
  <si>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</si>
  <si>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</si>
  <si>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</si>
  <si>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</si>
  <si>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</si>
  <si>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</si>
  <si>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</si>
  <si>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</si>
  <si>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</si>
  <si>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</si>
  <si>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</si>
  <si>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</si>
  <si>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</si>
  <si>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</si>
  <si>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</si>
  <si>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</si>
  <si>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</si>
  <si>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</si>
  <si>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</si>
  <si>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</si>
  <si>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</si>
  <si>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</si>
  <si>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</si>
  <si>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</si>
  <si>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</si>
  <si>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</si>
  <si>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</si>
  <si>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</si>
  <si>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</si>
  <si>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</si>
  <si>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</si>
  <si>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</si>
  <si>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</si>
  <si>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</si>
  <si>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</si>
  <si>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</si>
  <si>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</si>
  <si>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</si>
  <si>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</si>
  <si>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</si>
  <si>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</si>
  <si>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</si>
  <si>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</si>
  <si>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</si>
  <si>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</si>
  <si>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</si>
  <si>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</si>
  <si>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</si>
  <si>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</si>
  <si>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</si>
  <si>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</si>
  <si>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</si>
  <si>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</si>
  <si>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</si>
  <si>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</si>
  <si>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</si>
  <si>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</si>
  <si>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</si>
  <si>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</si>
  <si>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</si>
  <si>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</si>
  <si>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</si>
  <si>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</si>
  <si>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</si>
  <si>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</si>
  <si>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</si>
  <si>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</si>
  <si>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</si>
  <si>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</si>
  <si>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</si>
  <si>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</si>
  <si>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</si>
  <si>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</si>
  <si>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</si>
  <si>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</si>
  <si>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</si>
  <si>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</si>
  <si>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</si>
  <si>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</si>
  <si>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</si>
  <si>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</si>
  <si>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</si>
  <si>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</si>
  <si>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</si>
  <si>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</si>
  <si>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</si>
  <si>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</si>
  <si>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</si>
  <si>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</si>
  <si>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</si>
  <si>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</si>
  <si>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</si>
  <si>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</si>
  <si>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</si>
  <si>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</si>
  <si>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</si>
  <si>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</si>
  <si>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</si>
  <si>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</si>
  <si>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</si>
  <si>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</si>
  <si>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</si>
  <si>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</si>
  <si>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</si>
  <si>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</si>
  <si>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</si>
  <si>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</si>
  <si>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</si>
  <si>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</si>
  <si>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</si>
  <si>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</si>
  <si>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</si>
  <si>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</si>
  <si>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</si>
  <si>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</si>
  <si>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</si>
  <si>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</si>
  <si>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</si>
  <si>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</si>
  <si>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</si>
  <si>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</si>
  <si>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</si>
  <si>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</si>
  <si>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</si>
  <si>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</si>
  <si>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</si>
  <si>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</si>
  <si>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</si>
  <si>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</si>
  <si>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</si>
  <si>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</si>
  <si>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</si>
  <si>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</si>
  <si>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</si>
  <si>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</si>
  <si>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</si>
  <si>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</si>
  <si>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</si>
  <si>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</si>
  <si>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</si>
  <si>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</si>
  <si>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</si>
  <si>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</si>
  <si>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</si>
  <si>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</si>
  <si>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</si>
  <si>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</si>
  <si>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</si>
  <si>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</si>
  <si>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</si>
  <si>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</si>
  <si>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</si>
  <si>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</si>
  <si>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</si>
  <si>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</si>
  <si>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</si>
  <si>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</si>
  <si>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</si>
  <si>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</si>
  <si>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</si>
  <si>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</si>
  <si>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</si>
  <si>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</si>
  <si>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</si>
  <si>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</si>
  <si>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</si>
  <si>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</si>
  <si>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</si>
  <si>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</si>
  <si>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</si>
  <si>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</si>
  <si>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</si>
  <si>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</si>
  <si>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</si>
  <si>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</si>
  <si>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</si>
  <si>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</si>
  <si>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</si>
  <si>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</si>
  <si>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</si>
  <si>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</si>
  <si>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</si>
  <si>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</si>
  <si>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</si>
  <si>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</si>
  <si>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</si>
  <si>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</si>
  <si>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</si>
  <si>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</si>
  <si>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</si>
  <si>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</si>
  <si>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</si>
  <si>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</si>
  <si>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</si>
  <si>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</si>
  <si>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</si>
  <si>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</si>
  <si>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</si>
  <si>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</si>
  <si>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</si>
  <si>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</si>
  <si>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</si>
  <si>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</si>
  <si>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</si>
  <si>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</si>
  <si>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</si>
  <si>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</si>
  <si>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</si>
  <si>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</si>
  <si>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</si>
  <si>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</si>
  <si>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</si>
  <si>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</si>
  <si>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</si>
  <si>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</si>
  <si>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</si>
  <si>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</si>
  <si>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</si>
  <si>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</si>
  <si>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</si>
  <si>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</si>
  <si>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</si>
  <si>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</si>
  <si>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</si>
  <si>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</si>
  <si>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</si>
  <si>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</si>
  <si>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</si>
  <si>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</si>
  <si>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</si>
  <si>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</si>
  <si>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</si>
  <si>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</si>
  <si>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</si>
  <si>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</si>
  <si>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</si>
  <si>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</si>
  <si>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</si>
  <si>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</si>
  <si>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</si>
  <si>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</si>
  <si>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</si>
  <si>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</si>
  <si>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</si>
  <si>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</si>
  <si>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</si>
  <si>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</si>
  <si>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</si>
  <si>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</si>
  <si>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</si>
  <si>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</si>
  <si>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</si>
  <si>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</si>
  <si>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</si>
  <si>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</si>
  <si>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</si>
  <si>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</si>
  <si>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</si>
  <si>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</si>
  <si>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</si>
  <si>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</si>
  <si>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</si>
  <si>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</si>
  <si>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</si>
  <si>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</si>
  <si>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</si>
  <si>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</si>
  <si>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</si>
  <si>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</si>
  <si>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</si>
  <si>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</si>
  <si>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</si>
  <si>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</si>
  <si>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</si>
  <si>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</si>
  <si>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</si>
  <si>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</si>
  <si>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</si>
  <si>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</si>
  <si>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</si>
  <si>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</si>
  <si>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</si>
  <si>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</si>
  <si>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</si>
  <si>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</si>
  <si>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</si>
  <si>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</si>
  <si>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</si>
  <si>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</si>
  <si>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</si>
  <si>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</si>
  <si>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</si>
  <si>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</si>
  <si>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</si>
  <si>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</si>
  <si>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</si>
  <si>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</si>
  <si>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</si>
  <si>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</si>
  <si>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</si>
  <si>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</si>
  <si>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</si>
  <si>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</si>
  <si>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</si>
  <si>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</si>
  <si>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</si>
  <si>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</si>
  <si>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</si>
  <si>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</si>
  <si>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</si>
  <si>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</si>
  <si>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</si>
  <si>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</si>
  <si>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</si>
  <si>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</si>
  <si>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</si>
  <si>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</si>
  <si>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</si>
  <si>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</si>
  <si>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</si>
  <si>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</si>
  <si>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</si>
  <si>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</si>
  <si>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</si>
  <si>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</si>
  <si>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</si>
  <si>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</si>
  <si>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</si>
  <si>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</si>
  <si>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</si>
  <si>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</si>
  <si>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</si>
  <si>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</si>
  <si>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</si>
  <si>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</si>
  <si>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</si>
  <si>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</si>
  <si>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</si>
  <si>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</si>
  <si>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</si>
  <si>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</si>
  <si>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</si>
  <si>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</si>
  <si>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</si>
  <si>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</si>
  <si>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</si>
  <si>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</si>
  <si>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</si>
  <si>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</si>
  <si>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</si>
  <si>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</si>
  <si>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</si>
  <si>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</si>
  <si>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</si>
  <si>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</si>
  <si>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</si>
  <si>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</si>
  <si>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</si>
  <si>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</si>
  <si>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</si>
  <si>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</si>
  <si>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</si>
  <si>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</si>
  <si>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</si>
  <si>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</si>
  <si>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</si>
  <si>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</si>
  <si>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</si>
  <si>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</si>
  <si>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</si>
  <si>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</si>
  <si>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</si>
  <si>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</si>
  <si>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</si>
  <si>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</si>
  <si>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</si>
  <si>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</si>
  <si>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</si>
  <si>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</si>
  <si>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</si>
  <si>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</si>
  <si>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</si>
  <si>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</si>
  <si>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</si>
  <si>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</si>
  <si>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</si>
  <si>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</si>
  <si>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</si>
  <si>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</si>
  <si>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</si>
  <si>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</si>
  <si>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</si>
  <si>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</si>
  <si>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</si>
  <si>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</si>
  <si>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</si>
  <si>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</si>
  <si>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</si>
  <si>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</si>
  <si>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</si>
  <si>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</si>
  <si>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</si>
  <si>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</si>
  <si>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</si>
  <si>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</si>
  <si>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</si>
  <si>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</si>
  <si>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</si>
  <si>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</si>
  <si>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</si>
  <si>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</si>
  <si>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</si>
  <si>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</si>
  <si>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</si>
  <si>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</si>
  <si>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</si>
  <si>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</si>
  <si>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</si>
  <si>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</si>
  <si>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</si>
  <si>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</si>
  <si>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</si>
  <si>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</si>
  <si>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</si>
  <si>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</si>
  <si>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</si>
  <si>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</si>
  <si>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</si>
  <si>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</si>
  <si>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</si>
  <si>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</si>
  <si>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</si>
  <si>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</si>
  <si>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</si>
  <si>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</si>
  <si>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</si>
  <si>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</si>
  <si>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</si>
  <si>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</si>
  <si>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</si>
  <si>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</si>
  <si>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</si>
  <si>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</si>
  <si>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</si>
  <si>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</si>
  <si>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</si>
  <si>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</si>
  <si>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</si>
  <si>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</si>
  <si>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</si>
  <si>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</si>
  <si>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</si>
  <si>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</si>
  <si>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</si>
  <si>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</si>
  <si>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</si>
  <si>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</si>
  <si>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</si>
  <si>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</si>
  <si>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</si>
  <si>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</si>
  <si>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</si>
  <si>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</si>
  <si>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</si>
  <si>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</si>
  <si>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</si>
  <si>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</si>
  <si>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</si>
  <si>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</si>
  <si>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</si>
  <si>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</si>
  <si>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</si>
  <si>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</si>
  <si>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</si>
  <si>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</si>
  <si>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</si>
  <si>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</si>
  <si>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</si>
  <si>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</si>
  <si>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</si>
  <si>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</si>
  <si>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</si>
  <si>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</si>
  <si>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</si>
  <si>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</si>
  <si>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</si>
  <si>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</si>
  <si>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</si>
  <si>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</si>
  <si>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</si>
  <si>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</si>
  <si>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</si>
  <si>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</si>
  <si>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</si>
  <si>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</si>
  <si>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</si>
  <si>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</si>
  <si>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</si>
  <si>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</si>
  <si>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</si>
  <si>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</si>
  <si>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</si>
  <si>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</si>
  <si>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</si>
  <si>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</si>
  <si>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</si>
  <si>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</si>
  <si>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</si>
  <si>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</si>
  <si>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</si>
  <si>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</si>
  <si>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</si>
  <si>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</si>
  <si>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</si>
  <si>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</si>
  <si>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</si>
  <si>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</si>
  <si>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</si>
  <si>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</si>
  <si>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</si>
  <si>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</si>
  <si>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</si>
  <si>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</si>
  <si>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</si>
  <si>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</si>
  <si>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</si>
  <si>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</si>
  <si>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</si>
  <si>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</si>
  <si>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</si>
  <si>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</si>
  <si>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</si>
  <si>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</si>
  <si>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</si>
  <si>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</si>
  <si>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</si>
  <si>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</si>
  <si>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</si>
  <si>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</si>
  <si>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</si>
  <si>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</si>
  <si>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</si>
  <si>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</si>
  <si>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</si>
  <si>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</si>
  <si>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</si>
  <si>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</si>
  <si>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</si>
  <si>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</si>
  <si>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</si>
  <si>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</si>
  <si>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</si>
  <si>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</si>
  <si>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</si>
  <si>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</si>
  <si>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</si>
  <si>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</si>
  <si>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</si>
  <si>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</si>
  <si>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</si>
  <si>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</si>
  <si>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</si>
  <si>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</si>
  <si>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</si>
  <si>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</si>
  <si>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</si>
  <si>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</si>
  <si>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</si>
  <si>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</si>
  <si>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</si>
  <si>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</si>
  <si>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</si>
  <si>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</si>
  <si>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</si>
  <si>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</si>
  <si>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</si>
  <si>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</si>
  <si>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</si>
  <si>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</si>
  <si>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</si>
  <si>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</si>
  <si>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</si>
  <si>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</si>
  <si>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</si>
  <si>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</si>
  <si>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</si>
  <si>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</si>
  <si>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</si>
  <si>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</si>
  <si>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</si>
  <si>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</si>
  <si>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</si>
  <si>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</si>
  <si>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</si>
  <si>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</si>
  <si>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</si>
  <si>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</si>
  <si>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</si>
  <si>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</si>
  <si>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</si>
  <si>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</si>
  <si>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</si>
  <si>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</si>
  <si>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</si>
  <si>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</si>
  <si>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</si>
  <si>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</si>
  <si>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</si>
  <si>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</si>
  <si>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</si>
  <si>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</si>
  <si>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</si>
  <si>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</si>
  <si>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</si>
  <si>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</si>
  <si>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</si>
  <si>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</si>
  <si>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</si>
  <si>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</si>
  <si>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</si>
  <si>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</si>
  <si>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</si>
  <si>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</si>
  <si>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</si>
  <si>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</si>
  <si>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</si>
  <si>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</si>
  <si>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</si>
  <si>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</si>
  <si>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</si>
  <si>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</si>
  <si>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</si>
  <si>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</si>
  <si>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</si>
  <si>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</si>
  <si>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</si>
  <si>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</si>
  <si>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</si>
  <si>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</si>
  <si>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</si>
  <si>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</si>
  <si>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</si>
  <si>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</si>
  <si>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</si>
  <si>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</si>
  <si>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</si>
  <si>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</si>
  <si>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</si>
  <si>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</si>
  <si>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</si>
  <si>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</si>
  <si>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</si>
  <si>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</si>
  <si>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</si>
  <si>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</si>
  <si>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</si>
  <si>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</si>
  <si>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</si>
  <si>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</si>
  <si>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</si>
  <si>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</si>
  <si>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</si>
  <si>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</si>
  <si>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</si>
  <si>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</si>
  <si>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</si>
  <si>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</si>
  <si>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</si>
  <si>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</si>
  <si>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</si>
  <si>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</si>
  <si>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</si>
  <si>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</si>
  <si>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</si>
  <si>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</si>
  <si>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</si>
  <si>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</si>
  <si>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</si>
  <si>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</si>
  <si>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</si>
  <si>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</si>
  <si>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</si>
  <si>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</si>
  <si>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</si>
  <si>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</si>
  <si>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</si>
  <si>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</si>
  <si>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</si>
  <si>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</si>
  <si>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</si>
  <si>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</si>
  <si>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</si>
  <si>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</si>
  <si>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</si>
  <si>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</si>
  <si>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</si>
  <si>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</si>
  <si>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</si>
  <si>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</si>
  <si>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</si>
  <si>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</si>
  <si>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</si>
  <si>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</si>
  <si>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</si>
  <si>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</si>
  <si>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</si>
  <si>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</si>
  <si>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</si>
  <si>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</si>
  <si>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</si>
  <si>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</si>
  <si>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</si>
  <si>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</si>
  <si>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</si>
  <si>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</si>
  <si>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</si>
  <si>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</si>
  <si>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</si>
  <si>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</si>
  <si>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</si>
  <si>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</si>
  <si>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</si>
  <si>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</si>
  <si>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</si>
  <si>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</si>
  <si>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</si>
  <si>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</si>
  <si>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</si>
  <si>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</si>
  <si>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</si>
  <si>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</si>
  <si>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</si>
  <si>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</si>
  <si>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</si>
  <si>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</si>
  <si>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</si>
  <si>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</si>
  <si>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</si>
  <si>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</si>
  <si>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</si>
  <si>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</si>
  <si>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</si>
  <si>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</si>
  <si>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</si>
  <si>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</si>
  <si>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</si>
  <si>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</si>
  <si>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</si>
  <si>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</si>
  <si>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</si>
  <si>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</si>
  <si>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</si>
  <si>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</si>
  <si>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</si>
  <si>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</si>
  <si>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</si>
  <si>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</si>
  <si>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</si>
  <si>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</si>
  <si>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</si>
  <si>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</si>
  <si>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</si>
  <si>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</si>
  <si>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</si>
  <si>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</si>
  <si>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</si>
  <si>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</si>
  <si>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</si>
  <si>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</si>
  <si>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</si>
  <si>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</si>
  <si>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</si>
  <si>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</si>
  <si>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</si>
  <si>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</si>
  <si>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</si>
  <si>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</si>
  <si>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</si>
  <si>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</si>
  <si>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</si>
  <si>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</si>
  <si>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</si>
  <si>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</si>
  <si>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</si>
  <si>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</si>
  <si>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</si>
  <si>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</si>
  <si>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</si>
  <si>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</si>
  <si>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</si>
  <si>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</si>
  <si>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</si>
  <si>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</si>
  <si>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自然人</t>
  </si>
  <si>
    <t>北京市</t>
  </si>
  <si>
    <t>抵押</t>
  </si>
  <si>
    <t>房地产抵押价值</t>
  </si>
  <si>
    <t>与房产证证载一致</t>
  </si>
  <si>
    <t>万元</t>
  </si>
  <si>
    <t>总价</t>
  </si>
  <si>
    <t>办公</t>
  </si>
  <si>
    <t>无租约</t>
  </si>
  <si>
    <t>否</t>
  </si>
  <si>
    <t>利息：取LPR加浮动点数</t>
  </si>
  <si>
    <t>非中心</t>
    <phoneticPr fontId="4" type="noConversion"/>
  </si>
  <si>
    <t>办公</t>
    <phoneticPr fontId="26" type="noConversion"/>
  </si>
  <si>
    <t>30-40（含）</t>
  </si>
  <si>
    <t>七通</t>
  </si>
  <si>
    <t>企业独栋</t>
    <phoneticPr fontId="26" type="noConversion"/>
  </si>
  <si>
    <t>工业立项写字楼</t>
  </si>
  <si>
    <t>工业立项写字楼</t>
    <phoneticPr fontId="26" type="noConversion"/>
  </si>
  <si>
    <t>中区</t>
    <phoneticPr fontId="26" type="noConversion"/>
  </si>
  <si>
    <t>高区</t>
    <phoneticPr fontId="26" type="noConversion"/>
  </si>
  <si>
    <t>低区</t>
  </si>
  <si>
    <t>低区</t>
    <phoneticPr fontId="26" type="noConversion"/>
  </si>
  <si>
    <t>钢混</t>
  </si>
  <si>
    <t>钢混</t>
    <phoneticPr fontId="26" type="noConversion"/>
  </si>
  <si>
    <t>精装</t>
    <phoneticPr fontId="26" type="noConversion"/>
  </si>
  <si>
    <t>标准</t>
    <phoneticPr fontId="26" type="noConversion"/>
  </si>
  <si>
    <t>较好</t>
    <phoneticPr fontId="26" type="noConversion"/>
  </si>
  <si>
    <t>精装</t>
    <phoneticPr fontId="26" type="noConversion"/>
  </si>
  <si>
    <t>普装</t>
    <phoneticPr fontId="26" type="noConversion"/>
  </si>
  <si>
    <t>简装</t>
    <phoneticPr fontId="26" type="noConversion"/>
  </si>
  <si>
    <t>毛坯</t>
    <phoneticPr fontId="26" type="noConversion"/>
  </si>
  <si>
    <t>非生产用房</t>
  </si>
  <si>
    <t>是</t>
  </si>
  <si>
    <t>比较法-办公</t>
  </si>
  <si>
    <t>收益法</t>
  </si>
  <si>
    <t>产业用地</t>
  </si>
  <si>
    <t>地价指数</t>
  </si>
  <si>
    <t>未包含在土地购买价格中</t>
  </si>
  <si>
    <t>已包含在土地取得成本中</t>
  </si>
  <si>
    <t>市调售价约在22000-23000之间，目前在售两套，一套23000，一套25000,2021.3月份成交一套约2万1，租金位于3-3.5之间</t>
    <phoneticPr fontId="146" type="noConversion"/>
  </si>
  <si>
    <t>估价对象1（结果表）</t>
  </si>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</sst>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3" fillId="21" borderId="1" xfId="13" applyFont="1" applyFill="1" applyBorder="1" applyAlignment="1" applyProtection="1">
      <alignment horizontal="left"/>
      <protection locked="0"/>
    </xf>
    <xf numFmtId="0" fontId="92" fillId="6" borderId="51" xfId="0" applyNumberFormat="1" applyFont="1" applyFill="1" applyBorder="1" applyAlignment="1" applyProtection="1">
      <alignment horizontal="left" vertical="center" wrapText="1"/>
      <protection locked="0"/>
    </xf>
    <xf numFmtId="176" fontId="39" fillId="18" borderId="6" xfId="1" applyNumberFormat="1" applyFont="1" applyFill="1" applyBorder="1" applyAlignment="1" applyProtection="1">
      <alignment horizontal="left" vertical="center"/>
      <protection locked="0"/>
    </xf>
    <xf numFmtId="9" fontId="42" fillId="18" borderId="43" xfId="0" applyNumberFormat="1" applyFont="1" applyFill="1" applyBorder="1" applyAlignment="1" applyProtection="1">
      <alignment horizontal="left" vertical="center"/>
      <protection locked="0"/>
    </xf>
    <xf numFmtId="177" fontId="42" fillId="18" borderId="31" xfId="1" applyNumberFormat="1" applyFont="1" applyFill="1" applyBorder="1" applyAlignment="1" applyProtection="1">
      <alignment horizontal="left" vertical="center"/>
      <protection locked="0"/>
    </xf>
    <xf numFmtId="181" fontId="39" fillId="18" borderId="43" xfId="0" applyNumberFormat="1" applyFont="1" applyFill="1" applyBorder="1" applyAlignment="1" applyProtection="1">
      <alignment horizontal="left" vertical="center"/>
      <protection locked="0"/>
    </xf>
    <xf numFmtId="0" fontId="39" fillId="18" borderId="6" xfId="0" applyFont="1" applyFill="1" applyBorder="1" applyAlignment="1" applyProtection="1">
      <alignment horizontal="left" vertical="center"/>
      <protection locked="0"/>
    </xf>
    <xf numFmtId="0" fontId="39" fillId="18" borderId="44" xfId="0" applyFont="1" applyFill="1" applyBorder="1" applyAlignment="1" applyProtection="1">
      <alignment horizontal="left" vertical="center" wrapText="1"/>
      <protection locked="0"/>
    </xf>
    <xf numFmtId="181" fontId="42" fillId="18" borderId="31" xfId="0" applyNumberFormat="1" applyFont="1" applyFill="1" applyBorder="1" applyAlignment="1" applyProtection="1">
      <alignment horizontal="left" vertical="center"/>
      <protection locked="0"/>
    </xf>
    <xf numFmtId="181" fontId="42" fillId="18" borderId="6" xfId="0" applyNumberFormat="1" applyFont="1" applyFill="1" applyBorder="1" applyAlignment="1" applyProtection="1">
      <alignment horizontal="left" vertical="center"/>
      <protection locked="0"/>
    </xf>
    <xf numFmtId="176" fontId="39" fillId="18" borderId="58" xfId="1"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222"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0" fontId="42" fillId="18" borderId="6"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125307</xdr:rowOff>
    </xdr:from>
    <xdr:to>
      <xdr:col>9</xdr:col>
      <xdr:colOff>579119</xdr:colOff>
      <xdr:row>21</xdr:row>
      <xdr:rowOff>86610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11574"/>
          <a:ext cx="6065519" cy="3686636"/>
        </a:xfrm>
        <a:prstGeom prst="rect">
          <a:avLst/>
        </a:prstGeom>
      </xdr:spPr>
    </xdr:pic>
    <xdr:clientData/>
  </xdr:twoCellAnchor>
  <xdr:twoCellAnchor editAs="oneCell">
    <xdr:from>
      <xdr:col>10</xdr:col>
      <xdr:colOff>106740</xdr:colOff>
      <xdr:row>1</xdr:row>
      <xdr:rowOff>137343</xdr:rowOff>
    </xdr:from>
    <xdr:to>
      <xdr:col>20</xdr:col>
      <xdr:colOff>465668</xdr:colOff>
      <xdr:row>21</xdr:row>
      <xdr:rowOff>81926</xdr:rowOff>
    </xdr:to>
    <xdr:pic>
      <xdr:nvPicPr>
        <xdr:cNvPr id="3" name="图片 2"/>
        <xdr:cNvPicPr>
          <a:picLocks noChangeAspect="1"/>
        </xdr:cNvPicPr>
      </xdr:nvPicPr>
      <xdr:blipFill>
        <a:blip xmlns:r="http://schemas.openxmlformats.org/officeDocument/2006/relationships" r:embed="rId2"/>
        <a:stretch>
          <a:fillRect/>
        </a:stretch>
      </xdr:blipFill>
      <xdr:spPr>
        <a:xfrm>
          <a:off x="6202740" y="323610"/>
          <a:ext cx="6454928" cy="3669916"/>
        </a:xfrm>
        <a:prstGeom prst="rect">
          <a:avLst/>
        </a:prstGeom>
      </xdr:spPr>
    </xdr:pic>
    <xdr:clientData/>
  </xdr:twoCellAnchor>
  <xdr:twoCellAnchor editAs="oneCell">
    <xdr:from>
      <xdr:col>0</xdr:col>
      <xdr:colOff>0</xdr:colOff>
      <xdr:row>22</xdr:row>
      <xdr:rowOff>49530</xdr:rowOff>
    </xdr:from>
    <xdr:to>
      <xdr:col>5</xdr:col>
      <xdr:colOff>466238</xdr:colOff>
      <xdr:row>39</xdr:row>
      <xdr:rowOff>58690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240530"/>
          <a:ext cx="3514238" cy="3247660"/>
        </a:xfrm>
        <a:prstGeom prst="rect">
          <a:avLst/>
        </a:prstGeom>
      </xdr:spPr>
    </xdr:pic>
    <xdr:clientData/>
  </xdr:twoCellAnchor>
  <xdr:twoCellAnchor editAs="oneCell">
    <xdr:from>
      <xdr:col>6</xdr:col>
      <xdr:colOff>19051</xdr:colOff>
      <xdr:row>22</xdr:row>
      <xdr:rowOff>95251</xdr:rowOff>
    </xdr:from>
    <xdr:to>
      <xdr:col>15</xdr:col>
      <xdr:colOff>406401</xdr:colOff>
      <xdr:row>39</xdr:row>
      <xdr:rowOff>886</xdr:rowOff>
    </xdr:to>
    <xdr:pic>
      <xdr:nvPicPr>
        <xdr:cNvPr id="5" name="图片 4"/>
        <xdr:cNvPicPr>
          <a:picLocks noChangeAspect="1"/>
        </xdr:cNvPicPr>
      </xdr:nvPicPr>
      <xdr:blipFill>
        <a:blip xmlns:r="http://schemas.openxmlformats.org/officeDocument/2006/relationships" r:embed="rId4"/>
        <a:stretch>
          <a:fillRect/>
        </a:stretch>
      </xdr:blipFill>
      <xdr:spPr>
        <a:xfrm>
          <a:off x="3676651" y="4193118"/>
          <a:ext cx="5873750" cy="3072168"/>
        </a:xfrm>
        <a:prstGeom prst="rect">
          <a:avLst/>
        </a:prstGeom>
      </xdr:spPr>
    </xdr:pic>
    <xdr:clientData/>
  </xdr:twoCellAnchor>
  <xdr:twoCellAnchor editAs="oneCell">
    <xdr:from>
      <xdr:col>0</xdr:col>
      <xdr:colOff>0</xdr:colOff>
      <xdr:row>40</xdr:row>
      <xdr:rowOff>58419</xdr:rowOff>
    </xdr:from>
    <xdr:to>
      <xdr:col>11</xdr:col>
      <xdr:colOff>389467</xdr:colOff>
      <xdr:row>62</xdr:row>
      <xdr:rowOff>59661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509086"/>
          <a:ext cx="7095067" cy="409910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估价对象为北京市房地产，为XX所有。根据《》[]，估价对象建筑面积为346.86平方米。根据《》[]，估价对象（分摊）出让国有建设用地使用权面积为平方米。估价对象用途为。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2021年7月16日</v>
      </c>
    </row>
    <row r="10" spans="1:2">
      <c r="A10" s="1210" t="s">
        <v>1103</v>
      </c>
      <c r="B10" s="1197" t="str">
        <f>'预评函-1'!A13</f>
        <v>本次估价的“房地产价值”是指在正常市场情况下，在价值时点2021年7月16日，估价对象规划用途为，假定未设立法定优先受偿款下的房地产市场价值。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本次评估采用的主估价方法为比较法和收益法。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346.86</v>
      </c>
    </row>
    <row r="19" spans="1:2">
      <c r="A19" s="1210" t="s">
        <v>1112</v>
      </c>
      <c r="B19" s="1197">
        <f ca="1">'预评函-2（1）'!D7</f>
        <v>748</v>
      </c>
    </row>
    <row r="20" spans="1:2">
      <c r="A20" s="1210" t="s">
        <v>1150</v>
      </c>
      <c r="B20" s="1197" t="str">
        <f>'预评函-2（1）'!C7</f>
        <v>总价（万元）</v>
      </c>
    </row>
    <row r="21" spans="1:2">
      <c r="A21" s="1210" t="s">
        <v>1113</v>
      </c>
      <c r="B21" s="1197">
        <f ca="1">'预评函-2（1）'!D9</f>
        <v>21565</v>
      </c>
    </row>
    <row r="22" spans="1:2">
      <c r="A22" s="1210" t="s">
        <v>1114</v>
      </c>
      <c r="B22" s="1197" t="str">
        <f ca="1">'预评函-2（1）'!D8</f>
        <v>柒佰肆拾捌万元整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748</v>
      </c>
    </row>
    <row r="30" spans="1:2">
      <c r="A30" s="1210" t="s">
        <v>1120</v>
      </c>
      <c r="B30" s="1197" t="str">
        <f ca="1">'预评函-2（1）'!D16</f>
        <v>柒佰肆拾捌万元整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640</v>
      </c>
    </row>
    <row r="38" spans="1:2">
      <c r="A38" s="1210" t="s">
        <v>1128</v>
      </c>
      <c r="B38" s="1197">
        <f ca="1">'预评函-2（2）'!E4</f>
        <v>18451</v>
      </c>
    </row>
    <row r="39" spans="1:2">
      <c r="A39" s="1210" t="s">
        <v>1129</v>
      </c>
      <c r="B39" s="1197" t="str">
        <f ca="1">'预评函-2（2）'!D5</f>
        <v>陆佰肆拾万元整</v>
      </c>
    </row>
    <row r="40" spans="1:2">
      <c r="A40" s="1210" t="s">
        <v>1130</v>
      </c>
      <c r="B40" s="1197">
        <f ca="1">'预评函-2（2）'!F4</f>
        <v>108</v>
      </c>
    </row>
    <row r="41" spans="1:2">
      <c r="A41" s="1210" t="s">
        <v>1131</v>
      </c>
      <c r="B41" s="1197">
        <f ca="1">'预评函-2（2）'!G4</f>
        <v>3114</v>
      </c>
    </row>
    <row r="42" spans="1:2" s="1207" customFormat="1" ht="16.2" thickBot="1">
      <c r="A42" s="1211" t="s">
        <v>1132</v>
      </c>
      <c r="B42" s="1199" t="str">
        <f ca="1">'预评函-2（2）'!F5</f>
        <v>壹佰零捌万元整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f ca="1">'预评函-2（1）'!D38</f>
        <v>21565</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3" sqref="D3"/>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97" customWidth="1"/>
    <col min="9" max="10" width="10" style="2897" customWidth="1"/>
    <col min="11" max="13" width="10" style="2898" customWidth="1"/>
    <col min="14" max="15" width="10" style="2897" customWidth="1"/>
    <col min="16" max="17" width="10" style="2897"/>
    <col min="18" max="18" width="10" style="2897" customWidth="1"/>
    <col min="19" max="66" width="10" style="2897"/>
    <col min="67" max="16384" width="10" style="827"/>
  </cols>
  <sheetData>
    <row r="1" spans="1:17" ht="13.8" thickBot="1">
      <c r="A1" s="2590" t="s">
        <v>1527</v>
      </c>
      <c r="B1" s="2591" t="str">
        <f>IF(B6="北京市","北京市",C6)&amp;IF(E12="房屋所有权证",B29,E29)&amp;D5&amp;"预评估"</f>
        <v>北京市房地产抵押价值预评估</v>
      </c>
      <c r="C1" s="823"/>
      <c r="D1" s="823"/>
      <c r="E1" s="823"/>
      <c r="F1" s="1426" t="s">
        <v>1528</v>
      </c>
      <c r="G1" s="1191"/>
      <c r="I1" s="2912" t="str">
        <f>IF(B6="北京市","北京市",C6)&amp;IF(E12="房屋所有权证",B29,E29)&amp;"房地产"</f>
        <v>北京市房地产</v>
      </c>
      <c r="J1" s="800"/>
      <c r="K1" s="2914"/>
      <c r="L1" s="2914"/>
      <c r="M1" s="2914"/>
      <c r="N1" s="800"/>
      <c r="O1" s="800"/>
      <c r="P1" s="800"/>
      <c r="Q1" s="800"/>
    </row>
    <row r="2" spans="1:17" ht="13.8" thickTop="1">
      <c r="A2" s="1427" t="s">
        <v>1529</v>
      </c>
      <c r="B2" s="2592"/>
      <c r="C2" s="2884" t="s">
        <v>1530</v>
      </c>
      <c r="D2" s="2592">
        <v>44393</v>
      </c>
      <c r="E2" s="824"/>
      <c r="F2" s="824"/>
      <c r="G2" s="1192"/>
      <c r="H2" s="2896"/>
    </row>
    <row r="3" spans="1:17" ht="13.8" thickBot="1">
      <c r="A3" s="2593" t="s">
        <v>1531</v>
      </c>
      <c r="B3" s="2594"/>
      <c r="C3" s="2595">
        <f>SUMIF(注册房地产估价师,B3,估价师及机构信息!B3:B16)</f>
        <v>0</v>
      </c>
      <c r="D3" s="2594"/>
      <c r="E3" s="2596">
        <f>SUMIF(注册房地产估价师,D3,估价师及机构信息!B3:B16)</f>
        <v>0</v>
      </c>
      <c r="F3" s="825"/>
      <c r="G3" s="1193"/>
      <c r="H3" s="2896"/>
    </row>
    <row r="4" spans="1:17" ht="13.5" customHeight="1" thickTop="1">
      <c r="A4" s="1427" t="s">
        <v>1532</v>
      </c>
      <c r="B4" s="1428" t="s">
        <v>2720</v>
      </c>
      <c r="C4" s="2885" t="s">
        <v>1533</v>
      </c>
      <c r="D4" s="1429" t="s">
        <v>2894</v>
      </c>
      <c r="E4" s="824"/>
      <c r="F4" s="824"/>
      <c r="G4" s="1192"/>
    </row>
    <row r="5" spans="1:17" ht="24">
      <c r="A5" s="1430" t="s">
        <v>1534</v>
      </c>
      <c r="B5" s="1431" t="s">
        <v>2721</v>
      </c>
      <c r="C5" s="2886" t="s">
        <v>1535</v>
      </c>
      <c r="D5" s="1433" t="s">
        <v>2895</v>
      </c>
      <c r="E5" s="2887" t="s">
        <v>1536</v>
      </c>
      <c r="F5" s="1433" t="s">
        <v>2895</v>
      </c>
      <c r="G5" s="1434"/>
      <c r="I5" s="2912" t="str">
        <f>IF(C16="否","截至估价时点，估价对象抵押权未见登记。","截至价值时点，估价对象已设定抵押。")</f>
        <v>截至价值时点，估价对象已设定抵押。</v>
      </c>
      <c r="J5" s="800"/>
      <c r="K5" s="2914"/>
      <c r="L5" s="2914"/>
      <c r="M5" s="2914"/>
      <c r="N5" s="800"/>
      <c r="O5" s="800"/>
      <c r="P5" s="800"/>
      <c r="Q5" s="800"/>
    </row>
    <row r="6" spans="1:17">
      <c r="A6" s="2888" t="s">
        <v>1537</v>
      </c>
      <c r="B6" s="2597" t="s">
        <v>2893</v>
      </c>
      <c r="C6" s="2598" t="s">
        <v>2722</v>
      </c>
      <c r="D6" s="2599" t="s">
        <v>1538</v>
      </c>
      <c r="E6" s="811"/>
      <c r="F6" s="811"/>
      <c r="G6" s="830"/>
      <c r="I6" s="800" t="str">
        <f>IF(COUNTIF(B5,"*上海银行*"),"上海银行","")</f>
        <v/>
      </c>
      <c r="J6" s="800"/>
      <c r="K6" s="2914"/>
      <c r="L6" s="2914"/>
      <c r="M6" s="2914"/>
      <c r="N6" s="800"/>
      <c r="O6" s="800"/>
      <c r="P6" s="800"/>
      <c r="Q6" s="800"/>
    </row>
    <row r="7" spans="1:17" ht="13.8" thickBot="1">
      <c r="A7" s="2889" t="s">
        <v>1539</v>
      </c>
      <c r="B7" s="2600" t="s">
        <v>2892</v>
      </c>
      <c r="C7" s="1525" t="str">
        <f>IF(B7="自然人","姓名","名称")</f>
        <v>姓名</v>
      </c>
      <c r="D7" s="1438" t="s">
        <v>2721</v>
      </c>
      <c r="E7" s="825"/>
      <c r="F7" s="825"/>
      <c r="G7" s="1193"/>
    </row>
    <row r="8" spans="1:17" ht="13.8" thickTop="1">
      <c r="A8" s="3236" t="s">
        <v>1540</v>
      </c>
      <c r="B8" s="1439" t="s">
        <v>1541</v>
      </c>
      <c r="C8" s="3248"/>
      <c r="D8" s="3249"/>
      <c r="E8" s="2601" t="s">
        <v>1542</v>
      </c>
      <c r="F8" s="2602" t="s">
        <v>1543</v>
      </c>
      <c r="G8" s="2603" t="str">
        <f>C6</f>
        <v>XX</v>
      </c>
    </row>
    <row r="9" spans="1:17" ht="26.4">
      <c r="A9" s="3236"/>
      <c r="B9" s="259" t="s">
        <v>1544</v>
      </c>
      <c r="C9" s="1431"/>
      <c r="D9" s="1440" t="s">
        <v>2896</v>
      </c>
      <c r="E9" s="2890" t="s">
        <v>1545</v>
      </c>
      <c r="F9" s="2604" t="s">
        <v>70</v>
      </c>
      <c r="G9" s="2605"/>
    </row>
    <row r="10" spans="1:17" ht="13.8" thickBot="1">
      <c r="A10" s="3236"/>
      <c r="B10" s="259" t="s">
        <v>1546</v>
      </c>
      <c r="C10" s="3250"/>
      <c r="D10" s="3251"/>
      <c r="E10" s="2891" t="s">
        <v>1547</v>
      </c>
      <c r="F10" s="2606" t="s">
        <v>334</v>
      </c>
      <c r="G10" s="2607"/>
    </row>
    <row r="11" spans="1:17" ht="13.8" thickBot="1">
      <c r="A11" s="3236"/>
      <c r="B11" s="1442" t="s">
        <v>1548</v>
      </c>
      <c r="C11" s="3252"/>
      <c r="D11" s="3253"/>
      <c r="E11" s="811"/>
      <c r="F11" s="811"/>
      <c r="G11" s="830"/>
    </row>
    <row r="12" spans="1:17" ht="13.8" thickBot="1">
      <c r="A12" s="3239" t="s">
        <v>2828</v>
      </c>
      <c r="B12" s="2892" t="s">
        <v>1549</v>
      </c>
      <c r="C12" s="808">
        <v>346.86</v>
      </c>
      <c r="D12" s="1443" t="s">
        <v>1550</v>
      </c>
      <c r="E12" s="1444"/>
      <c r="F12" s="1445"/>
      <c r="G12" s="830"/>
    </row>
    <row r="13" spans="1:17" ht="21" customHeight="1" thickBot="1">
      <c r="A13" s="3240"/>
      <c r="B13" s="2893" t="s">
        <v>1551</v>
      </c>
      <c r="C13" s="809"/>
      <c r="D13" s="1446" t="s">
        <v>1552</v>
      </c>
      <c r="E13" s="1447"/>
      <c r="F13" s="811"/>
      <c r="G13" s="830"/>
      <c r="I13" s="3225" t="s">
        <v>1553</v>
      </c>
      <c r="J13" s="2913" t="str">
        <f>"根据估价对象"&amp;IF(B19="——",B18&amp;C18,B18&amp;C18&amp;"、"&amp;B19&amp;C19)&amp;"，"&amp;IF(C16="是","截至价值时点，估价对象已设定抵押。","截至价值时点，估价对象抵押权未见登记。")</f>
        <v>根据估价对象、，截至价值时点，估价对象抵押权未见登记。</v>
      </c>
      <c r="K13" s="2914"/>
      <c r="L13" s="2914"/>
      <c r="M13" s="2914"/>
      <c r="N13" s="800"/>
      <c r="O13" s="800"/>
      <c r="P13" s="800"/>
      <c r="Q13" s="800"/>
    </row>
    <row r="14" spans="1:17" ht="13.8" thickBot="1">
      <c r="A14" s="2608"/>
      <c r="B14" s="2907" t="s">
        <v>2829</v>
      </c>
      <c r="C14" s="2609"/>
      <c r="D14" s="811"/>
      <c r="E14" s="811"/>
      <c r="F14" s="811"/>
      <c r="G14" s="830"/>
      <c r="I14" s="3225"/>
      <c r="J14" s="29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4"/>
      <c r="L14" s="2914"/>
      <c r="M14" s="2914"/>
      <c r="N14" s="800"/>
      <c r="O14" s="800"/>
      <c r="P14" s="800"/>
      <c r="Q14" s="800"/>
    </row>
    <row r="15" spans="1:17" ht="13.8" thickBot="1">
      <c r="A15" s="2610"/>
      <c r="B15" s="2894" t="s">
        <v>1554</v>
      </c>
      <c r="C15" s="826">
        <v>2.5</v>
      </c>
      <c r="D15" s="825"/>
      <c r="E15" s="825"/>
      <c r="F15" s="825"/>
      <c r="G15" s="1193"/>
      <c r="I15" s="3225"/>
      <c r="J15" s="29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4"/>
      <c r="L15" s="2914"/>
      <c r="M15" s="2914"/>
      <c r="N15" s="800"/>
      <c r="O15" s="800"/>
      <c r="P15" s="800"/>
      <c r="Q15" s="800"/>
    </row>
    <row r="16" spans="1:17" ht="25.2" thickTop="1" thickBot="1">
      <c r="A16" s="2608" t="s">
        <v>1555</v>
      </c>
      <c r="B16" s="1448" t="s">
        <v>1556</v>
      </c>
      <c r="C16" s="2611"/>
      <c r="D16" s="1441" t="s">
        <v>1557</v>
      </c>
      <c r="E16" s="2612"/>
      <c r="F16" s="1449" t="str">
        <f>IF(AND(C16="是",E16="否"),"是否提供他项权证或相关说明","")</f>
        <v/>
      </c>
      <c r="G16" s="2612"/>
      <c r="J16" s="2896"/>
    </row>
    <row r="17" spans="1:66" ht="13.5" customHeight="1">
      <c r="A17" s="1455" t="s">
        <v>1558</v>
      </c>
      <c r="B17" s="3254" t="s">
        <v>1559</v>
      </c>
      <c r="C17" s="3255"/>
      <c r="D17" s="3256" t="s">
        <v>1560</v>
      </c>
      <c r="E17" s="3257"/>
      <c r="F17" s="1450" t="s">
        <v>1561</v>
      </c>
      <c r="G17" s="1451"/>
      <c r="J17" s="2896"/>
    </row>
    <row r="18" spans="1:66" ht="24">
      <c r="A18" s="1455"/>
      <c r="B18" s="2613"/>
      <c r="C18" s="1434"/>
      <c r="D18" s="1452" t="s">
        <v>1562</v>
      </c>
      <c r="E18" s="1453"/>
      <c r="F18" s="1454"/>
      <c r="G18" s="1317"/>
      <c r="H18" s="2896"/>
      <c r="J18" s="2896"/>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0"/>
      <c r="D21" s="1455" t="s">
        <v>1565</v>
      </c>
      <c r="E21" s="2619"/>
      <c r="F21" s="811"/>
      <c r="G21" s="1317"/>
    </row>
    <row r="22" spans="1:66">
      <c r="A22" s="1317"/>
      <c r="B22" s="811" t="s">
        <v>1566</v>
      </c>
      <c r="C22" s="2620"/>
      <c r="D22" s="811" t="s">
        <v>1566</v>
      </c>
      <c r="E22" s="2619"/>
      <c r="F22" s="811"/>
      <c r="G22" s="1317"/>
    </row>
    <row r="23" spans="1:66" s="2879" customFormat="1" ht="16.2" thickBot="1">
      <c r="A23" s="1318"/>
      <c r="B23" s="829" t="s">
        <v>1567</v>
      </c>
      <c r="C23" s="809"/>
      <c r="D23" s="829" t="s">
        <v>1568</v>
      </c>
      <c r="E23" s="2621"/>
      <c r="F23" s="829"/>
      <c r="G23" s="1318"/>
      <c r="H23" s="2899"/>
      <c r="I23" s="2899"/>
      <c r="J23" s="2899"/>
      <c r="K23" s="2900"/>
      <c r="L23" s="2900"/>
      <c r="M23" s="2900"/>
      <c r="N23" s="2900"/>
      <c r="O23" s="2900"/>
      <c r="P23" s="2900"/>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c r="AS23" s="2899"/>
      <c r="AT23" s="2899"/>
      <c r="AU23" s="2899"/>
      <c r="AV23" s="2899"/>
      <c r="AW23" s="2899"/>
      <c r="AX23" s="2899"/>
      <c r="AY23" s="2899"/>
      <c r="AZ23" s="2899"/>
      <c r="BA23" s="2899"/>
      <c r="BB23" s="2899"/>
      <c r="BC23" s="2899"/>
      <c r="BD23" s="2899"/>
      <c r="BE23" s="2899"/>
      <c r="BF23" s="2899"/>
      <c r="BG23" s="2899"/>
      <c r="BH23" s="2899"/>
      <c r="BI23" s="2899"/>
      <c r="BJ23" s="2899"/>
      <c r="BK23" s="2899"/>
      <c r="BL23" s="2899"/>
      <c r="BM23" s="2899"/>
      <c r="BN23" s="2899"/>
    </row>
    <row r="24" spans="1:66" s="2895" customFormat="1" ht="18" customHeight="1" thickBot="1">
      <c r="A24" s="3235" t="s">
        <v>2827</v>
      </c>
      <c r="B24" s="3235"/>
      <c r="C24" s="3235"/>
      <c r="D24" s="3235"/>
      <c r="E24" s="3235"/>
      <c r="F24" s="3235"/>
      <c r="G24" s="3235"/>
      <c r="H24" s="2901"/>
      <c r="I24" s="2901"/>
      <c r="J24" s="2901"/>
      <c r="K24" s="2902"/>
      <c r="L24" s="2902"/>
      <c r="M24" s="2902"/>
      <c r="N24" s="2902"/>
      <c r="O24" s="2902"/>
      <c r="P24" s="2902"/>
      <c r="Q24" s="2903"/>
      <c r="R24" s="2903"/>
      <c r="S24" s="2903"/>
      <c r="T24" s="2903"/>
      <c r="U24" s="2903"/>
      <c r="V24" s="2903"/>
      <c r="W24" s="2903"/>
      <c r="X24" s="2903"/>
      <c r="Y24" s="2903"/>
      <c r="Z24" s="2903"/>
      <c r="AA24" s="2903"/>
      <c r="AB24" s="2903"/>
      <c r="AC24" s="2903"/>
      <c r="AD24" s="2903"/>
      <c r="AE24" s="2903"/>
      <c r="AF24" s="2903"/>
      <c r="AG24" s="2903"/>
      <c r="AH24" s="2903"/>
      <c r="AI24" s="2903"/>
      <c r="AJ24" s="2903"/>
      <c r="AK24" s="2903"/>
      <c r="AL24" s="2903"/>
      <c r="AM24" s="2903"/>
      <c r="AN24" s="2903"/>
      <c r="AO24" s="2903"/>
      <c r="AP24" s="2903"/>
      <c r="AQ24" s="2903"/>
      <c r="AR24" s="2903"/>
      <c r="AS24" s="2903"/>
      <c r="AT24" s="2903"/>
      <c r="AU24" s="2903"/>
      <c r="AV24" s="2903"/>
      <c r="AW24" s="2903"/>
      <c r="AX24" s="2903"/>
      <c r="AY24" s="2903"/>
      <c r="AZ24" s="2903"/>
      <c r="BA24" s="2903"/>
      <c r="BB24" s="2903"/>
      <c r="BC24" s="2903"/>
      <c r="BD24" s="2903"/>
      <c r="BE24" s="2903"/>
      <c r="BF24" s="2903"/>
      <c r="BG24" s="2903"/>
      <c r="BH24" s="2903"/>
      <c r="BI24" s="2903"/>
      <c r="BJ24" s="2903"/>
      <c r="BK24" s="2903"/>
      <c r="BL24" s="2903"/>
      <c r="BM24" s="2903"/>
      <c r="BN24" s="2903"/>
    </row>
    <row r="25" spans="1:66" ht="14.4" thickTop="1" thickBot="1">
      <c r="A25" s="828" t="s">
        <v>1569</v>
      </c>
      <c r="B25" s="811"/>
      <c r="C25" s="811"/>
      <c r="D25" s="811"/>
      <c r="E25" s="811"/>
      <c r="F25" s="811"/>
      <c r="G25" s="1318"/>
      <c r="K25" s="2897"/>
    </row>
    <row r="26" spans="1:66" s="836" customFormat="1" ht="13.8" thickBot="1">
      <c r="A26" s="2622"/>
      <c r="B26" s="807" t="s">
        <v>1570</v>
      </c>
      <c r="C26" s="2622"/>
      <c r="D26" s="807"/>
      <c r="E26" s="2623" t="s">
        <v>1571</v>
      </c>
      <c r="F26" s="2622"/>
      <c r="G26" s="2624" t="s">
        <v>1572</v>
      </c>
      <c r="H26" s="2904"/>
      <c r="I26" s="2904"/>
      <c r="J26" s="2904"/>
      <c r="K26" s="2904"/>
      <c r="L26" s="2905"/>
      <c r="M26" s="2905"/>
      <c r="N26" s="2904"/>
      <c r="O26" s="2904"/>
      <c r="P26" s="2904"/>
      <c r="Q26" s="2904"/>
      <c r="R26" s="2904"/>
      <c r="S26" s="2904"/>
      <c r="T26" s="2904"/>
      <c r="U26" s="2904"/>
      <c r="V26" s="2904"/>
      <c r="W26" s="2904"/>
      <c r="X26" s="2904"/>
      <c r="Y26" s="2904"/>
      <c r="Z26" s="2904"/>
      <c r="AA26" s="2904"/>
      <c r="AB26" s="2904"/>
      <c r="AC26" s="2904"/>
      <c r="AD26" s="2904"/>
      <c r="AE26" s="2904"/>
      <c r="AF26" s="2904"/>
      <c r="AG26" s="2904"/>
      <c r="AH26" s="2904"/>
      <c r="AI26" s="2904"/>
      <c r="AJ26" s="2904"/>
      <c r="AK26" s="2904"/>
      <c r="AL26" s="2904"/>
      <c r="AM26" s="2904"/>
      <c r="AN26" s="2904"/>
      <c r="AO26" s="2904"/>
      <c r="AP26" s="2904"/>
      <c r="AQ26" s="2904"/>
      <c r="AR26" s="2904"/>
      <c r="AS26" s="2904"/>
      <c r="AT26" s="2904"/>
      <c r="AU26" s="2904"/>
      <c r="AV26" s="2904"/>
      <c r="AW26" s="2904"/>
      <c r="AX26" s="2904"/>
      <c r="AY26" s="2904"/>
      <c r="AZ26" s="2904"/>
      <c r="BA26" s="2904"/>
      <c r="BB26" s="2904"/>
      <c r="BC26" s="2904"/>
      <c r="BD26" s="2904"/>
      <c r="BE26" s="2904"/>
      <c r="BF26" s="2904"/>
      <c r="BG26" s="2904"/>
      <c r="BH26" s="2904"/>
      <c r="BI26" s="2904"/>
      <c r="BJ26" s="2904"/>
      <c r="BK26" s="2904"/>
      <c r="BL26" s="2904"/>
      <c r="BM26" s="2904"/>
      <c r="BN26" s="2904"/>
    </row>
    <row r="27" spans="1:66" s="836" customFormat="1" ht="13.8" thickBot="1">
      <c r="A27" s="2622"/>
      <c r="B27" s="2625"/>
      <c r="C27" s="2622"/>
      <c r="D27" s="807"/>
      <c r="E27" s="2625"/>
      <c r="F27" s="2622"/>
      <c r="G27" s="2626"/>
      <c r="H27" s="2904"/>
      <c r="I27" s="2904"/>
      <c r="J27" s="2904"/>
      <c r="K27" s="2904"/>
      <c r="L27" s="2905"/>
      <c r="M27" s="2905"/>
      <c r="N27" s="2904"/>
      <c r="O27" s="2904"/>
      <c r="P27" s="2904"/>
      <c r="Q27" s="2904"/>
      <c r="R27" s="2904"/>
      <c r="S27" s="2904"/>
      <c r="T27" s="2904"/>
      <c r="U27" s="2904"/>
      <c r="V27" s="2904"/>
      <c r="W27" s="2904"/>
      <c r="X27" s="2904"/>
      <c r="Y27" s="2904"/>
      <c r="Z27" s="2904"/>
      <c r="AA27" s="2904"/>
      <c r="AB27" s="2904"/>
      <c r="AC27" s="2904"/>
      <c r="AD27" s="2904"/>
      <c r="AE27" s="2904"/>
      <c r="AF27" s="2904"/>
      <c r="AG27" s="2904"/>
      <c r="AH27" s="2904"/>
      <c r="AI27" s="2904"/>
      <c r="AJ27" s="2904"/>
      <c r="AK27" s="2904"/>
      <c r="AL27" s="2904"/>
      <c r="AM27" s="2904"/>
      <c r="AN27" s="2904"/>
      <c r="AO27" s="2904"/>
      <c r="AP27" s="2904"/>
      <c r="AQ27" s="2904"/>
      <c r="AR27" s="2904"/>
      <c r="AS27" s="2904"/>
      <c r="AT27" s="2904"/>
      <c r="AU27" s="2904"/>
      <c r="AV27" s="2904"/>
      <c r="AW27" s="2904"/>
      <c r="AX27" s="2904"/>
      <c r="AY27" s="2904"/>
      <c r="AZ27" s="2904"/>
      <c r="BA27" s="2904"/>
      <c r="BB27" s="2904"/>
      <c r="BC27" s="2904"/>
      <c r="BD27" s="2904"/>
      <c r="BE27" s="2904"/>
      <c r="BF27" s="2904"/>
      <c r="BG27" s="2904"/>
      <c r="BH27" s="2904"/>
      <c r="BI27" s="2904"/>
      <c r="BJ27" s="2904"/>
      <c r="BK27" s="2904"/>
      <c r="BL27" s="2904"/>
      <c r="BM27" s="2904"/>
      <c r="BN27" s="2904"/>
    </row>
    <row r="28" spans="1:66">
      <c r="A28" s="803" t="s">
        <v>1573</v>
      </c>
      <c r="B28" s="801"/>
      <c r="C28" s="3242" t="s">
        <v>1573</v>
      </c>
      <c r="D28" s="3243"/>
      <c r="E28" s="801"/>
      <c r="F28" s="803" t="s">
        <v>1573</v>
      </c>
      <c r="G28" s="801"/>
      <c r="K28" s="2897"/>
    </row>
    <row r="29" spans="1:66">
      <c r="A29" s="804" t="s">
        <v>1574</v>
      </c>
      <c r="B29" s="798"/>
      <c r="C29" s="3244" t="s">
        <v>1575</v>
      </c>
      <c r="D29" s="3245"/>
      <c r="E29" s="798"/>
      <c r="F29" s="804" t="s">
        <v>1575</v>
      </c>
      <c r="G29" s="798"/>
      <c r="K29" s="2897"/>
    </row>
    <row r="30" spans="1:66">
      <c r="A30" s="804" t="s">
        <v>1576</v>
      </c>
      <c r="B30" s="798"/>
      <c r="C30" s="3244" t="s">
        <v>1576</v>
      </c>
      <c r="D30" s="3245"/>
      <c r="E30" s="798"/>
      <c r="F30" s="804" t="s">
        <v>1577</v>
      </c>
      <c r="G30" s="798"/>
      <c r="K30" s="2897"/>
    </row>
    <row r="31" spans="1:66">
      <c r="A31" s="804" t="s">
        <v>1578</v>
      </c>
      <c r="B31" s="798"/>
      <c r="C31" s="3232" t="s">
        <v>1579</v>
      </c>
      <c r="D31" s="811"/>
      <c r="E31" s="2627" t="str">
        <f>E32&amp;" "&amp;E33&amp;" "&amp;E34&amp;" "&amp;E35</f>
        <v xml:space="preserve">   </v>
      </c>
      <c r="F31" s="804" t="s">
        <v>1580</v>
      </c>
      <c r="G31" s="798"/>
    </row>
    <row r="32" spans="1:66">
      <c r="A32" s="804" t="s">
        <v>1581</v>
      </c>
      <c r="B32" s="798"/>
      <c r="C32" s="3233"/>
      <c r="D32" s="259" t="s">
        <v>1582</v>
      </c>
      <c r="E32" s="798"/>
      <c r="F32" s="804" t="s">
        <v>1583</v>
      </c>
      <c r="G32" s="798"/>
    </row>
    <row r="33" spans="1:7" ht="24.6" thickBot="1">
      <c r="A33" s="805" t="s">
        <v>1584</v>
      </c>
      <c r="B33" s="802"/>
      <c r="C33" s="3233"/>
      <c r="D33" s="259" t="s">
        <v>1585</v>
      </c>
      <c r="E33" s="798"/>
      <c r="F33" s="804" t="s">
        <v>1586</v>
      </c>
      <c r="G33" s="798"/>
    </row>
    <row r="34" spans="1:7">
      <c r="A34" s="803" t="s">
        <v>1587</v>
      </c>
      <c r="B34" s="801"/>
      <c r="C34" s="3233"/>
      <c r="D34" s="259" t="s">
        <v>1588</v>
      </c>
      <c r="E34" s="798"/>
      <c r="F34" s="804" t="s">
        <v>1589</v>
      </c>
      <c r="G34" s="798"/>
    </row>
    <row r="35" spans="1:7" ht="13.8" thickBot="1">
      <c r="A35" s="804" t="s">
        <v>1590</v>
      </c>
      <c r="B35" s="798"/>
      <c r="C35" s="3234"/>
      <c r="D35" s="259" t="s">
        <v>1591</v>
      </c>
      <c r="E35" s="798"/>
      <c r="F35" s="805" t="s">
        <v>1592</v>
      </c>
      <c r="G35" s="2628"/>
    </row>
    <row r="36" spans="1:7">
      <c r="A36" s="804" t="s">
        <v>1549</v>
      </c>
      <c r="B36" s="798"/>
      <c r="C36" s="3244" t="s">
        <v>1593</v>
      </c>
      <c r="D36" s="3245"/>
      <c r="E36" s="798"/>
      <c r="F36" s="2629" t="s">
        <v>1594</v>
      </c>
      <c r="G36" s="801"/>
    </row>
    <row r="37" spans="1:7" ht="24.6" thickBot="1">
      <c r="A37" s="804" t="s">
        <v>1595</v>
      </c>
      <c r="B37" s="798"/>
      <c r="C37" s="3246" t="s">
        <v>1596</v>
      </c>
      <c r="D37" s="3247"/>
      <c r="E37" s="802"/>
      <c r="F37" s="1463" t="s">
        <v>1597</v>
      </c>
      <c r="G37" s="798"/>
    </row>
    <row r="38" spans="1:7" ht="13.8" thickBot="1">
      <c r="A38" s="804" t="s">
        <v>1598</v>
      </c>
      <c r="B38" s="798"/>
      <c r="C38" s="3230" t="s">
        <v>1599</v>
      </c>
      <c r="D38" s="1443" t="s">
        <v>1583</v>
      </c>
      <c r="E38" s="801"/>
      <c r="F38" s="805" t="s">
        <v>1600</v>
      </c>
      <c r="G38" s="802"/>
    </row>
    <row r="39" spans="1:7">
      <c r="A39" s="804" t="s">
        <v>1601</v>
      </c>
      <c r="B39" s="798"/>
      <c r="C39" s="3237"/>
      <c r="D39" s="259" t="s">
        <v>1590</v>
      </c>
      <c r="E39" s="798"/>
      <c r="F39" s="803" t="s">
        <v>1602</v>
      </c>
      <c r="G39" s="801"/>
    </row>
    <row r="40" spans="1:7">
      <c r="A40" s="804" t="s">
        <v>1603</v>
      </c>
      <c r="B40" s="798"/>
      <c r="C40" s="3237" t="s">
        <v>1604</v>
      </c>
      <c r="D40" s="259" t="s">
        <v>1549</v>
      </c>
      <c r="E40" s="798"/>
      <c r="F40" s="804" t="s">
        <v>1605</v>
      </c>
      <c r="G40" s="798"/>
    </row>
    <row r="41" spans="1:7" ht="24.75" customHeight="1" thickBot="1">
      <c r="A41" s="805" t="s">
        <v>1606</v>
      </c>
      <c r="B41" s="802"/>
      <c r="C41" s="3238"/>
      <c r="D41" s="1446" t="s">
        <v>1551</v>
      </c>
      <c r="E41" s="802"/>
      <c r="F41" s="805" t="s">
        <v>1607</v>
      </c>
      <c r="G41" s="802"/>
    </row>
    <row r="42" spans="1:7" ht="24">
      <c r="A42" s="806" t="s">
        <v>1608</v>
      </c>
      <c r="B42" s="2630"/>
      <c r="C42" s="3226" t="s">
        <v>1608</v>
      </c>
      <c r="D42" s="3227"/>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8" thickBot="1">
      <c r="A49" s="805" t="s">
        <v>1611</v>
      </c>
      <c r="B49" s="802"/>
      <c r="C49" s="3228" t="s">
        <v>1611</v>
      </c>
      <c r="D49" s="3229"/>
      <c r="E49" s="820"/>
      <c r="F49" s="805" t="s">
        <v>1612</v>
      </c>
      <c r="G49" s="802"/>
    </row>
    <row r="50" spans="1:66">
      <c r="A50" s="804" t="s">
        <v>1613</v>
      </c>
      <c r="B50" s="819"/>
      <c r="C50" s="3230" t="s">
        <v>1614</v>
      </c>
      <c r="D50" s="3231"/>
      <c r="E50" s="2632"/>
      <c r="F50" s="837"/>
      <c r="G50" s="838"/>
    </row>
    <row r="51" spans="1:66" ht="13.8" thickBot="1">
      <c r="A51" s="804" t="s">
        <v>1615</v>
      </c>
      <c r="B51" s="819"/>
      <c r="C51" s="3238" t="s">
        <v>1616</v>
      </c>
      <c r="D51" s="3241"/>
      <c r="E51" s="802"/>
      <c r="F51" s="811"/>
      <c r="G51" s="830"/>
    </row>
    <row r="52" spans="1:66">
      <c r="A52" s="804" t="s">
        <v>1594</v>
      </c>
      <c r="B52" s="798"/>
      <c r="C52" s="811"/>
      <c r="D52" s="811"/>
      <c r="E52" s="811"/>
      <c r="F52" s="811"/>
      <c r="G52" s="830"/>
    </row>
    <row r="53" spans="1:66" ht="24.6" thickBot="1">
      <c r="A53" s="805" t="s">
        <v>1617</v>
      </c>
      <c r="B53" s="2628"/>
      <c r="C53" s="829"/>
      <c r="D53" s="829"/>
      <c r="E53" s="829"/>
      <c r="F53" s="829"/>
      <c r="G53" s="831"/>
    </row>
    <row r="57" spans="1:66" s="810" customFormat="1">
      <c r="H57" s="2896"/>
      <c r="I57" s="2896"/>
      <c r="J57" s="2896"/>
      <c r="K57" s="2906"/>
      <c r="L57" s="2906"/>
      <c r="M57" s="290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c r="AS57" s="2896"/>
      <c r="AT57" s="2896"/>
      <c r="AU57" s="2896"/>
      <c r="AV57" s="2896"/>
      <c r="AW57" s="2896"/>
      <c r="AX57" s="2896"/>
      <c r="AY57" s="2896"/>
      <c r="AZ57" s="2896"/>
      <c r="BA57" s="2896"/>
      <c r="BB57" s="2896"/>
      <c r="BC57" s="2896"/>
      <c r="BD57" s="2896"/>
      <c r="BE57" s="2896"/>
      <c r="BF57" s="2896"/>
      <c r="BG57" s="2896"/>
      <c r="BH57" s="2896"/>
      <c r="BI57" s="2896"/>
      <c r="BJ57" s="2896"/>
      <c r="BK57" s="2896"/>
      <c r="BL57" s="2896"/>
      <c r="BM57" s="2896"/>
      <c r="BN57" s="2896"/>
    </row>
    <row r="58" spans="1:66" s="810" customFormat="1">
      <c r="H58" s="2896"/>
      <c r="I58" s="2896"/>
      <c r="J58" s="2896"/>
      <c r="K58" s="2906"/>
      <c r="L58" s="2906"/>
      <c r="M58" s="290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c r="AS58" s="2896"/>
      <c r="AT58" s="2896"/>
      <c r="AU58" s="2896"/>
      <c r="AV58" s="2896"/>
      <c r="AW58" s="2896"/>
      <c r="AX58" s="2896"/>
      <c r="AY58" s="2896"/>
      <c r="AZ58" s="2896"/>
      <c r="BA58" s="2896"/>
      <c r="BB58" s="2896"/>
      <c r="BC58" s="2896"/>
      <c r="BD58" s="2896"/>
      <c r="BE58" s="2896"/>
      <c r="BF58" s="2896"/>
      <c r="BG58" s="2896"/>
      <c r="BH58" s="2896"/>
      <c r="BI58" s="2896"/>
      <c r="BJ58" s="2896"/>
      <c r="BK58" s="2896"/>
      <c r="BL58" s="2896"/>
      <c r="BM58" s="2896"/>
      <c r="BN58" s="2896"/>
    </row>
    <row r="59" spans="1:66" s="810" customFormat="1">
      <c r="H59" s="2896"/>
      <c r="I59" s="2896"/>
      <c r="J59" s="2896"/>
      <c r="K59" s="2906"/>
      <c r="L59" s="2906"/>
      <c r="M59" s="290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c r="AS59" s="2896"/>
      <c r="AT59" s="2896"/>
      <c r="AU59" s="2896"/>
      <c r="AV59" s="2896"/>
      <c r="AW59" s="2896"/>
      <c r="AX59" s="2896"/>
      <c r="AY59" s="2896"/>
      <c r="AZ59" s="2896"/>
      <c r="BA59" s="2896"/>
      <c r="BB59" s="2896"/>
      <c r="BC59" s="2896"/>
      <c r="BD59" s="2896"/>
      <c r="BE59" s="2896"/>
      <c r="BF59" s="2896"/>
      <c r="BG59" s="2896"/>
      <c r="BH59" s="2896"/>
      <c r="BI59" s="2896"/>
      <c r="BJ59" s="2896"/>
      <c r="BK59" s="2896"/>
      <c r="BL59" s="2896"/>
      <c r="BM59" s="2896"/>
      <c r="BN59" s="2896"/>
    </row>
    <row r="60" spans="1:66" s="810" customFormat="1">
      <c r="H60" s="2896"/>
      <c r="I60" s="2896"/>
      <c r="J60" s="2896"/>
      <c r="K60" s="2906"/>
      <c r="L60" s="2906"/>
      <c r="M60" s="290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c r="AS60" s="2896"/>
      <c r="AT60" s="2896"/>
      <c r="AU60" s="2896"/>
      <c r="AV60" s="2896"/>
      <c r="AW60" s="2896"/>
      <c r="AX60" s="2896"/>
      <c r="AY60" s="2896"/>
      <c r="AZ60" s="2896"/>
      <c r="BA60" s="2896"/>
      <c r="BB60" s="2896"/>
      <c r="BC60" s="2896"/>
      <c r="BD60" s="2896"/>
      <c r="BE60" s="2896"/>
      <c r="BF60" s="2896"/>
      <c r="BG60" s="2896"/>
      <c r="BH60" s="2896"/>
      <c r="BI60" s="2896"/>
      <c r="BJ60" s="2896"/>
      <c r="BK60" s="2896"/>
      <c r="BL60" s="2896"/>
      <c r="BM60" s="2896"/>
      <c r="BN60" s="2896"/>
    </row>
    <row r="61" spans="1:66" s="810" customFormat="1">
      <c r="H61" s="2896"/>
      <c r="I61" s="2896"/>
      <c r="J61" s="2896"/>
      <c r="K61" s="2906"/>
      <c r="L61" s="2906"/>
      <c r="M61" s="290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c r="AS61" s="2896"/>
      <c r="AT61" s="2896"/>
      <c r="AU61" s="2896"/>
      <c r="AV61" s="2896"/>
      <c r="AW61" s="2896"/>
      <c r="AX61" s="2896"/>
      <c r="AY61" s="2896"/>
      <c r="AZ61" s="2896"/>
      <c r="BA61" s="2896"/>
      <c r="BB61" s="2896"/>
      <c r="BC61" s="2896"/>
      <c r="BD61" s="2896"/>
      <c r="BE61" s="2896"/>
      <c r="BF61" s="2896"/>
      <c r="BG61" s="2896"/>
      <c r="BH61" s="2896"/>
      <c r="BI61" s="2896"/>
      <c r="BJ61" s="2896"/>
      <c r="BK61" s="2896"/>
      <c r="BL61" s="2896"/>
      <c r="BM61" s="2896"/>
      <c r="BN61" s="2896"/>
    </row>
    <row r="62" spans="1:66" s="810" customFormat="1">
      <c r="H62" s="2896"/>
      <c r="I62" s="2896"/>
      <c r="J62" s="2896"/>
      <c r="K62" s="2906"/>
      <c r="L62" s="2906"/>
      <c r="M62" s="290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c r="AS62" s="2896"/>
      <c r="AT62" s="2896"/>
      <c r="AU62" s="2896"/>
      <c r="AV62" s="2896"/>
      <c r="AW62" s="2896"/>
      <c r="AX62" s="2896"/>
      <c r="AY62" s="2896"/>
      <c r="AZ62" s="2896"/>
      <c r="BA62" s="2896"/>
      <c r="BB62" s="2896"/>
      <c r="BC62" s="2896"/>
      <c r="BD62" s="2896"/>
      <c r="BE62" s="2896"/>
      <c r="BF62" s="2896"/>
      <c r="BG62" s="2896"/>
      <c r="BH62" s="2896"/>
      <c r="BI62" s="2896"/>
      <c r="BJ62" s="2896"/>
      <c r="BK62" s="2896"/>
      <c r="BL62" s="2896"/>
      <c r="BM62" s="2896"/>
      <c r="BN62" s="2896"/>
    </row>
    <row r="63" spans="1:66" s="810" customFormat="1">
      <c r="H63" s="2896"/>
      <c r="I63" s="2896"/>
      <c r="J63" s="2896"/>
      <c r="K63" s="2906"/>
      <c r="L63" s="2906"/>
      <c r="M63" s="290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c r="AS63" s="2896"/>
      <c r="AT63" s="2896"/>
      <c r="AU63" s="2896"/>
      <c r="AV63" s="2896"/>
      <c r="AW63" s="2896"/>
      <c r="AX63" s="2896"/>
      <c r="AY63" s="2896"/>
      <c r="AZ63" s="2896"/>
      <c r="BA63" s="2896"/>
      <c r="BB63" s="2896"/>
      <c r="BC63" s="2896"/>
      <c r="BD63" s="2896"/>
      <c r="BE63" s="2896"/>
      <c r="BF63" s="2896"/>
      <c r="BG63" s="2896"/>
      <c r="BH63" s="2896"/>
      <c r="BI63" s="2896"/>
      <c r="BJ63" s="2896"/>
      <c r="BK63" s="2896"/>
      <c r="BL63" s="2896"/>
      <c r="BM63" s="2896"/>
      <c r="BN63" s="289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58" t="s">
        <v>0</v>
      </c>
      <c r="B1" s="3258" t="s">
        <v>2</v>
      </c>
      <c r="C1" s="3258" t="s">
        <v>3</v>
      </c>
      <c r="D1" s="3259" t="s">
        <v>67</v>
      </c>
      <c r="E1" s="3259" t="s">
        <v>68</v>
      </c>
      <c r="F1" s="3259"/>
      <c r="G1" s="3259"/>
      <c r="H1" s="3259"/>
      <c r="I1" s="3259"/>
      <c r="J1" s="3259"/>
      <c r="K1" s="3259"/>
      <c r="L1" s="3259"/>
      <c r="M1" s="3259"/>
    </row>
    <row r="2" spans="1:13" ht="27" customHeight="1">
      <c r="A2" s="3258"/>
      <c r="B2" s="3258"/>
      <c r="C2" s="3258"/>
      <c r="D2" s="3259"/>
      <c r="E2" s="3259" t="s">
        <v>51</v>
      </c>
      <c r="F2" s="3259" t="s">
        <v>52</v>
      </c>
      <c r="G2" s="3259"/>
      <c r="H2" s="3259"/>
      <c r="I2" s="3259"/>
      <c r="J2" s="3259" t="s">
        <v>53</v>
      </c>
      <c r="K2" s="3259"/>
      <c r="L2" s="3259"/>
      <c r="M2" s="3259"/>
    </row>
    <row r="3" spans="1:13" ht="46.8">
      <c r="A3" s="3258"/>
      <c r="B3" s="3258"/>
      <c r="C3" s="3258"/>
      <c r="D3" s="3259"/>
      <c r="E3" s="3259"/>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9" t="s">
        <v>69</v>
      </c>
      <c r="B9" s="3259"/>
      <c r="C9" s="32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C32" sqref="C32"/>
    </sheetView>
  </sheetViews>
  <sheetFormatPr defaultColWidth="13.77734375" defaultRowHeight="13.2"/>
  <cols>
    <col min="1" max="1" width="20.88671875" style="2683" customWidth="1"/>
    <col min="2" max="2" width="16.77734375" style="2634" customWidth="1"/>
    <col min="3" max="3" width="18.21875" style="2670" customWidth="1"/>
    <col min="4" max="4" width="34.109375" style="2684" customWidth="1"/>
    <col min="5" max="5" width="17.6640625" style="2684" customWidth="1"/>
    <col min="6" max="6" width="15.44140625" style="2633" customWidth="1"/>
    <col min="7" max="8" width="9.109375" style="2961" customWidth="1"/>
    <col min="9" max="9" width="15" style="2670" bestFit="1" customWidth="1"/>
    <col min="10" max="14" width="8.88671875" style="2670" customWidth="1"/>
    <col min="15" max="16" width="12.33203125" style="2670" customWidth="1"/>
    <col min="17" max="17" width="8.6640625" style="2670" customWidth="1"/>
    <col min="18" max="18" width="12.44140625" style="2670" customWidth="1"/>
    <col min="19" max="19" width="8.44140625" style="2670" customWidth="1"/>
    <col min="20" max="21" width="10.88671875" style="2670" customWidth="1"/>
    <col min="22" max="23" width="12.44140625" style="2670" customWidth="1"/>
    <col min="24" max="24" width="12.109375" style="2670" customWidth="1"/>
    <col min="25" max="25" width="7.44140625" style="2670" customWidth="1"/>
    <col min="26" max="26" width="6.33203125" style="2670" customWidth="1"/>
    <col min="27" max="32" width="6.77734375" style="2670" customWidth="1"/>
    <col min="33" max="33" width="6.44140625" style="2670" customWidth="1"/>
    <col min="34" max="36" width="7.21875" style="2670" customWidth="1"/>
    <col min="37" max="41" width="8" style="2670" customWidth="1"/>
    <col min="42" max="16384" width="13.77734375" style="2634"/>
  </cols>
  <sheetData>
    <row r="1" spans="1:41" ht="18" thickBot="1">
      <c r="A1" s="2915" t="s">
        <v>1618</v>
      </c>
      <c r="B1" s="947"/>
      <c r="D1" s="2633"/>
      <c r="E1" s="2633"/>
    </row>
    <row r="2" spans="1:41" s="2637" customFormat="1" ht="15" thickBot="1">
      <c r="A2" s="2916" t="s">
        <v>1619</v>
      </c>
      <c r="B2" s="2917">
        <f>项目基本情况!D2</f>
        <v>44393</v>
      </c>
      <c r="C2" s="1685"/>
      <c r="D2" s="3260" t="s">
        <v>1620</v>
      </c>
      <c r="E2" s="2635"/>
      <c r="F2" s="2636"/>
      <c r="G2" s="2962"/>
      <c r="H2" s="296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2897</v>
      </c>
      <c r="C3" s="1685"/>
      <c r="D3" s="3261"/>
      <c r="E3" s="2639" t="s">
        <v>2901</v>
      </c>
      <c r="F3" s="2636"/>
      <c r="G3" s="2962"/>
      <c r="H3" s="296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2898</v>
      </c>
      <c r="C4" s="1685"/>
      <c r="D4" s="3261"/>
      <c r="E4" s="2639"/>
      <c r="F4" s="2636"/>
      <c r="G4" s="2962"/>
      <c r="H4" s="296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 thickBot="1">
      <c r="A5" s="2640" t="s">
        <v>1623</v>
      </c>
      <c r="B5" s="2641">
        <f>项目基本情况!C12</f>
        <v>346.86</v>
      </c>
      <c r="C5" s="1685"/>
      <c r="D5" s="2918" t="s">
        <v>1624</v>
      </c>
      <c r="E5" s="2642">
        <f>B5</f>
        <v>346.86</v>
      </c>
      <c r="F5" s="2636"/>
      <c r="G5" s="2962"/>
      <c r="H5" s="296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 thickBot="1">
      <c r="A6" s="2643" t="s">
        <v>1625</v>
      </c>
      <c r="B6" s="2644">
        <f>项目基本情况!C13</f>
        <v>0</v>
      </c>
      <c r="C6" s="1685"/>
      <c r="D6" s="2918" t="s">
        <v>1626</v>
      </c>
      <c r="E6" s="2642"/>
      <c r="F6" s="2636"/>
      <c r="G6" s="2962"/>
      <c r="H6" s="296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64"/>
      <c r="D7" s="2965"/>
      <c r="E7" s="2965"/>
      <c r="F7" s="2962"/>
      <c r="G7" s="2962"/>
      <c r="H7" s="2962"/>
    </row>
    <row r="8" spans="1:41" s="1685" customFormat="1" ht="13.8" hidden="1">
      <c r="A8" s="2964"/>
      <c r="D8" s="2965"/>
      <c r="E8" s="2965"/>
      <c r="F8" s="2962"/>
      <c r="G8" s="2962"/>
      <c r="H8" s="2962"/>
    </row>
    <row r="9" spans="1:41" s="1685" customFormat="1" ht="15" hidden="1" thickBot="1">
      <c r="C9" s="3084"/>
      <c r="D9" s="2962"/>
      <c r="E9" s="2962"/>
      <c r="F9" s="2962"/>
      <c r="G9" s="2962"/>
      <c r="H9" s="2962"/>
    </row>
    <row r="10" spans="1:41" s="2637" customFormat="1" ht="15" thickBot="1">
      <c r="A10" s="2919" t="s">
        <v>1627</v>
      </c>
      <c r="B10" s="2646" t="s">
        <v>2899</v>
      </c>
      <c r="C10" s="1685"/>
      <c r="D10" s="2916" t="s">
        <v>1628</v>
      </c>
      <c r="E10" s="2920" t="s">
        <v>1629</v>
      </c>
      <c r="F10" s="3085"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4">
      <c r="A11" s="2921" t="s">
        <v>1630</v>
      </c>
      <c r="B11" s="2648">
        <v>50</v>
      </c>
      <c r="C11" s="1685"/>
      <c r="D11" s="2922" t="s">
        <v>1631</v>
      </c>
      <c r="E11" s="2649"/>
      <c r="F11" s="1312" t="s">
        <v>1632</v>
      </c>
      <c r="G11" s="1685"/>
      <c r="H11" s="1685"/>
      <c r="I11" s="1685"/>
      <c r="J11" s="1685"/>
      <c r="K11" s="1685"/>
      <c r="L11" s="2705"/>
      <c r="M11" s="2705"/>
      <c r="N11" s="2705"/>
      <c r="O11" s="2705"/>
      <c r="P11" s="2705"/>
      <c r="Q11" s="2705"/>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3" t="s">
        <v>1633</v>
      </c>
      <c r="B12" s="2651">
        <v>56440</v>
      </c>
      <c r="C12" s="1685"/>
      <c r="D12" s="2923"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4" t="s">
        <v>1635</v>
      </c>
      <c r="B13" s="2925">
        <f>IF(B12="",B11-(YEAR($B$2)-B27+B24),ROUNDDOWN(MIN((B12-$B$2)/365,B11),2))</f>
        <v>33</v>
      </c>
      <c r="C13" s="2960"/>
      <c r="D13" s="2926" t="s">
        <v>1636</v>
      </c>
      <c r="E13" s="2653">
        <f>成本法!C10</f>
        <v>69372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4">
      <c r="A14" s="2923" t="s">
        <v>1638</v>
      </c>
      <c r="B14" s="2927">
        <f>IF(ISERROR(ROUND(POWER(1+B15,B11-B13)*(POWER(1+B15,B13)-1)/(POWER(1+B15,B11)-1),3)),0,ROUND(POWER(1+B15,B11-B13)*(POWER(1+B15,B13)-1)/(POWER(1+B15,B11)-1),3))</f>
        <v>0.877</v>
      </c>
      <c r="C14" s="1685"/>
      <c r="D14" s="2928"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4">
      <c r="A15" s="2923" t="s">
        <v>1640</v>
      </c>
      <c r="B15" s="2655">
        <v>0.05</v>
      </c>
      <c r="C15" s="2563" t="s">
        <v>2839</v>
      </c>
      <c r="D15" s="2923" t="s">
        <v>1641</v>
      </c>
      <c r="E15" s="292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3" t="s">
        <v>1642</v>
      </c>
      <c r="B16" s="2655">
        <v>5.5E-2</v>
      </c>
      <c r="C16" s="2563" t="s">
        <v>2840</v>
      </c>
      <c r="D16" s="2930"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0" t="s">
        <v>2837</v>
      </c>
      <c r="B17" s="3083">
        <v>7.0000000000000007E-2</v>
      </c>
      <c r="C17" s="2563" t="s">
        <v>2841</v>
      </c>
      <c r="D17" s="2919" t="s">
        <v>1645</v>
      </c>
      <c r="E17" s="3167">
        <v>2800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1" t="s">
        <v>1644</v>
      </c>
      <c r="B18" s="3091">
        <v>6.5000000000000002E-2</v>
      </c>
      <c r="C18" s="1685"/>
      <c r="D18" s="2932" t="str">
        <f>IF(B26=0,"建安总额","在建建安")</f>
        <v>建安总额</v>
      </c>
      <c r="E18" s="2933">
        <f>ROUND(B5*E17*IF(B26=0,1,E20),0)</f>
        <v>971208</v>
      </c>
      <c r="F18" s="2657">
        <f>ROUND(E5*E17*IF(B26=0,1,E20),0)</f>
        <v>971208</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4.4" thickBot="1">
      <c r="A19" s="1311"/>
      <c r="B19" s="1311"/>
      <c r="C19" s="1685"/>
      <c r="D19" s="2932" t="str">
        <f>IF(B26=0,"——","续建建安")</f>
        <v>——</v>
      </c>
      <c r="E19" s="2933" t="str">
        <f>IF(B26=0,"——",ROUND(B5*E17*(1-E20),0))</f>
        <v>——</v>
      </c>
      <c r="F19" s="2657"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4" t="s">
        <v>1646</v>
      </c>
      <c r="B20" s="1311"/>
      <c r="C20" s="1685"/>
      <c r="D20" s="2936" t="str">
        <f>IF(B26=0,"成新率","工程进度")</f>
        <v>成新率</v>
      </c>
      <c r="E20" s="3572">
        <f>AVERAGE(G20:G21)</f>
        <v>0.8</v>
      </c>
      <c r="F20" s="947"/>
      <c r="G20" s="1685">
        <f>ROUND(1-(2021-2006)/60,2)</f>
        <v>0.75</v>
      </c>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4">
      <c r="A21" s="2935" t="s">
        <v>1647</v>
      </c>
      <c r="B21" s="2658">
        <v>0</v>
      </c>
      <c r="C21" s="1685"/>
      <c r="D21" s="2923" t="s">
        <v>1649</v>
      </c>
      <c r="E21" s="2659">
        <v>0.03</v>
      </c>
      <c r="F21" s="2668" t="s">
        <v>2847</v>
      </c>
      <c r="G21" s="1685">
        <v>0.85</v>
      </c>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4">
      <c r="A22" s="2937" t="s">
        <v>1648</v>
      </c>
      <c r="B22" s="3165">
        <v>1</v>
      </c>
      <c r="C22" s="1685"/>
      <c r="D22" s="2923" t="s">
        <v>1651</v>
      </c>
      <c r="E22" s="2661">
        <v>0</v>
      </c>
      <c r="F22" s="2668"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4">
      <c r="A23" s="2938" t="s">
        <v>1650</v>
      </c>
      <c r="B23" s="3173">
        <v>1</v>
      </c>
      <c r="C23" s="1685"/>
      <c r="D23" s="2923" t="s">
        <v>1653</v>
      </c>
      <c r="E23" s="2652">
        <v>200</v>
      </c>
      <c r="F23" s="2668"/>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39" t="s">
        <v>1652</v>
      </c>
      <c r="B24" s="2940">
        <f>B21+B22</f>
        <v>1</v>
      </c>
      <c r="C24" s="1685"/>
      <c r="D24" s="2930" t="s">
        <v>1655</v>
      </c>
      <c r="E24" s="2662">
        <v>1.4999999999999999E-2</v>
      </c>
      <c r="F24" s="2668"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1" t="s">
        <v>1654</v>
      </c>
      <c r="B25" s="2942">
        <f>B21+B23</f>
        <v>1</v>
      </c>
      <c r="C25" s="1685"/>
      <c r="D25" s="2922" t="s">
        <v>1657</v>
      </c>
      <c r="E25" s="3171">
        <v>0.02</v>
      </c>
      <c r="F25" s="2668" t="s">
        <v>2846</v>
      </c>
      <c r="I25" s="2961"/>
    </row>
    <row r="26" spans="1:41" ht="15" thickBot="1">
      <c r="A26" s="2939" t="s">
        <v>1656</v>
      </c>
      <c r="B26" s="2943">
        <f>B22-B23</f>
        <v>0</v>
      </c>
      <c r="D26" s="2923" t="s">
        <v>1659</v>
      </c>
      <c r="E26" s="3172">
        <v>0.02</v>
      </c>
      <c r="F26" s="2668" t="s">
        <v>2846</v>
      </c>
      <c r="G26" s="2962"/>
      <c r="H26" s="2962"/>
      <c r="I26" s="1685"/>
      <c r="J26" s="1685"/>
      <c r="K26" s="1685"/>
      <c r="L26" s="1685"/>
      <c r="M26" s="1685"/>
      <c r="N26" s="1685"/>
    </row>
    <row r="27" spans="1:41" ht="15" thickBot="1">
      <c r="A27" s="2944" t="s">
        <v>1658</v>
      </c>
      <c r="B27" s="2663">
        <v>2006</v>
      </c>
      <c r="C27" s="1685"/>
      <c r="D27" s="3150" t="s">
        <v>2902</v>
      </c>
      <c r="E27" s="2945">
        <f ca="1">IF(D27="利息：取LPR",存贷款利率!G1,存贷款利率!G1+F27)</f>
        <v>4.3499999999999997E-2</v>
      </c>
      <c r="F27" s="3151">
        <v>5.0000000000000001E-3</v>
      </c>
      <c r="G27" s="2962"/>
      <c r="H27" s="2962"/>
      <c r="K27" s="1685"/>
      <c r="N27" s="1685"/>
    </row>
    <row r="28" spans="1:41" ht="15" thickBot="1">
      <c r="A28" s="947"/>
      <c r="B28" s="947"/>
      <c r="D28" s="2926" t="s">
        <v>1661</v>
      </c>
      <c r="E28" s="3166">
        <v>0.08</v>
      </c>
      <c r="G28" s="2962"/>
      <c r="H28" s="2962"/>
      <c r="K28" s="1685"/>
      <c r="N28" s="1685"/>
    </row>
    <row r="29" spans="1:41" ht="14.4">
      <c r="A29" s="2946" t="s">
        <v>1660</v>
      </c>
      <c r="B29" s="2664" t="s">
        <v>2900</v>
      </c>
      <c r="D29" s="2928" t="s">
        <v>1662</v>
      </c>
      <c r="E29" s="2947">
        <f>E30+E31</f>
        <v>5.6000000000000001E-2</v>
      </c>
      <c r="F29" s="1310"/>
      <c r="G29" s="2962"/>
      <c r="H29" s="2962"/>
      <c r="K29" s="1685"/>
      <c r="N29" s="1685"/>
    </row>
    <row r="30" spans="1:41" ht="14.4">
      <c r="A30" s="2923" t="str">
        <f>IF(B29="租赁期内按合同租金","合同租金","市场租金")</f>
        <v>市场租金</v>
      </c>
      <c r="B30" s="3169">
        <v>3.6</v>
      </c>
      <c r="D30" s="2930" t="s">
        <v>1664</v>
      </c>
      <c r="E30" s="2666">
        <v>0.05</v>
      </c>
      <c r="F30" s="2949">
        <f>IF(B2&lt;DATE(2016,5,1),0,E30)</f>
        <v>0.05</v>
      </c>
      <c r="G30" s="2962"/>
      <c r="H30" s="2962"/>
      <c r="K30" s="1685"/>
      <c r="N30" s="1685"/>
    </row>
    <row r="31" spans="1:41" ht="14.4">
      <c r="A31" s="2923" t="s">
        <v>1663</v>
      </c>
      <c r="B31" s="2948">
        <f ca="1">存贷款利率!I1</f>
        <v>1.4999999999999999E-2</v>
      </c>
      <c r="D31" s="2930" t="s">
        <v>1666</v>
      </c>
      <c r="E31" s="2950">
        <f>E30*(E32+E33+E34)+E35</f>
        <v>6.000000000000001E-3</v>
      </c>
      <c r="F31" s="1310"/>
      <c r="G31" s="2962"/>
      <c r="H31" s="2962"/>
      <c r="K31" s="1685"/>
      <c r="N31" s="1685"/>
    </row>
    <row r="32" spans="1:41" ht="14.4">
      <c r="A32" s="2923" t="s">
        <v>1665</v>
      </c>
      <c r="B32" s="2655">
        <v>2.5000000000000001E-2</v>
      </c>
      <c r="D32" s="2930" t="s">
        <v>1668</v>
      </c>
      <c r="E32" s="2667">
        <v>7.0000000000000007E-2</v>
      </c>
      <c r="F32" s="2668" t="s">
        <v>2732</v>
      </c>
      <c r="G32" s="2962"/>
      <c r="H32" s="2962"/>
      <c r="K32" s="1685"/>
      <c r="L32" s="1685"/>
      <c r="M32" s="1685"/>
      <c r="N32" s="1685"/>
    </row>
    <row r="33" spans="1:14" ht="14.4">
      <c r="A33" s="2923" t="s">
        <v>1667</v>
      </c>
      <c r="B33" s="2655">
        <v>0.1</v>
      </c>
      <c r="D33" s="2930" t="s">
        <v>1670</v>
      </c>
      <c r="E33" s="2666">
        <v>0.03</v>
      </c>
      <c r="F33" s="1309" t="s">
        <v>1671</v>
      </c>
      <c r="G33" s="2962"/>
      <c r="H33" s="2962"/>
      <c r="K33" s="1685"/>
      <c r="L33" s="1685"/>
      <c r="M33" s="1685"/>
      <c r="N33" s="1685"/>
    </row>
    <row r="34" spans="1:14" s="2670" customFormat="1" ht="14.4">
      <c r="A34" s="2923" t="s">
        <v>1669</v>
      </c>
      <c r="B34" s="2951">
        <f>收益法!J54</f>
        <v>33</v>
      </c>
      <c r="D34" s="2930" t="s">
        <v>1672</v>
      </c>
      <c r="E34" s="2666">
        <v>0.02</v>
      </c>
      <c r="F34" s="1309" t="s">
        <v>1673</v>
      </c>
      <c r="G34" s="2962"/>
      <c r="H34" s="2962"/>
      <c r="I34" s="1685"/>
      <c r="J34" s="1685"/>
      <c r="K34" s="1685"/>
      <c r="L34" s="1685"/>
      <c r="M34" s="1685"/>
      <c r="N34" s="1685"/>
    </row>
    <row r="35" spans="1:14" s="2670" customFormat="1" ht="15" thickBot="1">
      <c r="A35" s="2930" t="str">
        <f>IF(B29="租赁期内按合同租金","剩余租赁期","——")</f>
        <v>——</v>
      </c>
      <c r="B35" s="2669"/>
      <c r="D35" s="2926" t="s">
        <v>1675</v>
      </c>
      <c r="E35" s="2672"/>
      <c r="F35" s="1312" t="s">
        <v>1676</v>
      </c>
      <c r="G35" s="2962"/>
      <c r="H35" s="2962"/>
      <c r="I35" s="1685"/>
      <c r="J35" s="1685"/>
      <c r="K35" s="1685"/>
      <c r="L35" s="1685"/>
      <c r="M35" s="1685"/>
      <c r="N35" s="1685"/>
    </row>
    <row r="36" spans="1:14" s="2670" customFormat="1" ht="14.4">
      <c r="A36" s="2952" t="s">
        <v>1674</v>
      </c>
      <c r="B36" s="2953"/>
      <c r="D36" s="2954" t="s">
        <v>1677</v>
      </c>
      <c r="E36" s="2674">
        <v>0.03</v>
      </c>
      <c r="F36" s="1311" t="s">
        <v>1678</v>
      </c>
      <c r="G36" s="2962"/>
      <c r="H36" s="2962"/>
      <c r="I36" s="1685"/>
      <c r="J36" s="1685"/>
      <c r="K36" s="1685"/>
      <c r="L36" s="1685"/>
      <c r="M36" s="1685"/>
      <c r="N36" s="1685"/>
    </row>
    <row r="37" spans="1:14" s="2670" customFormat="1" ht="15" thickBot="1">
      <c r="A37" s="2928" t="str">
        <f>IF(B29="租赁期内按合同租金","租金","——")</f>
        <v>——</v>
      </c>
      <c r="B37" s="2673"/>
      <c r="D37" s="2930" t="s">
        <v>1679</v>
      </c>
      <c r="E37" s="2666">
        <v>5.0000000000000001E-4</v>
      </c>
      <c r="F37" s="1311" t="s">
        <v>1680</v>
      </c>
      <c r="G37" s="2962"/>
      <c r="H37" s="2962"/>
      <c r="I37" s="1685"/>
      <c r="J37" s="1685"/>
      <c r="K37" s="1685"/>
      <c r="L37" s="1685"/>
      <c r="M37" s="1685"/>
      <c r="N37" s="1685"/>
    </row>
    <row r="38" spans="1:14" s="2670" customFormat="1" ht="14.4">
      <c r="A38" s="2923" t="str">
        <f>IF(B29="租赁期内按合同租金","年租金增长率","——")</f>
        <v>——</v>
      </c>
      <c r="B38" s="2655"/>
      <c r="D38" s="2955" t="s">
        <v>1681</v>
      </c>
      <c r="E38" s="2956">
        <v>1.2E-2</v>
      </c>
      <c r="F38" s="1311"/>
      <c r="G38" s="2961"/>
      <c r="H38" s="2961"/>
      <c r="I38" s="2962"/>
      <c r="J38" s="1685"/>
      <c r="K38" s="1685"/>
      <c r="L38" s="1685"/>
      <c r="M38" s="1685"/>
      <c r="N38" s="1685"/>
    </row>
    <row r="39" spans="1:14" s="2670" customFormat="1" ht="15" thickBot="1">
      <c r="A39" s="2923" t="str">
        <f>IF(B29="租赁期内按合同租金","空置率","——")</f>
        <v>——</v>
      </c>
      <c r="B39" s="2655"/>
      <c r="D39" s="2926" t="s">
        <v>1682</v>
      </c>
      <c r="E39" s="2957">
        <v>0.12</v>
      </c>
      <c r="F39" s="1311"/>
      <c r="G39" s="2962"/>
      <c r="H39" s="2962"/>
      <c r="I39" s="1685"/>
      <c r="J39" s="1685"/>
      <c r="K39" s="1685"/>
      <c r="L39" s="1685"/>
      <c r="M39" s="1685"/>
      <c r="N39" s="1685"/>
    </row>
    <row r="40" spans="1:14" ht="14.4">
      <c r="A40" s="2923" t="str">
        <f>IF(B29="租赁期内按合同租金","成新率","——")</f>
        <v>——</v>
      </c>
      <c r="B40" s="2655"/>
      <c r="D40" s="2955" t="s">
        <v>1683</v>
      </c>
      <c r="E40" s="2959">
        <f>SUMIF(D42:D51,E41,E42:E51)</f>
        <v>3</v>
      </c>
      <c r="F40" s="1311"/>
      <c r="G40" s="2962"/>
      <c r="H40" s="2962"/>
      <c r="I40" s="1685"/>
      <c r="J40" s="1685"/>
      <c r="K40" s="1685"/>
      <c r="L40" s="1685"/>
      <c r="M40" s="1685"/>
      <c r="N40" s="1685"/>
    </row>
    <row r="41" spans="1:14" ht="15" thickBot="1">
      <c r="A41" s="2930" t="str">
        <f>IF(B29="租赁期内按合同租金","租赁期外收益期","——")</f>
        <v>——</v>
      </c>
      <c r="B41" s="2958" t="str">
        <f>IF(B29="租赁期内按合同租金",B34-B35,"——")</f>
        <v>——</v>
      </c>
      <c r="D41" s="2923" t="s">
        <v>1685</v>
      </c>
      <c r="E41" s="2676" t="s">
        <v>480</v>
      </c>
      <c r="F41" s="1311" t="s">
        <v>1686</v>
      </c>
      <c r="G41" s="1772" t="s">
        <v>1687</v>
      </c>
      <c r="H41" s="2962"/>
      <c r="I41" s="1685"/>
      <c r="J41" s="1685"/>
      <c r="K41" s="1685"/>
      <c r="L41" s="1685"/>
      <c r="M41" s="1685"/>
      <c r="N41" s="1685"/>
    </row>
    <row r="42" spans="1:14" ht="14.4">
      <c r="A42" s="2922" t="s">
        <v>1684</v>
      </c>
      <c r="B42" s="2675"/>
      <c r="D42" s="2678" t="s">
        <v>1689</v>
      </c>
      <c r="E42" s="2665"/>
      <c r="F42" s="1311">
        <v>30</v>
      </c>
      <c r="G42" s="2962"/>
      <c r="H42" s="2962"/>
      <c r="I42" s="1685"/>
      <c r="J42" s="1685"/>
      <c r="K42" s="1685"/>
      <c r="L42" s="1685"/>
      <c r="M42" s="1685"/>
      <c r="N42" s="1685"/>
    </row>
    <row r="43" spans="1:14" ht="14.4">
      <c r="A43" s="2923" t="s">
        <v>1688</v>
      </c>
      <c r="B43" s="2677">
        <v>365</v>
      </c>
      <c r="D43" s="2678" t="s">
        <v>1691</v>
      </c>
      <c r="E43" s="2665"/>
      <c r="F43" s="1311">
        <v>24</v>
      </c>
      <c r="G43" s="2962"/>
      <c r="H43" s="2962"/>
      <c r="I43" s="1685"/>
      <c r="J43" s="1685"/>
      <c r="K43" s="1685"/>
      <c r="L43" s="1685"/>
      <c r="M43" s="1685"/>
      <c r="N43" s="1685"/>
    </row>
    <row r="44" spans="1:14" ht="14.4">
      <c r="A44" s="2923" t="s">
        <v>1690</v>
      </c>
      <c r="B44" s="2665"/>
      <c r="D44" s="2678" t="s">
        <v>1693</v>
      </c>
      <c r="E44" s="2665"/>
      <c r="F44" s="1311">
        <v>18</v>
      </c>
      <c r="G44" s="2670"/>
      <c r="H44" s="2670"/>
      <c r="I44" s="2962"/>
      <c r="J44" s="1685"/>
      <c r="K44" s="1685"/>
      <c r="L44" s="1685"/>
      <c r="M44" s="1685"/>
      <c r="N44" s="1685"/>
    </row>
    <row r="45" spans="1:14" ht="14.4">
      <c r="A45" s="2923" t="s">
        <v>1692</v>
      </c>
      <c r="B45" s="2679">
        <v>1.4999999999999999E-2</v>
      </c>
      <c r="C45" s="2563" t="s">
        <v>2844</v>
      </c>
      <c r="D45" s="2678" t="s">
        <v>1695</v>
      </c>
      <c r="E45" s="2665"/>
      <c r="F45" s="1311">
        <v>12</v>
      </c>
      <c r="G45" s="2670"/>
      <c r="H45" s="2670"/>
      <c r="M45" s="1685"/>
      <c r="N45" s="1685"/>
    </row>
    <row r="46" spans="1:14" ht="14.4">
      <c r="A46" s="2923" t="s">
        <v>1694</v>
      </c>
      <c r="B46" s="2680">
        <v>1.5E-3</v>
      </c>
      <c r="C46" s="2563" t="s">
        <v>2842</v>
      </c>
      <c r="D46" s="2678" t="s">
        <v>1457</v>
      </c>
      <c r="E46" s="2665">
        <v>3</v>
      </c>
      <c r="F46" s="1311">
        <v>3</v>
      </c>
      <c r="G46" s="2670"/>
      <c r="H46" s="2670"/>
      <c r="M46" s="1685"/>
      <c r="N46" s="1685"/>
    </row>
    <row r="47" spans="1:14" ht="15" thickBot="1">
      <c r="A47" s="2926" t="s">
        <v>1696</v>
      </c>
      <c r="B47" s="3168">
        <v>1.4999999999999999E-2</v>
      </c>
      <c r="C47" s="2563" t="s">
        <v>2843</v>
      </c>
      <c r="D47" s="2678" t="s">
        <v>1697</v>
      </c>
      <c r="E47" s="2665"/>
      <c r="F47" s="1311">
        <v>1.5</v>
      </c>
      <c r="G47" s="2670"/>
      <c r="H47" s="2670"/>
      <c r="M47" s="1685"/>
      <c r="N47" s="1685"/>
    </row>
    <row r="48" spans="1:14" ht="14.4">
      <c r="A48" s="2670"/>
      <c r="B48" s="2670"/>
      <c r="D48" s="2678" t="s">
        <v>1698</v>
      </c>
      <c r="E48" s="2665"/>
      <c r="F48" s="1311"/>
      <c r="G48" s="2670"/>
      <c r="H48" s="2670"/>
      <c r="M48" s="1685"/>
      <c r="N48" s="1685"/>
    </row>
    <row r="49" spans="1:41" ht="14.4">
      <c r="A49" s="2670"/>
      <c r="B49" s="2670"/>
      <c r="D49" s="2678" t="s">
        <v>1699</v>
      </c>
      <c r="E49" s="2665"/>
      <c r="F49" s="1311"/>
      <c r="G49" s="2670"/>
      <c r="H49" s="2670"/>
      <c r="M49" s="1685"/>
      <c r="N49" s="1685"/>
    </row>
    <row r="50" spans="1:41" ht="14.4">
      <c r="A50" s="2670"/>
      <c r="B50" s="2670"/>
      <c r="D50" s="2678" t="s">
        <v>1700</v>
      </c>
      <c r="E50" s="2665"/>
      <c r="F50" s="1311"/>
      <c r="G50" s="2670"/>
      <c r="H50" s="2670"/>
      <c r="M50" s="1685"/>
      <c r="N50" s="1685"/>
    </row>
    <row r="51" spans="1:41" s="947" customFormat="1" ht="15" thickBot="1">
      <c r="A51" s="2670"/>
      <c r="B51" s="2670"/>
      <c r="C51" s="2670"/>
      <c r="D51" s="2681" t="s">
        <v>1701</v>
      </c>
      <c r="E51" s="2682"/>
      <c r="F51" s="1311"/>
      <c r="G51" s="2670"/>
      <c r="H51" s="2670"/>
      <c r="I51" s="2670"/>
      <c r="J51" s="2670"/>
      <c r="K51" s="2670"/>
      <c r="L51" s="2670"/>
      <c r="M51" s="1685"/>
      <c r="N51" s="1685"/>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3.8">
      <c r="D52" s="2962"/>
      <c r="E52" s="2962"/>
      <c r="F52" s="2962"/>
      <c r="G52" s="2962"/>
      <c r="H52" s="2962"/>
      <c r="I52" s="1685"/>
      <c r="J52" s="1685"/>
      <c r="K52" s="1685"/>
      <c r="L52" s="1685"/>
      <c r="M52" s="1685"/>
      <c r="N52" s="1685"/>
    </row>
    <row r="53" spans="1:41" s="2670" customFormat="1" ht="13.8">
      <c r="D53" s="2962"/>
      <c r="E53" s="2962"/>
      <c r="F53" s="2962"/>
      <c r="G53" s="2962"/>
      <c r="H53" s="2962"/>
      <c r="I53" s="1685"/>
      <c r="J53" s="1685"/>
      <c r="K53" s="1685"/>
      <c r="L53" s="1685"/>
      <c r="M53" s="1685"/>
      <c r="N53" s="1685"/>
    </row>
    <row r="54" spans="1:41" s="2670" customFormat="1" ht="13.8">
      <c r="D54" s="2962"/>
      <c r="E54" s="2962"/>
      <c r="F54" s="2962"/>
      <c r="G54" s="2962"/>
      <c r="H54" s="2962"/>
      <c r="I54" s="1685"/>
      <c r="J54" s="1685"/>
      <c r="K54" s="1685"/>
      <c r="L54" s="1685"/>
      <c r="M54" s="1685"/>
      <c r="N54" s="1685"/>
    </row>
    <row r="55" spans="1:41" s="2670" customFormat="1" ht="13.8">
      <c r="D55" s="2962"/>
      <c r="E55" s="2962"/>
      <c r="F55" s="2962"/>
      <c r="G55" s="2962"/>
      <c r="H55" s="2962"/>
      <c r="I55" s="1685"/>
      <c r="J55" s="1685"/>
      <c r="K55" s="1685"/>
      <c r="L55" s="1685"/>
      <c r="M55" s="1685"/>
      <c r="N55" s="1685"/>
    </row>
    <row r="56" spans="1:41" s="2670" customFormat="1" ht="13.8">
      <c r="D56" s="2962"/>
      <c r="E56" s="2962"/>
      <c r="F56" s="2962"/>
      <c r="G56" s="2962"/>
      <c r="H56" s="2962"/>
      <c r="I56" s="1685"/>
      <c r="J56" s="1685"/>
      <c r="K56" s="1685"/>
      <c r="L56" s="1685"/>
      <c r="M56" s="1685"/>
      <c r="N56" s="1685"/>
    </row>
    <row r="57" spans="1:41" s="2670" customFormat="1" ht="13.8">
      <c r="D57" s="2962"/>
      <c r="E57" s="2962"/>
      <c r="F57" s="2962"/>
      <c r="G57" s="2962"/>
      <c r="H57" s="2962"/>
      <c r="I57" s="1685"/>
      <c r="J57" s="1685"/>
      <c r="K57" s="1685"/>
      <c r="L57" s="1685"/>
      <c r="M57" s="1685"/>
      <c r="N57" s="1685"/>
    </row>
    <row r="58" spans="1:41" s="2670" customFormat="1" ht="13.8">
      <c r="D58" s="2962"/>
      <c r="E58" s="2962"/>
      <c r="F58" s="2962"/>
      <c r="G58" s="2962"/>
      <c r="H58" s="2962"/>
      <c r="I58" s="1685"/>
      <c r="J58" s="1685"/>
      <c r="K58" s="1685"/>
      <c r="L58" s="1685"/>
      <c r="M58" s="1685"/>
      <c r="N58" s="1685"/>
    </row>
    <row r="59" spans="1:41" s="2670" customFormat="1" ht="13.8">
      <c r="D59" s="2962"/>
      <c r="E59" s="2962"/>
      <c r="F59" s="2962"/>
      <c r="G59" s="2962"/>
      <c r="H59" s="2962"/>
      <c r="I59" s="1685"/>
      <c r="J59" s="1685"/>
      <c r="K59" s="1685"/>
      <c r="L59" s="1685"/>
      <c r="M59" s="2963"/>
      <c r="N59" s="1685"/>
    </row>
    <row r="60" spans="1:41" s="2670" customFormat="1" ht="13.8">
      <c r="D60" s="2962"/>
      <c r="E60" s="2962"/>
      <c r="F60" s="2962"/>
      <c r="G60" s="2962"/>
      <c r="H60" s="2962"/>
      <c r="I60" s="1685"/>
      <c r="J60" s="1685"/>
      <c r="K60" s="1685"/>
      <c r="L60" s="1685"/>
      <c r="M60" s="1685"/>
      <c r="N60" s="1685"/>
    </row>
    <row r="61" spans="1:41" s="2670" customFormat="1" ht="13.8">
      <c r="D61" s="2962"/>
      <c r="E61" s="2962"/>
      <c r="F61" s="2962"/>
      <c r="G61" s="2962"/>
      <c r="H61" s="2962"/>
      <c r="I61" s="1685"/>
      <c r="J61" s="1685"/>
      <c r="K61" s="1685"/>
      <c r="L61" s="1685"/>
      <c r="M61" s="1685"/>
      <c r="N61" s="1685"/>
    </row>
    <row r="62" spans="1:41" s="2670" customFormat="1" ht="13.8">
      <c r="D62" s="2962"/>
      <c r="E62" s="2962"/>
      <c r="F62" s="2962"/>
      <c r="G62" s="2962"/>
      <c r="H62" s="2962"/>
      <c r="I62" s="1685"/>
      <c r="J62" s="1685"/>
      <c r="K62" s="1685"/>
      <c r="L62" s="1685"/>
      <c r="M62" s="1685"/>
      <c r="N62" s="1685"/>
    </row>
    <row r="63" spans="1:41" s="2670" customFormat="1" ht="13.8">
      <c r="D63" s="2962"/>
      <c r="E63" s="2962"/>
      <c r="F63" s="2962"/>
      <c r="G63" s="2962"/>
      <c r="H63" s="2962"/>
      <c r="I63" s="1685"/>
      <c r="J63" s="1685"/>
      <c r="K63" s="1685"/>
      <c r="L63" s="1685"/>
      <c r="M63" s="1685"/>
      <c r="N63" s="1685"/>
    </row>
    <row r="64" spans="1:41" s="2670" customFormat="1" ht="13.8">
      <c r="D64" s="2962"/>
      <c r="E64" s="2962"/>
      <c r="F64" s="2962"/>
      <c r="G64" s="2962"/>
      <c r="H64" s="2962"/>
      <c r="I64" s="1685"/>
      <c r="J64" s="1685"/>
      <c r="K64" s="1685"/>
      <c r="L64" s="1685"/>
      <c r="M64" s="1685"/>
      <c r="N64" s="1685"/>
    </row>
    <row r="65" spans="1:14" s="2670" customFormat="1" ht="13.8">
      <c r="D65" s="2962"/>
      <c r="E65" s="2962"/>
      <c r="F65" s="2962"/>
      <c r="G65" s="2962"/>
      <c r="H65" s="2962"/>
      <c r="I65" s="1685"/>
      <c r="J65" s="1685"/>
      <c r="K65" s="1685"/>
      <c r="L65" s="1685"/>
      <c r="M65" s="1685"/>
      <c r="N65" s="1685"/>
    </row>
    <row r="66" spans="1:14" s="2670" customFormat="1" ht="13.8">
      <c r="D66" s="2962"/>
      <c r="E66" s="2962"/>
      <c r="F66" s="2962"/>
      <c r="G66" s="2962"/>
      <c r="H66" s="2962"/>
      <c r="I66" s="1685"/>
      <c r="J66" s="1685"/>
      <c r="K66" s="1685"/>
      <c r="L66" s="1685"/>
      <c r="M66" s="1685"/>
      <c r="N66" s="1685"/>
    </row>
    <row r="67" spans="1:14" s="2670" customFormat="1" ht="13.8">
      <c r="A67" s="2966"/>
      <c r="D67" s="2962"/>
      <c r="E67" s="2962"/>
      <c r="F67" s="2962"/>
      <c r="G67" s="2962"/>
      <c r="H67" s="2962"/>
      <c r="I67" s="1685"/>
      <c r="J67" s="1685"/>
      <c r="K67" s="1685"/>
      <c r="L67" s="1685"/>
      <c r="M67" s="1685"/>
      <c r="N67" s="1685"/>
    </row>
    <row r="68" spans="1:14" s="2670" customFormat="1" ht="13.8">
      <c r="A68" s="2966"/>
      <c r="D68" s="2962"/>
      <c r="E68" s="2962"/>
      <c r="F68" s="2962"/>
      <c r="G68" s="2961"/>
      <c r="H68" s="2961"/>
    </row>
    <row r="69" spans="1:14" s="2670" customFormat="1">
      <c r="A69" s="2966"/>
      <c r="D69" s="2961"/>
      <c r="E69" s="2961"/>
      <c r="F69" s="2961"/>
      <c r="G69" s="2961"/>
      <c r="H69" s="2961"/>
    </row>
    <row r="70" spans="1:14" s="2670" customFormat="1">
      <c r="A70" s="2966"/>
      <c r="D70" s="2961"/>
      <c r="E70" s="2961"/>
      <c r="F70" s="2961"/>
      <c r="G70" s="2961"/>
      <c r="H70" s="2961"/>
    </row>
    <row r="71" spans="1:14" s="2670" customFormat="1">
      <c r="A71" s="2966"/>
      <c r="D71" s="2961"/>
      <c r="E71" s="2961"/>
      <c r="F71" s="2961"/>
      <c r="G71" s="2961"/>
      <c r="H71" s="2961"/>
    </row>
    <row r="72" spans="1:14" s="2670" customFormat="1">
      <c r="A72" s="2966"/>
      <c r="D72" s="2961"/>
      <c r="E72" s="2961"/>
      <c r="F72" s="2961"/>
      <c r="G72" s="2961"/>
      <c r="H72" s="2961"/>
    </row>
    <row r="73" spans="1:14" s="2670" customFormat="1">
      <c r="A73" s="2966"/>
      <c r="D73" s="2961"/>
      <c r="E73" s="2961"/>
      <c r="F73" s="2961"/>
      <c r="G73" s="2961"/>
      <c r="H73" s="2961"/>
    </row>
    <row r="74" spans="1:14" s="2670" customFormat="1">
      <c r="A74" s="2966"/>
      <c r="D74" s="2961"/>
      <c r="E74" s="2961"/>
      <c r="F74" s="2961"/>
      <c r="G74" s="2961"/>
      <c r="H74" s="2961"/>
    </row>
    <row r="75" spans="1:14" s="2670" customFormat="1">
      <c r="A75" s="2966"/>
      <c r="D75" s="2961"/>
      <c r="E75" s="2961"/>
      <c r="F75" s="2961"/>
      <c r="G75" s="2961"/>
      <c r="H75" s="2961"/>
    </row>
    <row r="76" spans="1:14" s="2670" customFormat="1">
      <c r="A76" s="2966"/>
      <c r="D76" s="2961"/>
      <c r="E76" s="2961"/>
      <c r="F76" s="2961"/>
      <c r="G76" s="2961"/>
      <c r="H76" s="2961"/>
    </row>
    <row r="77" spans="1:14" s="2670" customFormat="1">
      <c r="A77" s="2966"/>
      <c r="D77" s="2961"/>
      <c r="E77" s="2961"/>
      <c r="F77" s="2961"/>
      <c r="G77" s="2961"/>
      <c r="H77" s="2961"/>
    </row>
    <row r="78" spans="1:14" s="2670" customFormat="1">
      <c r="A78" s="2966"/>
      <c r="D78" s="2961"/>
      <c r="E78" s="2961"/>
      <c r="F78" s="2961"/>
      <c r="G78" s="2961"/>
      <c r="H78" s="2961"/>
    </row>
    <row r="79" spans="1:14" s="2670" customFormat="1">
      <c r="A79" s="2966"/>
      <c r="D79" s="2961"/>
      <c r="E79" s="2961"/>
      <c r="F79" s="2961"/>
      <c r="G79" s="2961"/>
      <c r="H79" s="2961"/>
    </row>
    <row r="80" spans="1:14" s="2670" customFormat="1">
      <c r="A80" s="2966"/>
      <c r="D80" s="2961"/>
      <c r="E80" s="2961"/>
      <c r="F80" s="2961"/>
      <c r="G80" s="2961"/>
      <c r="H80" s="2961"/>
    </row>
    <row r="81" spans="1:8" s="2670" customFormat="1">
      <c r="A81" s="2966"/>
      <c r="D81" s="2961"/>
      <c r="E81" s="2961"/>
      <c r="F81" s="2961"/>
      <c r="G81" s="2961"/>
      <c r="H81" s="2961"/>
    </row>
    <row r="82" spans="1:8" s="2670" customFormat="1">
      <c r="A82" s="2966"/>
      <c r="D82" s="2961"/>
      <c r="E82" s="2961"/>
      <c r="F82" s="2961"/>
      <c r="G82" s="2961"/>
      <c r="H82" s="2961"/>
    </row>
    <row r="83" spans="1:8" s="2670" customFormat="1">
      <c r="A83" s="2966"/>
      <c r="D83" s="2961"/>
      <c r="E83" s="2961"/>
      <c r="F83" s="2961"/>
      <c r="G83" s="2961"/>
      <c r="H83" s="2961"/>
    </row>
    <row r="84" spans="1:8" s="2670" customFormat="1">
      <c r="A84" s="2966"/>
      <c r="D84" s="2961"/>
      <c r="E84" s="2961"/>
      <c r="F84" s="2961"/>
      <c r="G84" s="2961"/>
      <c r="H84" s="2961"/>
    </row>
    <row r="85" spans="1:8" s="2670" customFormat="1">
      <c r="A85" s="2966"/>
      <c r="D85" s="2961"/>
      <c r="E85" s="2961"/>
      <c r="F85" s="2961"/>
      <c r="G85" s="2961"/>
      <c r="H85" s="2961"/>
    </row>
    <row r="86" spans="1:8" s="2670" customFormat="1">
      <c r="A86" s="2966"/>
      <c r="D86" s="2961"/>
      <c r="E86" s="2961"/>
      <c r="F86" s="2961"/>
      <c r="G86" s="2961"/>
      <c r="H86" s="2961"/>
    </row>
    <row r="87" spans="1:8" s="2670" customFormat="1">
      <c r="A87" s="2966"/>
      <c r="D87" s="2961"/>
      <c r="E87" s="2961"/>
      <c r="F87" s="2961"/>
      <c r="G87" s="2961"/>
      <c r="H87" s="2961"/>
    </row>
    <row r="88" spans="1:8" s="2670" customFormat="1">
      <c r="A88" s="2966"/>
      <c r="D88" s="2961"/>
      <c r="E88" s="2961"/>
      <c r="F88" s="2961"/>
      <c r="G88" s="2961"/>
      <c r="H88" s="2961"/>
    </row>
    <row r="89" spans="1:8" s="2670" customFormat="1">
      <c r="A89" s="2966"/>
      <c r="D89" s="2961"/>
      <c r="E89" s="2961"/>
      <c r="F89" s="2961"/>
      <c r="G89" s="2961"/>
      <c r="H89" s="2961"/>
    </row>
    <row r="90" spans="1:8" s="2670" customFormat="1">
      <c r="A90" s="2966"/>
      <c r="D90" s="2961"/>
      <c r="E90" s="2961"/>
      <c r="F90" s="2961"/>
      <c r="G90" s="2961"/>
      <c r="H90" s="2961"/>
    </row>
    <row r="91" spans="1:8" s="2670" customFormat="1">
      <c r="A91" s="2966"/>
      <c r="D91" s="2961"/>
      <c r="E91" s="2961"/>
      <c r="F91" s="2961"/>
      <c r="G91" s="2961"/>
      <c r="H91" s="2961"/>
    </row>
    <row r="92" spans="1:8" s="2670" customFormat="1">
      <c r="A92" s="2966"/>
      <c r="D92" s="2961"/>
      <c r="E92" s="2961"/>
      <c r="F92" s="2961"/>
      <c r="G92" s="2961"/>
      <c r="H92" s="2961"/>
    </row>
    <row r="93" spans="1:8" s="2670" customFormat="1">
      <c r="A93" s="2966"/>
      <c r="D93" s="2961"/>
      <c r="E93" s="2961"/>
      <c r="F93" s="2961"/>
      <c r="G93" s="2961"/>
      <c r="H93" s="2961"/>
    </row>
    <row r="94" spans="1:8" s="2670" customFormat="1">
      <c r="A94" s="2966"/>
      <c r="D94" s="2961"/>
      <c r="E94" s="2961"/>
      <c r="F94" s="2961"/>
      <c r="G94" s="2961"/>
      <c r="H94" s="2961"/>
    </row>
    <row r="95" spans="1:8" s="2670" customFormat="1">
      <c r="A95" s="2966"/>
      <c r="D95" s="2961"/>
      <c r="E95" s="2961"/>
      <c r="F95" s="2961"/>
      <c r="G95" s="2961"/>
      <c r="H95" s="2961"/>
    </row>
    <row r="96" spans="1:8" s="2670" customFormat="1">
      <c r="A96" s="2966"/>
      <c r="D96" s="2961"/>
      <c r="E96" s="2961"/>
      <c r="F96" s="2961"/>
      <c r="G96" s="2961"/>
      <c r="H96" s="2961"/>
    </row>
    <row r="97" spans="1:8" s="2670" customFormat="1">
      <c r="A97" s="2966"/>
      <c r="D97" s="2961"/>
      <c r="E97" s="2961"/>
      <c r="F97" s="2961"/>
      <c r="G97" s="2961"/>
      <c r="H97" s="2961"/>
    </row>
    <row r="98" spans="1:8" s="2670" customFormat="1">
      <c r="A98" s="2966"/>
      <c r="D98" s="2961"/>
      <c r="E98" s="2961"/>
      <c r="F98" s="2961"/>
      <c r="G98" s="2961"/>
      <c r="H98" s="2961"/>
    </row>
    <row r="99" spans="1:8" s="2670" customFormat="1">
      <c r="A99" s="2966"/>
      <c r="D99" s="2961"/>
      <c r="E99" s="2961"/>
      <c r="F99" s="2961"/>
      <c r="G99" s="2961"/>
      <c r="H99" s="2961"/>
    </row>
    <row r="100" spans="1:8" s="2670" customFormat="1">
      <c r="A100" s="2966"/>
      <c r="D100" s="2961"/>
      <c r="E100" s="2961"/>
      <c r="F100" s="2961"/>
      <c r="G100" s="2961"/>
      <c r="H100" s="2961"/>
    </row>
    <row r="101" spans="1:8" s="2670" customFormat="1">
      <c r="A101" s="2966"/>
      <c r="D101" s="2961"/>
      <c r="E101" s="2961"/>
      <c r="F101" s="2961"/>
      <c r="G101" s="2961"/>
      <c r="H101" s="2961"/>
    </row>
    <row r="102" spans="1:8" s="2670" customFormat="1">
      <c r="A102" s="2966"/>
      <c r="D102" s="2961"/>
      <c r="E102" s="2961"/>
      <c r="F102" s="2961"/>
      <c r="G102" s="2961"/>
      <c r="H102" s="2961"/>
    </row>
    <row r="103" spans="1:8" s="2670" customFormat="1">
      <c r="A103" s="2966"/>
      <c r="D103" s="2961"/>
      <c r="E103" s="2961"/>
      <c r="F103" s="2961"/>
      <c r="G103" s="2961"/>
      <c r="H103" s="2961"/>
    </row>
    <row r="104" spans="1:8" s="2670" customFormat="1">
      <c r="A104" s="2966"/>
      <c r="D104" s="2961"/>
      <c r="E104" s="2961"/>
      <c r="F104" s="2961"/>
      <c r="G104" s="2961"/>
      <c r="H104" s="2961"/>
    </row>
    <row r="105" spans="1:8" s="2670" customFormat="1">
      <c r="A105" s="2966"/>
      <c r="D105" s="2961"/>
      <c r="E105" s="2961"/>
      <c r="F105" s="2961"/>
      <c r="G105" s="2961"/>
      <c r="H105" s="2961"/>
    </row>
    <row r="106" spans="1:8" s="2670" customFormat="1">
      <c r="A106" s="2966"/>
      <c r="D106" s="2961"/>
      <c r="E106" s="2961"/>
      <c r="F106" s="2961"/>
      <c r="G106" s="2961"/>
      <c r="H106" s="2961"/>
    </row>
    <row r="107" spans="1:8" s="2670" customFormat="1">
      <c r="A107" s="2966"/>
      <c r="D107" s="2961"/>
      <c r="E107" s="2961"/>
      <c r="F107" s="2961"/>
      <c r="G107" s="2961"/>
      <c r="H107" s="2961"/>
    </row>
    <row r="108" spans="1:8" s="2670" customFormat="1">
      <c r="A108" s="2966"/>
      <c r="D108" s="2961"/>
      <c r="E108" s="2961"/>
      <c r="F108" s="2961"/>
      <c r="G108" s="2961"/>
      <c r="H108" s="2961"/>
    </row>
    <row r="109" spans="1:8" s="2670" customFormat="1">
      <c r="A109" s="2966"/>
      <c r="D109" s="2961"/>
      <c r="E109" s="2961"/>
      <c r="F109" s="2961"/>
      <c r="G109" s="2961"/>
      <c r="H109" s="2961"/>
    </row>
    <row r="110" spans="1:8" s="2670" customFormat="1">
      <c r="A110" s="2966"/>
      <c r="D110" s="2961"/>
      <c r="E110" s="2961"/>
      <c r="F110" s="2961"/>
      <c r="G110" s="2961"/>
      <c r="H110" s="2961"/>
    </row>
    <row r="111" spans="1:8" s="2670" customFormat="1">
      <c r="A111" s="2966"/>
      <c r="D111" s="2961"/>
      <c r="E111" s="2961"/>
      <c r="F111" s="2961"/>
      <c r="G111" s="2961"/>
      <c r="H111" s="2961"/>
    </row>
    <row r="112" spans="1:8" s="2670" customFormat="1">
      <c r="A112" s="2966"/>
      <c r="D112" s="2961"/>
      <c r="E112" s="2961"/>
      <c r="F112" s="2961"/>
      <c r="G112" s="2961"/>
      <c r="H112" s="2961"/>
    </row>
    <row r="113" spans="1:8" s="2670" customFormat="1">
      <c r="A113" s="2966"/>
      <c r="D113" s="2961"/>
      <c r="E113" s="2961"/>
      <c r="F113" s="2961"/>
      <c r="G113" s="2961"/>
      <c r="H113" s="2961"/>
    </row>
    <row r="114" spans="1:8" s="2670" customFormat="1">
      <c r="A114" s="2966"/>
      <c r="D114" s="2961"/>
      <c r="E114" s="2961"/>
      <c r="F114" s="2961"/>
      <c r="G114" s="2961"/>
      <c r="H114" s="2961"/>
    </row>
    <row r="115" spans="1:8" s="2670" customFormat="1">
      <c r="A115" s="2966"/>
      <c r="D115" s="2961"/>
      <c r="E115" s="2961"/>
      <c r="F115" s="2961"/>
      <c r="G115" s="2961"/>
      <c r="H115" s="2961"/>
    </row>
    <row r="116" spans="1:8" s="2670" customFormat="1">
      <c r="A116" s="2966"/>
      <c r="D116" s="2961"/>
      <c r="E116" s="2961"/>
      <c r="F116" s="2961"/>
      <c r="G116" s="2961"/>
      <c r="H116" s="2961"/>
    </row>
    <row r="117" spans="1:8" s="2670" customFormat="1">
      <c r="A117" s="2966"/>
      <c r="D117" s="2961"/>
      <c r="E117" s="2961"/>
      <c r="F117" s="2961"/>
      <c r="G117" s="2961"/>
      <c r="H117" s="2961"/>
    </row>
    <row r="118" spans="1:8" s="2670" customFormat="1">
      <c r="A118" s="2966"/>
      <c r="D118" s="2961"/>
      <c r="E118" s="2961"/>
      <c r="F118" s="2961"/>
      <c r="G118" s="2961"/>
      <c r="H118" s="2961"/>
    </row>
    <row r="119" spans="1:8" s="2670" customFormat="1">
      <c r="A119" s="2966"/>
      <c r="D119" s="2961"/>
      <c r="E119" s="2961"/>
      <c r="F119" s="2961"/>
      <c r="G119" s="2961"/>
      <c r="H119" s="2961"/>
    </row>
    <row r="120" spans="1:8" s="2670" customFormat="1">
      <c r="A120" s="2966"/>
      <c r="D120" s="2961"/>
      <c r="E120" s="2961"/>
      <c r="F120" s="2961"/>
      <c r="G120" s="2961"/>
      <c r="H120" s="2961"/>
    </row>
    <row r="121" spans="1:8" s="2670" customFormat="1">
      <c r="A121" s="2966"/>
      <c r="D121" s="2961"/>
      <c r="E121" s="2961"/>
      <c r="F121" s="2961"/>
      <c r="G121" s="2961"/>
      <c r="H121" s="2961"/>
    </row>
    <row r="122" spans="1:8" s="2670" customFormat="1">
      <c r="A122" s="2966"/>
      <c r="D122" s="2961"/>
      <c r="E122" s="2961"/>
      <c r="F122" s="2961"/>
      <c r="G122" s="2961"/>
      <c r="H122" s="2961"/>
    </row>
    <row r="123" spans="1:8" s="2670" customFormat="1">
      <c r="A123" s="2966"/>
      <c r="D123" s="2961"/>
      <c r="E123" s="2961"/>
      <c r="F123" s="2961"/>
      <c r="G123" s="2961"/>
      <c r="H123" s="2961"/>
    </row>
    <row r="124" spans="1:8" s="2670" customFormat="1">
      <c r="A124" s="2966"/>
      <c r="D124" s="2961"/>
      <c r="E124" s="2961"/>
      <c r="F124" s="2961"/>
      <c r="G124" s="2961"/>
      <c r="H124" s="2961"/>
    </row>
    <row r="125" spans="1:8" s="2670" customFormat="1">
      <c r="A125" s="2966"/>
      <c r="D125" s="2961"/>
      <c r="E125" s="2961"/>
      <c r="F125" s="2961"/>
      <c r="G125" s="2961"/>
      <c r="H125" s="2961"/>
    </row>
    <row r="126" spans="1:8" s="2670" customFormat="1">
      <c r="A126" s="2966"/>
      <c r="D126" s="2961"/>
      <c r="E126" s="2961"/>
      <c r="F126" s="2961"/>
      <c r="G126" s="2961"/>
      <c r="H126" s="2961"/>
    </row>
    <row r="127" spans="1:8" s="2670" customFormat="1">
      <c r="A127" s="2966"/>
      <c r="D127" s="2961"/>
      <c r="E127" s="2961"/>
      <c r="F127" s="2961"/>
      <c r="G127" s="2961"/>
      <c r="H127" s="2961"/>
    </row>
    <row r="128" spans="1:8" s="2670" customFormat="1">
      <c r="A128" s="2966"/>
      <c r="D128" s="2961"/>
      <c r="E128" s="2961"/>
      <c r="F128" s="2961"/>
      <c r="G128" s="2961"/>
      <c r="H128" s="2961"/>
    </row>
    <row r="129" spans="1:8" s="2670" customFormat="1">
      <c r="A129" s="2966"/>
      <c r="D129" s="2961"/>
      <c r="E129" s="2961"/>
      <c r="F129" s="2961"/>
      <c r="G129" s="2961"/>
      <c r="H129" s="2961"/>
    </row>
    <row r="130" spans="1:8" s="2670" customFormat="1">
      <c r="A130" s="2966"/>
      <c r="D130" s="2961"/>
      <c r="E130" s="2961"/>
      <c r="F130" s="2961"/>
      <c r="G130" s="2961"/>
      <c r="H130" s="2961"/>
    </row>
    <row r="131" spans="1:8" s="2670" customFormat="1">
      <c r="A131" s="2966"/>
      <c r="D131" s="2961"/>
      <c r="E131" s="2961"/>
      <c r="F131" s="2961"/>
      <c r="G131" s="2961"/>
      <c r="H131" s="2961"/>
    </row>
    <row r="132" spans="1:8" s="2670" customFormat="1">
      <c r="A132" s="2966"/>
      <c r="D132" s="2961"/>
      <c r="E132" s="2961"/>
      <c r="F132" s="2961"/>
      <c r="G132" s="2961"/>
      <c r="H132" s="2961"/>
    </row>
    <row r="133" spans="1:8" s="2670" customFormat="1">
      <c r="A133" s="2966"/>
      <c r="D133" s="2961"/>
      <c r="E133" s="2961"/>
      <c r="F133" s="2961"/>
      <c r="G133" s="2961"/>
      <c r="H133" s="2961"/>
    </row>
    <row r="134" spans="1:8" s="2670" customFormat="1">
      <c r="A134" s="2966"/>
      <c r="D134" s="2961"/>
      <c r="E134" s="2961"/>
      <c r="F134" s="2961"/>
      <c r="G134" s="2961"/>
      <c r="H134" s="2961"/>
    </row>
    <row r="135" spans="1:8" s="2670" customFormat="1">
      <c r="A135" s="2966"/>
      <c r="D135" s="2961"/>
      <c r="E135" s="2961"/>
      <c r="F135" s="2961"/>
      <c r="G135" s="2961"/>
      <c r="H135" s="2961"/>
    </row>
    <row r="136" spans="1:8" s="2670" customFormat="1">
      <c r="A136" s="2966"/>
      <c r="D136" s="2961"/>
      <c r="E136" s="2961"/>
      <c r="F136" s="2961"/>
      <c r="G136" s="2961"/>
      <c r="H136" s="2961"/>
    </row>
    <row r="137" spans="1:8" s="2670" customFormat="1">
      <c r="A137" s="2966"/>
      <c r="D137" s="2961"/>
      <c r="E137" s="2961"/>
      <c r="F137" s="2961"/>
      <c r="G137" s="2961"/>
      <c r="H137" s="2961"/>
    </row>
    <row r="138" spans="1:8" s="2670" customFormat="1">
      <c r="A138" s="2966"/>
      <c r="D138" s="2961"/>
      <c r="E138" s="2961"/>
      <c r="F138" s="2961"/>
      <c r="G138" s="2961"/>
      <c r="H138" s="2961"/>
    </row>
    <row r="139" spans="1:8" s="2670" customFormat="1">
      <c r="A139" s="2966"/>
      <c r="D139" s="2961"/>
      <c r="E139" s="2961"/>
      <c r="F139" s="2961"/>
      <c r="G139" s="2961"/>
      <c r="H139" s="2961"/>
    </row>
    <row r="140" spans="1:8" s="2670" customFormat="1">
      <c r="A140" s="2966"/>
      <c r="D140" s="2961"/>
      <c r="E140" s="2961"/>
      <c r="F140" s="2961"/>
      <c r="G140" s="2961"/>
      <c r="H140" s="2961"/>
    </row>
    <row r="141" spans="1:8" s="2670" customFormat="1">
      <c r="A141" s="2966"/>
      <c r="D141" s="2961"/>
      <c r="E141" s="2961"/>
      <c r="F141" s="2961"/>
      <c r="G141" s="2961"/>
      <c r="H141" s="2961"/>
    </row>
    <row r="142" spans="1:8" s="2670" customFormat="1">
      <c r="A142" s="2966"/>
      <c r="D142" s="2961"/>
      <c r="E142" s="2961"/>
      <c r="F142" s="2961"/>
      <c r="G142" s="2961"/>
      <c r="H142" s="2961"/>
    </row>
    <row r="143" spans="1:8" s="2670" customFormat="1">
      <c r="A143" s="2966"/>
      <c r="D143" s="2961"/>
      <c r="E143" s="2961"/>
      <c r="F143" s="2961"/>
      <c r="G143" s="2961"/>
      <c r="H143" s="2961"/>
    </row>
    <row r="144" spans="1:8" s="2670" customFormat="1">
      <c r="A144" s="2966"/>
      <c r="D144" s="2961"/>
      <c r="E144" s="2961"/>
      <c r="F144" s="2961"/>
      <c r="G144" s="2961"/>
      <c r="H144" s="2961"/>
    </row>
    <row r="145" spans="1:8" s="2670" customFormat="1">
      <c r="A145" s="2966"/>
      <c r="D145" s="2961"/>
      <c r="E145" s="2961"/>
      <c r="F145" s="2961"/>
      <c r="G145" s="2961"/>
      <c r="H145" s="2961"/>
    </row>
    <row r="146" spans="1:8" s="2670" customFormat="1">
      <c r="A146" s="2966"/>
      <c r="D146" s="2961"/>
      <c r="E146" s="2961"/>
      <c r="F146" s="2961"/>
      <c r="G146" s="2961"/>
      <c r="H146" s="2961"/>
    </row>
    <row r="147" spans="1:8" s="2670" customFormat="1">
      <c r="A147" s="2966"/>
      <c r="D147" s="2961"/>
      <c r="E147" s="2961"/>
      <c r="F147" s="2961"/>
      <c r="G147" s="2961"/>
      <c r="H147" s="2961"/>
    </row>
    <row r="148" spans="1:8" s="2670" customFormat="1">
      <c r="A148" s="2966"/>
      <c r="D148" s="2961"/>
      <c r="E148" s="2961"/>
      <c r="F148" s="2961"/>
      <c r="G148" s="2961"/>
      <c r="H148" s="2961"/>
    </row>
    <row r="149" spans="1:8" s="2670" customFormat="1">
      <c r="A149" s="2966"/>
      <c r="D149" s="2961"/>
      <c r="E149" s="2961"/>
      <c r="F149" s="2961"/>
      <c r="G149" s="2961"/>
      <c r="H149" s="2961"/>
    </row>
    <row r="150" spans="1:8" s="2670" customFormat="1">
      <c r="A150" s="2966"/>
      <c r="D150" s="2961"/>
      <c r="E150" s="2961"/>
      <c r="F150" s="2961"/>
      <c r="G150" s="2961"/>
      <c r="H150" s="2961"/>
    </row>
    <row r="151" spans="1:8" s="2670" customFormat="1">
      <c r="A151" s="2966"/>
      <c r="D151" s="2961"/>
      <c r="E151" s="2961"/>
      <c r="F151" s="2961"/>
      <c r="G151" s="2961"/>
      <c r="H151" s="2961"/>
    </row>
    <row r="152" spans="1:8" s="2670" customFormat="1">
      <c r="A152" s="2966"/>
      <c r="D152" s="2961"/>
      <c r="E152" s="2961"/>
      <c r="F152" s="2961"/>
      <c r="G152" s="2961"/>
      <c r="H152" s="2961"/>
    </row>
    <row r="153" spans="1:8" s="2670" customFormat="1">
      <c r="A153" s="2966"/>
      <c r="D153" s="2961"/>
      <c r="E153" s="2961"/>
      <c r="F153" s="2961"/>
      <c r="G153" s="2961"/>
      <c r="H153" s="2961"/>
    </row>
    <row r="154" spans="1:8" s="2670" customFormat="1">
      <c r="A154" s="2966"/>
      <c r="D154" s="2961"/>
      <c r="E154" s="2961"/>
      <c r="F154" s="2961"/>
      <c r="G154" s="2961"/>
      <c r="H154" s="2961"/>
    </row>
    <row r="155" spans="1:8" s="2670" customFormat="1">
      <c r="A155" s="2966"/>
      <c r="D155" s="2961"/>
      <c r="E155" s="2961"/>
      <c r="F155" s="2961"/>
      <c r="G155" s="2961"/>
      <c r="H155" s="2961"/>
    </row>
    <row r="156" spans="1:8" s="2670" customFormat="1">
      <c r="A156" s="2966"/>
      <c r="D156" s="2961"/>
      <c r="E156" s="2961"/>
      <c r="F156" s="2961"/>
      <c r="G156" s="2961"/>
      <c r="H156" s="2961"/>
    </row>
    <row r="157" spans="1:8" s="2670" customFormat="1">
      <c r="A157" s="2966"/>
      <c r="D157" s="2961"/>
      <c r="E157" s="2961"/>
      <c r="F157" s="2961"/>
      <c r="G157" s="2961"/>
      <c r="H157" s="2961"/>
    </row>
    <row r="158" spans="1:8">
      <c r="A158" s="2966"/>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7" customWidth="1"/>
    <col min="2" max="2" width="24.44140625" style="2650" customWidth="1"/>
    <col min="3" max="3" width="28.33203125" style="2705" customWidth="1"/>
    <col min="4" max="4" width="2.6640625" style="2705" customWidth="1"/>
    <col min="5" max="5" width="5.88671875" style="2705" customWidth="1"/>
    <col min="6" max="6" width="27" style="2650" customWidth="1"/>
    <col min="7" max="7" width="32.33203125" style="2706" customWidth="1"/>
    <col min="8" max="8" width="11.88671875" style="2702" customWidth="1"/>
    <col min="9" max="9" width="16.77734375" style="2703" customWidth="1"/>
    <col min="10" max="10" width="2.6640625" style="2702" customWidth="1"/>
    <col min="11" max="11" width="11.88671875" style="2702" customWidth="1"/>
    <col min="12" max="12" width="16.77734375" style="2703" customWidth="1"/>
    <col min="13" max="13" width="2.6640625" style="2702" customWidth="1"/>
    <col min="14" max="14" width="11.88671875" style="2702" customWidth="1"/>
    <col min="15" max="15" width="16.77734375" style="2703" customWidth="1"/>
    <col min="16" max="16" width="2.6640625" style="2702" customWidth="1"/>
    <col min="17" max="17" width="11.88671875" style="2702" customWidth="1"/>
    <col min="18" max="18" width="16.77734375" style="2704" customWidth="1"/>
    <col min="19" max="29" width="9" style="2692"/>
    <col min="30" max="16384" width="9" style="2637"/>
  </cols>
  <sheetData>
    <row r="1" spans="1:29" s="2690" customFormat="1" ht="18" thickBot="1">
      <c r="A1" s="3262" t="s">
        <v>1702</v>
      </c>
      <c r="B1" s="3263"/>
      <c r="C1" s="3263"/>
      <c r="D1" s="3263"/>
      <c r="E1" s="3263"/>
      <c r="F1" s="3263"/>
      <c r="G1" s="3263"/>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4" customFormat="1" thickBot="1">
      <c r="A2" s="3092"/>
      <c r="B2" s="3093"/>
      <c r="C2" s="3094" t="s">
        <v>2849</v>
      </c>
      <c r="D2" s="3095"/>
      <c r="E2" s="3092"/>
      <c r="F2" s="3096"/>
      <c r="G2" s="3094" t="s">
        <v>2850</v>
      </c>
      <c r="H2" s="3097"/>
      <c r="I2" s="3097"/>
      <c r="J2" s="3097"/>
      <c r="K2" s="3097"/>
      <c r="L2" s="3097"/>
      <c r="M2" s="3097"/>
      <c r="N2" s="3097"/>
      <c r="O2" s="3097"/>
      <c r="P2" s="3097"/>
      <c r="Q2" s="3097"/>
      <c r="R2" s="3097"/>
      <c r="S2" s="3097"/>
      <c r="T2" s="3097"/>
      <c r="U2" s="3097"/>
      <c r="V2" s="3097"/>
      <c r="W2" s="3097"/>
      <c r="X2" s="3097"/>
      <c r="Y2" s="3097"/>
      <c r="Z2" s="3097"/>
      <c r="AA2" s="3097"/>
      <c r="AB2" s="3097"/>
      <c r="AC2" s="3097"/>
    </row>
    <row r="3" spans="1:29" s="2634" customFormat="1" ht="48">
      <c r="A3" s="3098" t="s">
        <v>2851</v>
      </c>
      <c r="B3" s="3099" t="s">
        <v>2852</v>
      </c>
      <c r="C3" s="3100" t="s">
        <v>2853</v>
      </c>
      <c r="D3" s="3101"/>
      <c r="E3" s="3102" t="s">
        <v>2851</v>
      </c>
      <c r="F3" s="3103" t="s">
        <v>2854</v>
      </c>
      <c r="G3" s="3104" t="s">
        <v>2855</v>
      </c>
      <c r="H3" s="3097"/>
      <c r="I3" s="3097"/>
      <c r="J3" s="3097"/>
      <c r="K3" s="3097"/>
      <c r="L3" s="3097"/>
      <c r="M3" s="3097"/>
      <c r="N3" s="3097"/>
      <c r="O3" s="3097"/>
      <c r="P3" s="3097"/>
      <c r="Q3" s="3097"/>
      <c r="R3" s="3097"/>
      <c r="S3" s="3097"/>
      <c r="T3" s="3097"/>
      <c r="U3" s="3097"/>
      <c r="V3" s="3097"/>
      <c r="W3" s="3097"/>
      <c r="X3" s="3097"/>
      <c r="Y3" s="3097"/>
      <c r="Z3" s="3097"/>
      <c r="AA3" s="3097"/>
      <c r="AB3" s="3097"/>
      <c r="AC3" s="3097"/>
    </row>
    <row r="4" spans="1:29" s="2634" customFormat="1" ht="37.200000000000003">
      <c r="A4" s="3102"/>
      <c r="B4" s="3086" t="s">
        <v>2856</v>
      </c>
      <c r="C4" s="3105" t="s">
        <v>2857</v>
      </c>
      <c r="D4" s="3101"/>
      <c r="E4" s="3106"/>
      <c r="F4" s="3088" t="s">
        <v>2858</v>
      </c>
      <c r="G4" s="3107" t="s">
        <v>2859</v>
      </c>
      <c r="H4" s="3097"/>
      <c r="I4" s="3097"/>
      <c r="J4" s="3097"/>
      <c r="K4" s="3097"/>
      <c r="L4" s="3097"/>
      <c r="M4" s="3097"/>
      <c r="N4" s="3097"/>
      <c r="O4" s="3097"/>
      <c r="P4" s="3097"/>
      <c r="Q4" s="3097"/>
      <c r="R4" s="3097"/>
      <c r="S4" s="3097"/>
      <c r="T4" s="3097"/>
      <c r="U4" s="3097"/>
      <c r="V4" s="3097"/>
      <c r="W4" s="3097"/>
      <c r="X4" s="3097"/>
      <c r="Y4" s="3097"/>
      <c r="Z4" s="3097"/>
      <c r="AA4" s="3097"/>
      <c r="AB4" s="3097"/>
      <c r="AC4" s="3097"/>
    </row>
    <row r="5" spans="1:29" s="2634" customFormat="1" ht="37.200000000000003">
      <c r="A5" s="3102"/>
      <c r="B5" s="3086" t="s">
        <v>2860</v>
      </c>
      <c r="C5" s="3105" t="s">
        <v>2861</v>
      </c>
      <c r="D5" s="3101"/>
      <c r="E5" s="3106"/>
      <c r="F5" s="3086" t="s">
        <v>2862</v>
      </c>
      <c r="G5" s="3107" t="s">
        <v>2863</v>
      </c>
      <c r="H5" s="3097"/>
      <c r="I5" s="3097"/>
      <c r="J5" s="3097"/>
      <c r="K5" s="3097"/>
      <c r="L5" s="3097"/>
      <c r="M5" s="3097"/>
      <c r="N5" s="3097"/>
      <c r="O5" s="3097"/>
      <c r="P5" s="3097"/>
      <c r="Q5" s="3097"/>
      <c r="R5" s="3097"/>
      <c r="S5" s="3097"/>
      <c r="T5" s="3097"/>
      <c r="U5" s="3097"/>
      <c r="V5" s="3097"/>
      <c r="W5" s="3097"/>
      <c r="X5" s="3097"/>
      <c r="Y5" s="3097"/>
      <c r="Z5" s="3097"/>
      <c r="AA5" s="3097"/>
      <c r="AB5" s="3097"/>
      <c r="AC5" s="3097"/>
    </row>
    <row r="6" spans="1:29" s="2634" customFormat="1" ht="36">
      <c r="A6" s="3102"/>
      <c r="B6" s="3086" t="s">
        <v>2864</v>
      </c>
      <c r="C6" s="3107" t="s">
        <v>2859</v>
      </c>
      <c r="D6" s="3101"/>
      <c r="E6" s="3106"/>
      <c r="F6" s="3086" t="s">
        <v>2865</v>
      </c>
      <c r="G6" s="3107" t="s">
        <v>2866</v>
      </c>
      <c r="H6" s="3097"/>
      <c r="I6" s="3097"/>
      <c r="J6" s="3097"/>
      <c r="K6" s="3097"/>
      <c r="L6" s="3097"/>
      <c r="M6" s="3097"/>
      <c r="N6" s="3097"/>
      <c r="O6" s="3097"/>
      <c r="P6" s="3097"/>
      <c r="Q6" s="3097"/>
      <c r="R6" s="3097"/>
      <c r="S6" s="3097"/>
      <c r="T6" s="3097"/>
      <c r="U6" s="3097"/>
      <c r="V6" s="3097"/>
      <c r="W6" s="3097"/>
      <c r="X6" s="3097"/>
      <c r="Y6" s="3097"/>
      <c r="Z6" s="3097"/>
      <c r="AA6" s="3097"/>
      <c r="AB6" s="3097"/>
      <c r="AC6" s="3097"/>
    </row>
    <row r="7" spans="1:29" s="2634" customFormat="1" ht="24.6" thickBot="1">
      <c r="A7" s="3102"/>
      <c r="B7" s="3086" t="s">
        <v>2862</v>
      </c>
      <c r="C7" s="3107" t="s">
        <v>2863</v>
      </c>
      <c r="D7" s="2975"/>
      <c r="E7" s="3108"/>
      <c r="F7" s="3109" t="s">
        <v>2867</v>
      </c>
      <c r="G7" s="3110" t="s">
        <v>2868</v>
      </c>
      <c r="H7" s="3097"/>
      <c r="I7" s="3097"/>
      <c r="J7" s="3097"/>
      <c r="K7" s="3097"/>
      <c r="L7" s="3097"/>
      <c r="M7" s="3097"/>
      <c r="N7" s="3097"/>
      <c r="O7" s="3097"/>
      <c r="P7" s="3097"/>
      <c r="Q7" s="3097"/>
      <c r="R7" s="3097"/>
      <c r="S7" s="3097"/>
      <c r="T7" s="3097"/>
      <c r="U7" s="3097"/>
      <c r="V7" s="3097"/>
      <c r="W7" s="3097"/>
      <c r="X7" s="3097"/>
      <c r="Y7" s="3097"/>
      <c r="Z7" s="3097"/>
      <c r="AA7" s="3097"/>
      <c r="AB7" s="3097"/>
      <c r="AC7" s="3097"/>
    </row>
    <row r="8" spans="1:29" s="2634" customFormat="1" ht="13.2">
      <c r="A8" s="3102"/>
      <c r="B8" s="3086" t="s">
        <v>2865</v>
      </c>
      <c r="C8" s="3107" t="s">
        <v>2866</v>
      </c>
      <c r="D8" s="2975"/>
      <c r="E8" s="2975"/>
      <c r="F8" s="2970"/>
      <c r="G8" s="2970"/>
      <c r="H8" s="3097"/>
      <c r="I8" s="3097"/>
      <c r="J8" s="3097"/>
      <c r="K8" s="3097"/>
      <c r="L8" s="3097"/>
      <c r="M8" s="3097"/>
      <c r="N8" s="3097"/>
      <c r="O8" s="3097"/>
      <c r="P8" s="3097"/>
      <c r="Q8" s="3097"/>
      <c r="R8" s="3097"/>
      <c r="S8" s="3097"/>
      <c r="T8" s="3097"/>
      <c r="U8" s="3097"/>
      <c r="V8" s="3097"/>
      <c r="W8" s="3097"/>
      <c r="X8" s="3097"/>
      <c r="Y8" s="3097"/>
      <c r="Z8" s="3097"/>
      <c r="AA8" s="3097"/>
      <c r="AB8" s="3097"/>
      <c r="AC8" s="3097"/>
    </row>
    <row r="9" spans="1:29" s="2634" customFormat="1" ht="24">
      <c r="A9" s="3102"/>
      <c r="B9" s="3086" t="s">
        <v>2869</v>
      </c>
      <c r="C9" s="3105" t="s">
        <v>2870</v>
      </c>
      <c r="D9" s="3101"/>
      <c r="E9" s="2975"/>
      <c r="F9" s="2970"/>
      <c r="G9" s="2970"/>
      <c r="H9" s="3097"/>
      <c r="I9" s="3097"/>
      <c r="J9" s="3097"/>
      <c r="K9" s="3097"/>
      <c r="L9" s="3097"/>
      <c r="M9" s="3097"/>
      <c r="N9" s="3097"/>
      <c r="O9" s="3097"/>
      <c r="P9" s="3097"/>
      <c r="Q9" s="3097"/>
      <c r="R9" s="3097"/>
      <c r="S9" s="3097"/>
      <c r="T9" s="3097"/>
      <c r="U9" s="3097"/>
      <c r="V9" s="3097"/>
      <c r="W9" s="3097"/>
      <c r="X9" s="3097"/>
      <c r="Y9" s="3097"/>
      <c r="Z9" s="3097"/>
      <c r="AA9" s="3097"/>
      <c r="AB9" s="3097"/>
      <c r="AC9" s="3097"/>
    </row>
    <row r="10" spans="1:29" s="2670" customFormat="1" thickBot="1">
      <c r="A10" s="3111"/>
      <c r="B10" s="3090" t="s">
        <v>2871</v>
      </c>
      <c r="C10" s="3112"/>
      <c r="D10" s="3101"/>
      <c r="E10" s="3101"/>
      <c r="F10" s="2970"/>
      <c r="G10" s="2970"/>
      <c r="H10" s="1498"/>
      <c r="I10" s="3113"/>
      <c r="J10" s="3114"/>
      <c r="K10" s="1498"/>
      <c r="L10" s="3113"/>
      <c r="M10" s="3114"/>
      <c r="N10" s="1498"/>
      <c r="O10" s="3113"/>
      <c r="P10" s="3114"/>
      <c r="Q10" s="1498"/>
      <c r="R10" s="3113"/>
      <c r="S10" s="3097"/>
      <c r="T10" s="3097"/>
      <c r="U10" s="3097"/>
      <c r="V10" s="3097"/>
      <c r="W10" s="3097"/>
      <c r="X10" s="3097"/>
      <c r="Y10" s="3097"/>
      <c r="Z10" s="3097"/>
      <c r="AA10" s="3097"/>
      <c r="AB10" s="3097"/>
      <c r="AC10" s="3097"/>
    </row>
    <row r="11" spans="1:29" s="2670" customFormat="1" ht="13.2">
      <c r="A11" s="3115"/>
      <c r="B11" s="2975"/>
      <c r="C11" s="3101"/>
      <c r="D11" s="3101"/>
      <c r="E11" s="3101"/>
      <c r="F11" s="2975"/>
      <c r="G11" s="3116"/>
      <c r="H11" s="1498"/>
      <c r="I11" s="3113"/>
      <c r="J11" s="3114"/>
      <c r="K11" s="1498"/>
      <c r="L11" s="3113"/>
      <c r="M11" s="3114"/>
      <c r="N11" s="1498"/>
      <c r="O11" s="3113"/>
      <c r="P11" s="3114"/>
      <c r="Q11" s="1498"/>
      <c r="R11" s="3113"/>
      <c r="S11" s="3097"/>
      <c r="T11" s="3097"/>
      <c r="U11" s="3097"/>
      <c r="V11" s="3097"/>
      <c r="W11" s="3097"/>
      <c r="X11" s="3097"/>
      <c r="Y11" s="3097"/>
      <c r="Z11" s="3097"/>
      <c r="AA11" s="3097"/>
      <c r="AB11" s="3097"/>
      <c r="AC11" s="3097"/>
    </row>
    <row r="12" spans="1:29" s="2690" customFormat="1" ht="17.399999999999999">
      <c r="A12" s="2645"/>
      <c r="B12" s="2694"/>
      <c r="C12" s="2693"/>
      <c r="D12" s="2695"/>
      <c r="E12" s="2693"/>
      <c r="F12" s="2694"/>
      <c r="G12" s="1843"/>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8" thickBot="1">
      <c r="A13" s="2701" t="s">
        <v>1708</v>
      </c>
      <c r="B13" s="2695"/>
      <c r="C13" s="2695"/>
      <c r="D13" s="2691"/>
      <c r="E13" s="2695"/>
      <c r="F13" s="2695"/>
      <c r="G13" s="2695"/>
    </row>
    <row r="14" spans="1:29" s="2634" customFormat="1" thickBot="1">
      <c r="A14" s="3117"/>
      <c r="B14" s="3117"/>
      <c r="C14" s="3118" t="s">
        <v>2872</v>
      </c>
      <c r="D14" s="3101"/>
      <c r="E14" s="3119"/>
      <c r="F14" s="3119"/>
      <c r="G14" s="3094" t="s">
        <v>2873</v>
      </c>
      <c r="H14" s="3120"/>
      <c r="I14" s="3121"/>
      <c r="J14" s="3120"/>
      <c r="K14" s="3120"/>
      <c r="L14" s="3121"/>
      <c r="M14" s="3120"/>
      <c r="N14" s="3120"/>
      <c r="O14" s="3121"/>
      <c r="P14" s="3120"/>
      <c r="Q14" s="3120"/>
      <c r="R14" s="3122"/>
      <c r="S14" s="3097"/>
      <c r="T14" s="3097"/>
      <c r="U14" s="3097"/>
      <c r="V14" s="3097"/>
      <c r="W14" s="3097"/>
      <c r="X14" s="3097"/>
      <c r="Y14" s="3097"/>
      <c r="Z14" s="3097"/>
      <c r="AA14" s="3097"/>
      <c r="AB14" s="3097"/>
      <c r="AC14" s="3097"/>
    </row>
    <row r="15" spans="1:29" s="2634" customFormat="1" ht="52.8">
      <c r="A15" s="3123" t="s">
        <v>2874</v>
      </c>
      <c r="B15" s="3124" t="s">
        <v>2852</v>
      </c>
      <c r="C15" s="3125" t="str">
        <f>C3</f>
        <v>估价对象周边居住用地比例、居住小区规模和社区发展完善程度，综合评价居住社区成熟度一般</v>
      </c>
      <c r="D15" s="3101"/>
      <c r="E15" s="3126" t="s">
        <v>2875</v>
      </c>
      <c r="F15" s="3124" t="s">
        <v>2876</v>
      </c>
      <c r="G15" s="3127" t="str">
        <f>G3</f>
        <v>估价对象位于XX开发区，园区建设成熟度XX，产业集聚程度XX</v>
      </c>
      <c r="H15" s="3120"/>
      <c r="I15" s="3121"/>
      <c r="J15" s="3120"/>
      <c r="K15" s="3120"/>
      <c r="L15" s="3121"/>
      <c r="M15" s="3120"/>
      <c r="N15" s="3120"/>
      <c r="O15" s="3121"/>
      <c r="P15" s="3120"/>
      <c r="Q15" s="3120"/>
      <c r="R15" s="3122"/>
      <c r="S15" s="3097"/>
      <c r="T15" s="3097"/>
      <c r="U15" s="3097"/>
      <c r="V15" s="3097"/>
      <c r="W15" s="3097"/>
      <c r="X15" s="3097"/>
      <c r="Y15" s="3097"/>
      <c r="Z15" s="3097"/>
      <c r="AA15" s="3097"/>
      <c r="AB15" s="3097"/>
      <c r="AC15" s="3097"/>
    </row>
    <row r="16" spans="1:29" s="2634" customFormat="1" ht="39.6">
      <c r="A16" s="3128"/>
      <c r="B16" s="2574" t="s">
        <v>2856</v>
      </c>
      <c r="C16" s="3129" t="str">
        <f>C4</f>
        <v>估价对象位于XX商圈，周边商业氛围成熟，人流量大，商业繁华度好</v>
      </c>
      <c r="D16" s="3101"/>
      <c r="E16" s="3130"/>
      <c r="F16" s="3087" t="s">
        <v>2858</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7"/>
      <c r="T16" s="3097"/>
      <c r="U16" s="3097"/>
      <c r="V16" s="3097"/>
      <c r="W16" s="3097"/>
      <c r="X16" s="3097"/>
      <c r="Y16" s="3097"/>
      <c r="Z16" s="3097"/>
      <c r="AA16" s="3097"/>
      <c r="AB16" s="3097"/>
      <c r="AC16" s="3097"/>
    </row>
    <row r="17" spans="1:29" s="2634" customFormat="1" ht="39.6">
      <c r="A17" s="3128"/>
      <c r="B17" s="2574" t="s">
        <v>2860</v>
      </c>
      <c r="C17" s="3129" t="str">
        <f>C5</f>
        <v>估价对象位于XX商圈，周边办公楼项目较多，入驻率高，办公集聚程度较好</v>
      </c>
      <c r="D17" s="2975"/>
      <c r="E17" s="3130"/>
      <c r="F17" s="3087" t="s">
        <v>2877</v>
      </c>
      <c r="G17" s="3132"/>
      <c r="H17" s="3120"/>
      <c r="I17" s="3121"/>
      <c r="J17" s="3120"/>
      <c r="K17" s="3120"/>
      <c r="L17" s="3121"/>
      <c r="M17" s="3120"/>
      <c r="N17" s="3120"/>
      <c r="O17" s="3121"/>
      <c r="P17" s="3120"/>
      <c r="Q17" s="3120"/>
      <c r="R17" s="3122"/>
      <c r="S17" s="3097"/>
      <c r="T17" s="3097"/>
      <c r="U17" s="3097"/>
      <c r="V17" s="3097"/>
      <c r="W17" s="3097"/>
      <c r="X17" s="3097"/>
      <c r="Y17" s="3097"/>
      <c r="Z17" s="3097"/>
      <c r="AA17" s="3097"/>
      <c r="AB17" s="3097"/>
      <c r="AC17" s="3097"/>
    </row>
    <row r="18" spans="1:29" s="2634" customFormat="1" ht="39.6">
      <c r="A18" s="3128"/>
      <c r="B18" s="3087" t="s">
        <v>2864</v>
      </c>
      <c r="C18" s="3131" t="str">
        <f>C6</f>
        <v>估价对象周边道路状况、公共交通通达情况、停车便捷程度，综合评价交通便捷度较好</v>
      </c>
      <c r="D18" s="2975"/>
      <c r="E18" s="3130"/>
      <c r="F18" s="3087" t="s">
        <v>2867</v>
      </c>
      <c r="G18" s="3131" t="str">
        <f>G7</f>
        <v>该园区内是否有污染型企业，绿化情况，卫生条件，整体环境状况判断</v>
      </c>
      <c r="H18" s="3120"/>
      <c r="I18" s="3121"/>
      <c r="J18" s="3120"/>
      <c r="K18" s="3120"/>
      <c r="L18" s="3121"/>
      <c r="M18" s="3120"/>
      <c r="N18" s="3120"/>
      <c r="O18" s="3121"/>
      <c r="P18" s="3120"/>
      <c r="Q18" s="3120"/>
      <c r="R18" s="3122"/>
      <c r="S18" s="3097"/>
      <c r="T18" s="3097"/>
      <c r="U18" s="3097"/>
      <c r="V18" s="3097"/>
      <c r="W18" s="3097"/>
      <c r="X18" s="3097"/>
      <c r="Y18" s="3097"/>
      <c r="Z18" s="3097"/>
      <c r="AA18" s="3097"/>
      <c r="AB18" s="3097"/>
      <c r="AC18" s="3097"/>
    </row>
    <row r="19" spans="1:29" s="2634" customFormat="1" ht="26.4">
      <c r="A19" s="3128"/>
      <c r="B19" s="3087" t="s">
        <v>2878</v>
      </c>
      <c r="C19" s="3132"/>
      <c r="D19" s="3101"/>
      <c r="E19" s="3130"/>
      <c r="F19" s="3086" t="s">
        <v>2862</v>
      </c>
      <c r="G19" s="3131" t="str">
        <f>G5</f>
        <v>估价对象所在区域公共配套设施齐备情况</v>
      </c>
      <c r="H19" s="3120"/>
      <c r="I19" s="3121"/>
      <c r="J19" s="3120"/>
      <c r="K19" s="3120"/>
      <c r="L19" s="3121"/>
      <c r="M19" s="3120"/>
      <c r="N19" s="3120"/>
      <c r="O19" s="3121"/>
      <c r="P19" s="3120"/>
      <c r="Q19" s="3120"/>
      <c r="R19" s="3122"/>
      <c r="S19" s="3097"/>
      <c r="T19" s="3097"/>
      <c r="U19" s="3097"/>
      <c r="V19" s="3097"/>
      <c r="W19" s="3097"/>
      <c r="X19" s="3097"/>
      <c r="Y19" s="3097"/>
      <c r="Z19" s="3097"/>
      <c r="AA19" s="3097"/>
      <c r="AB19" s="3097"/>
      <c r="AC19" s="3097"/>
    </row>
    <row r="20" spans="1:29" s="2634" customFormat="1" ht="26.4">
      <c r="A20" s="3128"/>
      <c r="B20" s="3087" t="s">
        <v>2879</v>
      </c>
      <c r="C20" s="3129" t="str">
        <f>C9</f>
        <v>区域自然环境：；人文环境；综合评价环境状况一般</v>
      </c>
      <c r="D20" s="2975"/>
      <c r="E20" s="3130"/>
      <c r="F20" s="3086" t="s">
        <v>2865</v>
      </c>
      <c r="G20" s="3131" t="str">
        <f>G6</f>
        <v>估价对象所在区域基础设施水平</v>
      </c>
      <c r="H20" s="3120"/>
      <c r="I20" s="3121"/>
      <c r="J20" s="3120"/>
      <c r="K20" s="3120"/>
      <c r="L20" s="3121"/>
      <c r="M20" s="3120"/>
      <c r="N20" s="3120"/>
      <c r="O20" s="3121"/>
      <c r="P20" s="3120"/>
      <c r="Q20" s="3120"/>
      <c r="R20" s="3122"/>
      <c r="S20" s="3097"/>
      <c r="T20" s="3097"/>
      <c r="U20" s="3097"/>
      <c r="V20" s="3097"/>
      <c r="W20" s="3097"/>
      <c r="X20" s="3097"/>
      <c r="Y20" s="3097"/>
      <c r="Z20" s="3097"/>
      <c r="AA20" s="3097"/>
      <c r="AB20" s="3097"/>
      <c r="AC20" s="3097"/>
    </row>
    <row r="21" spans="1:29" s="2634" customFormat="1" ht="26.4">
      <c r="A21" s="3128"/>
      <c r="B21" s="3086" t="s">
        <v>2862</v>
      </c>
      <c r="C21" s="3131" t="str">
        <f>C7</f>
        <v>估价对象所在区域公共配套设施齐备情况</v>
      </c>
      <c r="D21" s="3101"/>
      <c r="E21" s="3130"/>
      <c r="F21" s="3087" t="s">
        <v>2880</v>
      </c>
      <c r="G21" s="3133"/>
      <c r="H21" s="3120"/>
      <c r="I21" s="3121"/>
      <c r="J21" s="3120"/>
      <c r="K21" s="3120"/>
      <c r="L21" s="3121"/>
      <c r="M21" s="3120"/>
      <c r="N21" s="3120"/>
      <c r="O21" s="3121"/>
      <c r="P21" s="3120"/>
      <c r="Q21" s="3120"/>
      <c r="R21" s="3122"/>
      <c r="S21" s="3097"/>
      <c r="T21" s="3097"/>
      <c r="U21" s="3097"/>
      <c r="V21" s="3097"/>
      <c r="W21" s="3097"/>
      <c r="X21" s="3097"/>
      <c r="Y21" s="3097"/>
      <c r="Z21" s="3097"/>
      <c r="AA21" s="3097"/>
      <c r="AB21" s="3097"/>
      <c r="AC21" s="3097"/>
    </row>
    <row r="22" spans="1:29" s="2634" customFormat="1" ht="13.2">
      <c r="A22" s="3128"/>
      <c r="B22" s="3086" t="s">
        <v>2865</v>
      </c>
      <c r="C22" s="3131" t="str">
        <f>C8</f>
        <v>估价对象所在区域基础设施水平</v>
      </c>
      <c r="D22" s="3101"/>
      <c r="E22" s="3130"/>
      <c r="F22" s="3087" t="s">
        <v>2871</v>
      </c>
      <c r="G22" s="3134"/>
      <c r="H22" s="3120"/>
      <c r="I22" s="3121"/>
      <c r="J22" s="3120"/>
      <c r="K22" s="3120"/>
      <c r="L22" s="3121"/>
      <c r="M22" s="3120"/>
      <c r="N22" s="3120"/>
      <c r="O22" s="3121"/>
      <c r="P22" s="3120"/>
      <c r="Q22" s="3120"/>
      <c r="R22" s="3122"/>
      <c r="S22" s="3097"/>
      <c r="T22" s="3097"/>
      <c r="U22" s="3097"/>
      <c r="V22" s="3097"/>
      <c r="W22" s="3097"/>
      <c r="X22" s="3097"/>
      <c r="Y22" s="3097"/>
      <c r="Z22" s="3097"/>
      <c r="AA22" s="3097"/>
      <c r="AB22" s="3097"/>
      <c r="AC22" s="3097"/>
    </row>
    <row r="23" spans="1:29" s="3097" customFormat="1" thickBot="1">
      <c r="A23" s="3128"/>
      <c r="B23" s="3087" t="s">
        <v>2880</v>
      </c>
      <c r="C23" s="3133"/>
      <c r="D23" s="3120"/>
      <c r="E23" s="3135"/>
      <c r="F23" s="3089" t="s">
        <v>2881</v>
      </c>
      <c r="G23" s="3136"/>
      <c r="H23" s="3120"/>
      <c r="I23" s="3121"/>
      <c r="J23" s="3120"/>
      <c r="K23" s="3120"/>
      <c r="L23" s="3121"/>
      <c r="M23" s="3120"/>
      <c r="N23" s="3120"/>
      <c r="O23" s="3121"/>
      <c r="P23" s="3120"/>
      <c r="Q23" s="3120"/>
      <c r="R23" s="3122"/>
    </row>
    <row r="24" spans="1:29" s="3097" customFormat="1" thickBot="1">
      <c r="A24" s="3137"/>
      <c r="B24" s="3089" t="s">
        <v>2882</v>
      </c>
      <c r="C24" s="3138">
        <f>C10</f>
        <v>0</v>
      </c>
      <c r="D24" s="3120"/>
      <c r="E24" s="3139"/>
      <c r="F24" s="3139"/>
      <c r="G24" s="3140"/>
      <c r="H24" s="3120"/>
      <c r="I24" s="3121"/>
      <c r="J24" s="3120"/>
      <c r="K24" s="3120"/>
      <c r="L24" s="3121"/>
      <c r="M24" s="3120"/>
      <c r="N24" s="3120"/>
      <c r="O24" s="3121"/>
      <c r="P24" s="3120"/>
      <c r="Q24" s="3120"/>
      <c r="R24" s="3122"/>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C18" sqref="C18"/>
    </sheetView>
  </sheetViews>
  <sheetFormatPr defaultColWidth="14.6640625" defaultRowHeight="14.4"/>
  <cols>
    <col min="1" max="1" width="24.33203125" style="2583" customWidth="1"/>
    <col min="2" max="16384" width="14.6640625" style="2583"/>
  </cols>
  <sheetData>
    <row r="1" spans="1:9" ht="15.6">
      <c r="A1" s="2581" t="s">
        <v>1212</v>
      </c>
      <c r="B1" s="2581">
        <f>SUM(B14:B23)</f>
        <v>346.86</v>
      </c>
      <c r="C1" s="1634"/>
      <c r="D1" s="1634"/>
      <c r="E1" s="1634"/>
      <c r="F1" s="1634"/>
      <c r="G1" s="2582"/>
    </row>
    <row r="2" spans="1:9" ht="15.6">
      <c r="A2" s="2581" t="s">
        <v>1213</v>
      </c>
      <c r="B2" s="2581">
        <f>SUM(C14:C23)</f>
        <v>0</v>
      </c>
      <c r="C2" s="1634"/>
      <c r="D2" s="1634"/>
      <c r="E2" s="1634"/>
      <c r="F2" s="1634"/>
      <c r="G2" s="2582"/>
    </row>
    <row r="3" spans="1:9" ht="15.6">
      <c r="A3" s="2581" t="s">
        <v>1214</v>
      </c>
      <c r="B3" s="2584">
        <f>项目基本情况!D2</f>
        <v>44393</v>
      </c>
      <c r="C3" s="1634"/>
      <c r="D3" s="1634"/>
      <c r="E3" s="1634"/>
      <c r="F3" s="1634"/>
      <c r="G3" s="2582"/>
    </row>
    <row r="4" spans="1:9" ht="31.2">
      <c r="A4" s="2581" t="s">
        <v>1215</v>
      </c>
      <c r="B4" s="2581" t="s">
        <v>1216</v>
      </c>
      <c r="C4" s="2581" t="s">
        <v>1217</v>
      </c>
      <c r="D4" s="2581" t="s">
        <v>1218</v>
      </c>
      <c r="E4" s="1634"/>
      <c r="F4" s="2582"/>
      <c r="G4" s="2582"/>
    </row>
    <row r="5" spans="1:9" ht="15.6">
      <c r="A5" s="2581" t="s">
        <v>1219</v>
      </c>
      <c r="B5" s="2581">
        <f ca="1">SUM(D14:D23)</f>
        <v>748</v>
      </c>
      <c r="C5" s="2581">
        <f ca="1">ROUND(B5*10000/$B$1,0)</f>
        <v>21565</v>
      </c>
      <c r="D5" s="2581" t="e">
        <f ca="1">ROUND(B5*10000/$B$2,0)</f>
        <v>#DIV/0!</v>
      </c>
      <c r="E5" s="1634"/>
      <c r="F5" s="2582"/>
      <c r="G5" s="2582"/>
    </row>
    <row r="6" spans="1:9" ht="15.6">
      <c r="A6" s="2581" t="s">
        <v>1220</v>
      </c>
      <c r="B6" s="2581">
        <f ca="1">SUM(G14:G23)</f>
        <v>748</v>
      </c>
      <c r="C6" s="2581">
        <f t="shared" ref="C6:C8" ca="1" si="0">ROUND(B6*10000/$B$1,0)</f>
        <v>21565</v>
      </c>
      <c r="D6" s="2581" t="e">
        <f t="shared" ref="D6:D8" ca="1" si="1">ROUND(B6*10000/$B$2,0)</f>
        <v>#DIV/0!</v>
      </c>
      <c r="E6" s="1634"/>
      <c r="F6" s="2582"/>
      <c r="G6" s="2582"/>
    </row>
    <row r="7" spans="1:9" ht="15.6">
      <c r="A7" s="2581" t="s">
        <v>1221</v>
      </c>
      <c r="B7" s="2581">
        <f>SUM(H14:H23)</f>
        <v>0</v>
      </c>
      <c r="C7" s="2581">
        <f>ROUND(B7*10000/$B$1,0)</f>
        <v>0</v>
      </c>
      <c r="D7" s="2581" t="e">
        <f t="shared" si="1"/>
        <v>#DIV/0!</v>
      </c>
      <c r="E7" s="1634"/>
      <c r="F7" s="2582"/>
      <c r="G7" s="2582"/>
    </row>
    <row r="8" spans="1:9" ht="15.6">
      <c r="A8" s="2581" t="s">
        <v>1222</v>
      </c>
      <c r="B8" s="2581">
        <f>SUM(I14:I23)</f>
        <v>0</v>
      </c>
      <c r="C8" s="2581">
        <f t="shared" si="0"/>
        <v>0</v>
      </c>
      <c r="D8" s="2581" t="e">
        <f t="shared" si="1"/>
        <v>#DIV/0!</v>
      </c>
      <c r="E8" s="1634"/>
      <c r="F8" s="2582"/>
      <c r="G8" s="2582"/>
    </row>
    <row r="9" spans="1:9" ht="15.6">
      <c r="A9" s="2581" t="s">
        <v>1223</v>
      </c>
      <c r="B9" s="2585"/>
      <c r="C9" s="1634"/>
      <c r="D9" s="1634"/>
      <c r="E9" s="1634"/>
      <c r="F9" s="2582"/>
      <c r="G9" s="2582"/>
    </row>
    <row r="10" spans="1:9" ht="15.6">
      <c r="A10" s="2581" t="s">
        <v>1224</v>
      </c>
      <c r="B10" s="2585"/>
      <c r="C10" s="1634"/>
      <c r="D10" s="1634"/>
      <c r="E10" s="1634"/>
      <c r="F10" s="2582"/>
      <c r="G10" s="2582"/>
    </row>
    <row r="11" spans="1:9" ht="15.6">
      <c r="A11" s="2581" t="s">
        <v>1239</v>
      </c>
      <c r="B11" s="2585"/>
      <c r="C11" s="1634"/>
      <c r="D11" s="1634"/>
      <c r="E11" s="1634"/>
      <c r="F11" s="2582"/>
      <c r="G11" s="2582"/>
    </row>
    <row r="12" spans="1:9" ht="15.6">
      <c r="A12" s="1634"/>
      <c r="B12" s="1634"/>
      <c r="C12" s="1634"/>
      <c r="D12" s="1634"/>
      <c r="E12" s="1634"/>
      <c r="F12" s="2582"/>
      <c r="G12" s="2582"/>
    </row>
    <row r="13" spans="1:9" ht="31.2">
      <c r="A13" s="2586" t="s">
        <v>1238</v>
      </c>
      <c r="B13" s="2587" t="s">
        <v>1212</v>
      </c>
      <c r="C13" s="2587" t="s">
        <v>1213</v>
      </c>
      <c r="D13" s="2587" t="s">
        <v>1225</v>
      </c>
      <c r="E13" s="2581" t="s">
        <v>1217</v>
      </c>
      <c r="F13" s="2581" t="s">
        <v>1218</v>
      </c>
      <c r="G13" s="2587" t="s">
        <v>1226</v>
      </c>
      <c r="H13" s="2587" t="s">
        <v>1227</v>
      </c>
      <c r="I13" s="2587" t="s">
        <v>1228</v>
      </c>
    </row>
    <row r="14" spans="1:9" ht="15.6">
      <c r="A14" s="3163" t="s">
        <v>2932</v>
      </c>
      <c r="B14" s="2910">
        <f>项目基本情况!C12</f>
        <v>346.86</v>
      </c>
      <c r="C14" s="2910">
        <f>项目基本情况!C13</f>
        <v>0</v>
      </c>
      <c r="D14" s="2910">
        <f ca="1">IF('数据-取费表'!B3="万元",IF(A14="估价对象1（结果表）",结果表!H121,'结果表 (1修多)'!H125),IF(A14="估价对象1（结果表）",结果表!H121,'结果表 (1修多)'!H125)/10000)</f>
        <v>748</v>
      </c>
      <c r="E14" s="2910">
        <f ca="1">ROUND(D14*10000/B14,0)</f>
        <v>21565</v>
      </c>
      <c r="F14" s="2910" t="e">
        <f ca="1">ROUND(D14*10000/C14,0)</f>
        <v>#DIV/0!</v>
      </c>
      <c r="G14" s="2910">
        <f ca="1">IF('数据-取费表'!B3="万元",IF(A14="估价对象1（结果表）",结果表!D125,'结果表 (1修多)'!D129),IF(A14="估价对象1（结果表）",结果表!D125,'结果表 (1修多)'!D129)/10000)</f>
        <v>748</v>
      </c>
      <c r="H14" s="2910" t="str">
        <f>IF('数据-取费表'!B3="万元",IF(A14="估价对象1（结果表）",结果表!D127,'结果表 (1修多)'!D131),IF(A14="估价对象1（结果表）",结果表!D127,'结果表 (1修多)'!D131)/10000)</f>
        <v>——</v>
      </c>
      <c r="I14" s="2910" t="str">
        <f>IF('数据-取费表'!B3="万元",IF(A14="估价对象1（结果表）",结果表!D129,'结果表 (1修多)'!D133),IF(A14="估价对象1（结果表）",结果表!D129,'结果表 (1修多)'!D133)/10000)</f>
        <v>——</v>
      </c>
    </row>
    <row r="15" spans="1:9" ht="15.6">
      <c r="A15" s="2588" t="s">
        <v>1229</v>
      </c>
      <c r="B15" s="2589"/>
      <c r="C15" s="2589"/>
      <c r="D15" s="2589"/>
      <c r="E15" s="2910" t="e">
        <f t="shared" ref="E15:E23" si="2">ROUND(D15*10000/B15,0)</f>
        <v>#DIV/0!</v>
      </c>
      <c r="F15" s="2910" t="e">
        <f t="shared" ref="F15:F23" si="3">ROUND(D15*10000/C15,0)</f>
        <v>#DIV/0!</v>
      </c>
      <c r="G15" s="1305"/>
      <c r="H15" s="1305"/>
      <c r="I15" s="2589"/>
    </row>
    <row r="16" spans="1:9" ht="15.6">
      <c r="A16" s="2588" t="s">
        <v>1230</v>
      </c>
      <c r="B16" s="2589"/>
      <c r="C16" s="2589"/>
      <c r="D16" s="2589"/>
      <c r="E16" s="2910" t="e">
        <f t="shared" si="2"/>
        <v>#DIV/0!</v>
      </c>
      <c r="F16" s="2910" t="e">
        <f t="shared" si="3"/>
        <v>#DIV/0!</v>
      </c>
      <c r="G16" s="1305"/>
      <c r="H16" s="1305"/>
      <c r="I16" s="2589"/>
    </row>
    <row r="17" spans="1:9" ht="15.6">
      <c r="A17" s="2588" t="s">
        <v>1231</v>
      </c>
      <c r="B17" s="2589"/>
      <c r="C17" s="2589"/>
      <c r="D17" s="2589"/>
      <c r="E17" s="2910" t="e">
        <f t="shared" si="2"/>
        <v>#DIV/0!</v>
      </c>
      <c r="F17" s="2910" t="e">
        <f t="shared" si="3"/>
        <v>#DIV/0!</v>
      </c>
      <c r="G17" s="1305"/>
      <c r="H17" s="1305"/>
      <c r="I17" s="2589"/>
    </row>
    <row r="18" spans="1:9" ht="15.6">
      <c r="A18" s="2588" t="s">
        <v>1232</v>
      </c>
      <c r="B18" s="2589"/>
      <c r="C18" s="2589"/>
      <c r="D18" s="2589"/>
      <c r="E18" s="2910" t="e">
        <f t="shared" si="2"/>
        <v>#DIV/0!</v>
      </c>
      <c r="F18" s="2910" t="e">
        <f t="shared" si="3"/>
        <v>#DIV/0!</v>
      </c>
      <c r="G18" s="2589"/>
      <c r="H18" s="2589"/>
      <c r="I18" s="2589"/>
    </row>
    <row r="19" spans="1:9" ht="15.6">
      <c r="A19" s="2588" t="s">
        <v>1233</v>
      </c>
      <c r="B19" s="2589"/>
      <c r="C19" s="2589"/>
      <c r="D19" s="2589"/>
      <c r="E19" s="2910" t="e">
        <f t="shared" si="2"/>
        <v>#DIV/0!</v>
      </c>
      <c r="F19" s="2910" t="e">
        <f t="shared" si="3"/>
        <v>#DIV/0!</v>
      </c>
      <c r="G19" s="2589"/>
      <c r="H19" s="2589"/>
      <c r="I19" s="2589"/>
    </row>
    <row r="20" spans="1:9" ht="15.6">
      <c r="A20" s="2588" t="s">
        <v>1234</v>
      </c>
      <c r="B20" s="2589"/>
      <c r="C20" s="2589"/>
      <c r="D20" s="2589"/>
      <c r="E20" s="2910" t="e">
        <f t="shared" si="2"/>
        <v>#DIV/0!</v>
      </c>
      <c r="F20" s="2910" t="e">
        <f t="shared" si="3"/>
        <v>#DIV/0!</v>
      </c>
      <c r="G20" s="2589"/>
      <c r="H20" s="2589"/>
      <c r="I20" s="2589"/>
    </row>
    <row r="21" spans="1:9" ht="15.6">
      <c r="A21" s="2588" t="s">
        <v>1235</v>
      </c>
      <c r="B21" s="2589"/>
      <c r="C21" s="2589"/>
      <c r="D21" s="2589"/>
      <c r="E21" s="2910" t="e">
        <f t="shared" si="2"/>
        <v>#DIV/0!</v>
      </c>
      <c r="F21" s="2910" t="e">
        <f t="shared" si="3"/>
        <v>#DIV/0!</v>
      </c>
      <c r="G21" s="2589"/>
      <c r="H21" s="2589"/>
      <c r="I21" s="2589"/>
    </row>
    <row r="22" spans="1:9" ht="15.6">
      <c r="A22" s="2588" t="s">
        <v>1236</v>
      </c>
      <c r="B22" s="2589"/>
      <c r="C22" s="2589"/>
      <c r="D22" s="2589"/>
      <c r="E22" s="2910" t="e">
        <f t="shared" si="2"/>
        <v>#DIV/0!</v>
      </c>
      <c r="F22" s="2910" t="e">
        <f t="shared" si="3"/>
        <v>#DIV/0!</v>
      </c>
      <c r="G22" s="2589"/>
      <c r="H22" s="2589"/>
      <c r="I22" s="2589"/>
    </row>
    <row r="23" spans="1:9" ht="15.6">
      <c r="A23" s="2588" t="s">
        <v>1237</v>
      </c>
      <c r="B23" s="2589"/>
      <c r="C23" s="2589"/>
      <c r="D23" s="2589"/>
      <c r="E23" s="2911" t="e">
        <f t="shared" si="2"/>
        <v>#DIV/0!</v>
      </c>
      <c r="F23" s="2911"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90" zoomScaleNormal="100" zoomScaleSheetLayoutView="90" zoomScalePageLayoutView="80" workbookViewId="0">
      <selection activeCell="G35" sqref="G35"/>
    </sheetView>
  </sheetViews>
  <sheetFormatPr defaultColWidth="12.6640625" defaultRowHeight="21.75" customHeight="1"/>
  <cols>
    <col min="1" max="2" width="12.6640625" style="1462"/>
    <col min="3" max="4" width="12.6640625" style="1462" customWidth="1"/>
    <col min="5" max="9" width="12.6640625" style="1462"/>
    <col min="10" max="10" width="3.6640625" style="2837"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19" t="str">
        <f>项目基本情况!B1</f>
        <v>北京市房地产抵押价值预评估</v>
      </c>
      <c r="B2" s="3319"/>
      <c r="C2" s="3319"/>
      <c r="D2" s="3319"/>
      <c r="E2" s="3319"/>
      <c r="F2" s="3319"/>
      <c r="G2" s="3319"/>
      <c r="H2" s="3319"/>
      <c r="I2" s="3319"/>
      <c r="J2" s="2838"/>
    </row>
    <row r="3" spans="1:15" ht="13.2">
      <c r="A3" s="3322" t="s">
        <v>1710</v>
      </c>
      <c r="B3" s="3323"/>
      <c r="C3" s="3323"/>
      <c r="D3" s="3323"/>
      <c r="E3" s="3323"/>
      <c r="F3" s="3323"/>
      <c r="G3" s="3323"/>
      <c r="H3" s="3323"/>
      <c r="I3" s="3323"/>
      <c r="J3" s="2839"/>
    </row>
    <row r="4" spans="1:15" ht="14.4">
      <c r="A4" s="2707" t="s">
        <v>1711</v>
      </c>
      <c r="B4" s="2707" t="s">
        <v>1712</v>
      </c>
      <c r="C4" s="2708" t="s">
        <v>2925</v>
      </c>
      <c r="D4" s="2708" t="s">
        <v>2926</v>
      </c>
      <c r="E4" s="3268" t="s">
        <v>1713</v>
      </c>
      <c r="F4" s="3306"/>
      <c r="G4" s="3306"/>
      <c r="H4" s="3306"/>
      <c r="I4" s="3307"/>
      <c r="J4" s="2840"/>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3.2">
      <c r="A5" s="3299" t="s">
        <v>1714</v>
      </c>
      <c r="B5" s="3299">
        <v>25</v>
      </c>
      <c r="C5" s="3308"/>
      <c r="D5" s="3321"/>
      <c r="E5" s="12" t="s">
        <v>1715</v>
      </c>
      <c r="F5" s="2089"/>
      <c r="G5" s="2089"/>
      <c r="H5" s="2089"/>
      <c r="I5" s="2084"/>
      <c r="J5" s="2840"/>
    </row>
    <row r="6" spans="1:15" ht="13.2">
      <c r="A6" s="3299"/>
      <c r="B6" s="3299"/>
      <c r="C6" s="3324"/>
      <c r="D6" s="3321"/>
      <c r="E6" s="12" t="s">
        <v>1716</v>
      </c>
      <c r="F6" s="2089"/>
      <c r="G6" s="2089"/>
      <c r="H6" s="2089"/>
      <c r="I6" s="2084"/>
      <c r="J6" s="2840"/>
    </row>
    <row r="7" spans="1:15" ht="13.2">
      <c r="A7" s="3299"/>
      <c r="B7" s="3299"/>
      <c r="C7" s="3309"/>
      <c r="D7" s="3321"/>
      <c r="E7" s="12" t="s">
        <v>1717</v>
      </c>
      <c r="F7" s="2089"/>
      <c r="G7" s="2089"/>
      <c r="H7" s="2089"/>
      <c r="I7" s="2084"/>
      <c r="J7" s="2840"/>
    </row>
    <row r="8" spans="1:15" ht="13.2">
      <c r="A8" s="3299" t="s">
        <v>1718</v>
      </c>
      <c r="B8" s="3299">
        <v>15</v>
      </c>
      <c r="C8" s="3308"/>
      <c r="D8" s="3321"/>
      <c r="E8" s="12" t="s">
        <v>1719</v>
      </c>
      <c r="F8" s="2089"/>
      <c r="G8" s="2089"/>
      <c r="H8" s="2089"/>
      <c r="I8" s="2084"/>
      <c r="J8" s="2840"/>
    </row>
    <row r="9" spans="1:15" ht="13.2">
      <c r="A9" s="3299"/>
      <c r="B9" s="3299"/>
      <c r="C9" s="3309"/>
      <c r="D9" s="3321"/>
      <c r="E9" s="12" t="s">
        <v>1720</v>
      </c>
      <c r="F9" s="2089"/>
      <c r="G9" s="2089"/>
      <c r="H9" s="2089"/>
      <c r="I9" s="2084"/>
      <c r="J9" s="2840"/>
    </row>
    <row r="10" spans="1:15" ht="13.2">
      <c r="A10" s="3299" t="s">
        <v>1721</v>
      </c>
      <c r="B10" s="3299">
        <v>15</v>
      </c>
      <c r="C10" s="3308"/>
      <c r="D10" s="3321"/>
      <c r="E10" s="12" t="s">
        <v>1722</v>
      </c>
      <c r="F10" s="2089"/>
      <c r="G10" s="2089"/>
      <c r="H10" s="2089"/>
      <c r="I10" s="2084"/>
      <c r="J10" s="2840"/>
    </row>
    <row r="11" spans="1:15" ht="13.2">
      <c r="A11" s="3299"/>
      <c r="B11" s="3299"/>
      <c r="C11" s="3309"/>
      <c r="D11" s="3321"/>
      <c r="E11" s="12" t="s">
        <v>1723</v>
      </c>
      <c r="F11" s="2089"/>
      <c r="G11" s="2089"/>
      <c r="H11" s="2089"/>
      <c r="I11" s="2084"/>
      <c r="J11" s="2840"/>
    </row>
    <row r="12" spans="1:15" ht="13.2">
      <c r="A12" s="3299" t="s">
        <v>1724</v>
      </c>
      <c r="B12" s="3299">
        <v>15</v>
      </c>
      <c r="C12" s="3308"/>
      <c r="D12" s="3321"/>
      <c r="E12" s="12" t="s">
        <v>1725</v>
      </c>
      <c r="F12" s="2089"/>
      <c r="G12" s="2089"/>
      <c r="H12" s="2089"/>
      <c r="I12" s="2084"/>
      <c r="J12" s="2840"/>
    </row>
    <row r="13" spans="1:15" ht="13.2">
      <c r="A13" s="3299"/>
      <c r="B13" s="3299"/>
      <c r="C13" s="3309"/>
      <c r="D13" s="3321"/>
      <c r="E13" s="12" t="s">
        <v>1726</v>
      </c>
      <c r="F13" s="2089"/>
      <c r="G13" s="2089"/>
      <c r="H13" s="2089"/>
      <c r="I13" s="2084"/>
      <c r="J13" s="2840"/>
    </row>
    <row r="14" spans="1:15" ht="13.2">
      <c r="A14" s="3299" t="s">
        <v>1727</v>
      </c>
      <c r="B14" s="3299">
        <v>30</v>
      </c>
      <c r="C14" s="3308">
        <v>5</v>
      </c>
      <c r="D14" s="3321">
        <v>5</v>
      </c>
      <c r="E14" s="12" t="s">
        <v>1728</v>
      </c>
      <c r="F14" s="2089"/>
      <c r="G14" s="2089"/>
      <c r="H14" s="2089"/>
      <c r="I14" s="2084"/>
      <c r="J14" s="2840"/>
    </row>
    <row r="15" spans="1:15" ht="13.2">
      <c r="A15" s="3299"/>
      <c r="B15" s="3299"/>
      <c r="C15" s="3324"/>
      <c r="D15" s="3321"/>
      <c r="E15" s="12" t="s">
        <v>1729</v>
      </c>
      <c r="F15" s="2089"/>
      <c r="G15" s="2089"/>
      <c r="H15" s="2089"/>
      <c r="I15" s="2084"/>
      <c r="J15" s="2840"/>
    </row>
    <row r="16" spans="1:15" ht="13.2">
      <c r="A16" s="3299"/>
      <c r="B16" s="3299"/>
      <c r="C16" s="3309"/>
      <c r="D16" s="3321"/>
      <c r="E16" s="12" t="s">
        <v>1730</v>
      </c>
      <c r="F16" s="2089"/>
      <c r="G16" s="2089"/>
      <c r="H16" s="2089"/>
      <c r="I16" s="2084"/>
      <c r="J16" s="2840"/>
    </row>
    <row r="17" spans="1:36" ht="14.4">
      <c r="A17" s="2709" t="s">
        <v>1731</v>
      </c>
      <c r="B17" s="2094"/>
      <c r="C17" s="2710">
        <f>SUM(C5:C16)</f>
        <v>5</v>
      </c>
      <c r="D17" s="2710">
        <f>SUM(D5:D16)</f>
        <v>5</v>
      </c>
      <c r="E17" s="2563"/>
      <c r="F17" s="2563"/>
      <c r="G17" s="2563"/>
      <c r="H17" s="2563"/>
      <c r="I17" s="2563"/>
      <c r="J17" s="2841"/>
    </row>
    <row r="18" spans="1:36" ht="30" customHeight="1" thickBot="1">
      <c r="A18" s="2711" t="s">
        <v>1732</v>
      </c>
      <c r="B18" s="2712"/>
      <c r="C18" s="2713">
        <f>ROUND(C17/SUM(C17:D17),2)</f>
        <v>0.5</v>
      </c>
      <c r="D18" s="2713">
        <f>1-C18</f>
        <v>0.5</v>
      </c>
      <c r="E18" s="3317" t="s">
        <v>2817</v>
      </c>
      <c r="F18" s="3318"/>
      <c r="G18" s="3318"/>
      <c r="H18" s="3318"/>
      <c r="I18" s="3318"/>
      <c r="J18" s="2841"/>
    </row>
    <row r="19" spans="1:36" ht="14.4">
      <c r="A19" s="2714" t="s">
        <v>1733</v>
      </c>
      <c r="B19" s="2715" t="s">
        <v>1734</v>
      </c>
      <c r="C19" s="2716">
        <f ca="1">SUMIF(INDIRECT("'"&amp;C4&amp;"'"&amp;"!A:A"),结果表!B19,INDIRECT("'"&amp;C4&amp;"'"&amp;"!B:B"))</f>
        <v>768</v>
      </c>
      <c r="D19" s="2717">
        <f ca="1">SUMIF(INDIRECT("'"&amp;D4&amp;"'"&amp;"!A:A"),结果表!B19,INDIRECT("'"&amp;D4&amp;"'"&amp;"!B:B"))</f>
        <v>728</v>
      </c>
      <c r="E19" s="2714" t="s">
        <v>1735</v>
      </c>
      <c r="F19" s="2715" t="s">
        <v>1734</v>
      </c>
      <c r="G19" s="2718">
        <f ca="1">ROUND(C19*$C$18+D19*$D$18,0)</f>
        <v>748</v>
      </c>
      <c r="H19" s="2719" t="str">
        <f>'数据-取费表'!B3</f>
        <v>万元</v>
      </c>
      <c r="I19" s="2767"/>
      <c r="J19" s="2842"/>
    </row>
    <row r="20" spans="1:36" ht="14.4">
      <c r="A20" s="2720"/>
      <c r="B20" s="1694" t="s">
        <v>1736</v>
      </c>
      <c r="C20" s="1919">
        <f ca="1">SUMIF(INDIRECT("'"&amp;C4&amp;"'"&amp;"!A:A"),结果表!B20,INDIRECT("'"&amp;C4&amp;"'"&amp;"!B:B"))</f>
        <v>22146</v>
      </c>
      <c r="D20" s="1922">
        <f ca="1">SUMIF(INDIRECT("'"&amp;D4&amp;"'"&amp;"!A:A"),结果表!B20,INDIRECT("'"&amp;D4&amp;"'"&amp;"!B:B"))</f>
        <v>20998</v>
      </c>
      <c r="E20" s="2720"/>
      <c r="F20" s="1694" t="s">
        <v>1736</v>
      </c>
      <c r="G20" s="2093">
        <f ca="1">ROUND(C20*$C$18+D20*$D$18,0)</f>
        <v>21572</v>
      </c>
      <c r="H20" s="2721" t="s">
        <v>1737</v>
      </c>
      <c r="I20" s="2563"/>
      <c r="J20" s="2841"/>
    </row>
    <row r="21" spans="1:36" ht="15" customHeight="1" thickBot="1">
      <c r="A21" s="2722"/>
      <c r="B21" s="2723"/>
      <c r="C21" s="2723"/>
      <c r="D21" s="2724"/>
      <c r="E21" s="2722"/>
      <c r="F21" s="2723"/>
      <c r="G21" s="2725"/>
      <c r="H21" s="2726"/>
      <c r="I21" s="2563"/>
      <c r="J21" s="2841"/>
    </row>
    <row r="22" spans="1:36" ht="15" thickBot="1">
      <c r="A22" s="2727" t="s">
        <v>1738</v>
      </c>
      <c r="B22" s="2728"/>
      <c r="C22" s="2647"/>
      <c r="D22" s="2729">
        <f ca="1">IF(C19&lt;D19,D19/C19-1,C19/D19-1)</f>
        <v>5.4945054945054972E-2</v>
      </c>
      <c r="E22" s="947"/>
      <c r="F22" s="947"/>
      <c r="G22" s="947"/>
      <c r="H22" s="947"/>
      <c r="I22" s="947"/>
      <c r="J22" s="2841"/>
    </row>
    <row r="23" spans="1:36" ht="13.8" thickBot="1">
      <c r="A23" s="2563"/>
      <c r="B23" s="2563"/>
      <c r="C23" s="2563"/>
      <c r="D23" s="2563"/>
      <c r="E23" s="947"/>
      <c r="F23" s="947"/>
      <c r="G23" s="947"/>
      <c r="H23" s="947"/>
      <c r="I23" s="947"/>
      <c r="J23" s="2841"/>
    </row>
    <row r="24" spans="1:36" ht="21.75" customHeight="1">
      <c r="A24" s="3310" t="s">
        <v>1739</v>
      </c>
      <c r="B24" s="2715" t="s">
        <v>1734</v>
      </c>
      <c r="C24" s="2718">
        <f>D30</f>
        <v>0</v>
      </c>
      <c r="D24" s="2671"/>
      <c r="E24" s="947"/>
      <c r="F24" s="947"/>
      <c r="G24" s="947"/>
      <c r="H24" s="947"/>
      <c r="I24" s="947"/>
      <c r="J24" s="2841"/>
    </row>
    <row r="25" spans="1:36" ht="21.75" customHeight="1">
      <c r="A25" s="3327"/>
      <c r="B25" s="1694"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3.8">
      <c r="A27" s="2735"/>
      <c r="B27" s="2733">
        <v>0</v>
      </c>
      <c r="C27" s="2733">
        <v>0</v>
      </c>
      <c r="D27" s="2734">
        <f>ROUND(C27*B27/10000,0)</f>
        <v>0</v>
      </c>
      <c r="E27" s="947"/>
      <c r="F27" s="947"/>
      <c r="G27" s="947"/>
      <c r="H27" s="947"/>
      <c r="I27" s="947"/>
      <c r="J27" s="2841"/>
    </row>
    <row r="28" spans="1:36" ht="13.8">
      <c r="A28" s="2732"/>
      <c r="B28" s="2733"/>
      <c r="C28" s="2733"/>
      <c r="D28" s="2734">
        <f t="shared" ref="D28:D29" si="0">ROUND(C28*B28/10000,0)</f>
        <v>0</v>
      </c>
      <c r="E28" s="947"/>
      <c r="F28" s="947"/>
      <c r="G28" s="947"/>
      <c r="H28" s="947"/>
      <c r="I28" s="947"/>
      <c r="J28" s="2841"/>
    </row>
    <row r="29" spans="1:36" ht="13.8">
      <c r="A29" s="2732"/>
      <c r="B29" s="2733"/>
      <c r="C29" s="2733"/>
      <c r="D29" s="2734">
        <f t="shared" si="0"/>
        <v>0</v>
      </c>
      <c r="E29" s="947"/>
      <c r="F29" s="947"/>
      <c r="G29" s="947"/>
      <c r="H29" s="947"/>
      <c r="I29" s="947"/>
      <c r="J29" s="2841"/>
    </row>
    <row r="30" spans="1:36" ht="15" thickBot="1">
      <c r="A30" s="2769" t="s">
        <v>1744</v>
      </c>
      <c r="B30" s="2769"/>
      <c r="C30" s="2769"/>
      <c r="D30" s="2769"/>
      <c r="E30" s="2736" t="s">
        <v>2821</v>
      </c>
      <c r="F30" s="2563"/>
      <c r="G30" s="2563"/>
      <c r="H30" s="2563"/>
      <c r="I30" s="2563"/>
      <c r="J30" s="2841"/>
    </row>
    <row r="31" spans="1:36" s="2834" customFormat="1" ht="26.4" customHeight="1" thickTop="1" thickBot="1">
      <c r="A31" s="2829"/>
      <c r="B31" s="2830"/>
      <c r="C31" s="2830"/>
      <c r="D31" s="2830"/>
      <c r="E31" s="2830"/>
      <c r="F31" s="2830"/>
      <c r="G31" s="2830"/>
      <c r="H31" s="2830"/>
      <c r="I31" s="2831" t="s">
        <v>2822</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5.6" thickTop="1" thickBot="1">
      <c r="A32" s="2822" t="s">
        <v>1745</v>
      </c>
      <c r="B32" s="2823" t="str">
        <f>'数据-取费表'!B4</f>
        <v>总价</v>
      </c>
      <c r="C32" s="2824">
        <f ca="1">IF(B32="总价",G19-C24,G20-C25)</f>
        <v>748</v>
      </c>
      <c r="D32" s="2825" t="str">
        <f>IF(B32="楼面单价","元/平方米",H19)</f>
        <v>万元</v>
      </c>
      <c r="E32" s="2971"/>
      <c r="F32" s="2971"/>
      <c r="G32" s="2971"/>
      <c r="H32" s="2971"/>
      <c r="I32" s="2971"/>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4.4">
      <c r="A33" s="2737" t="s">
        <v>1746</v>
      </c>
      <c r="B33" s="255"/>
      <c r="C33" s="2738"/>
      <c r="D33" s="2739"/>
      <c r="E33" s="2740" t="s">
        <v>1747</v>
      </c>
      <c r="F33" s="2741" t="str">
        <f>IF(B32="楼面单价","取值（单价）","取值（总价）")</f>
        <v>取值（总价）</v>
      </c>
      <c r="G33" s="947"/>
      <c r="H33" s="947"/>
      <c r="I33" s="947"/>
      <c r="J33" s="2841"/>
    </row>
    <row r="34" spans="1:17" ht="14.4">
      <c r="A34" s="1466"/>
      <c r="B34" s="2742" t="s">
        <v>1748</v>
      </c>
      <c r="C34" s="2743">
        <f ca="1">IF(D33="自定义",F34,C32-C35)</f>
        <v>640</v>
      </c>
      <c r="D34" s="2744">
        <f ca="1">IF(D33="自定义",ROUND(C34/C32,3),1-D35)</f>
        <v>0.85499999999999998</v>
      </c>
      <c r="E34" s="1435" t="s">
        <v>1749</v>
      </c>
      <c r="F34" s="2745">
        <v>2000</v>
      </c>
      <c r="G34" s="947"/>
      <c r="H34" s="947"/>
      <c r="I34" s="947"/>
      <c r="J34" s="2841"/>
    </row>
    <row r="35" spans="1:17" ht="15" thickBot="1">
      <c r="A35" s="1467"/>
      <c r="B35" s="2746" t="s">
        <v>1750</v>
      </c>
      <c r="C35" s="2747">
        <f ca="1">IF(D33="自定义",F35,ROUND(C32*D35,0))</f>
        <v>108</v>
      </c>
      <c r="D35" s="2748">
        <f ca="1">IF(D33="自定义",ROUND(C35/C32,3),IF(D33="成本法成本比率",成本法!C56,IF(D33="收益法收益比率",收益法!J38,收益法!J41)))</f>
        <v>0.14499999999999999</v>
      </c>
      <c r="E35" s="2749" t="s">
        <v>1751</v>
      </c>
      <c r="F35" s="2750">
        <v>4460</v>
      </c>
      <c r="G35" s="947"/>
      <c r="H35" s="947"/>
      <c r="I35" s="947"/>
      <c r="J35" s="2841"/>
    </row>
    <row r="36" spans="1:17" ht="15" thickBot="1">
      <c r="A36" s="3310" t="s">
        <v>1752</v>
      </c>
      <c r="B36" s="1468" t="s">
        <v>1753</v>
      </c>
      <c r="C36" s="2751">
        <v>0</v>
      </c>
      <c r="D36" s="2752"/>
      <c r="E36" s="1680"/>
      <c r="F36" s="1680"/>
      <c r="G36" s="947"/>
      <c r="H36" s="947"/>
      <c r="I36" s="947"/>
      <c r="J36" s="2841"/>
    </row>
    <row r="37" spans="1:17" ht="15" thickBot="1">
      <c r="A37" s="3311"/>
      <c r="B37" s="2094" t="s">
        <v>1754</v>
      </c>
      <c r="C37" s="2753">
        <v>0</v>
      </c>
      <c r="D37" s="1311"/>
      <c r="E37" s="1311"/>
      <c r="F37" s="1680"/>
      <c r="G37" s="1311"/>
      <c r="H37" s="1311"/>
      <c r="I37" s="1311"/>
      <c r="J37" s="2845"/>
    </row>
    <row r="38" spans="1:17" ht="15" thickBot="1">
      <c r="A38" s="3312"/>
      <c r="B38" s="1469" t="s">
        <v>1755</v>
      </c>
      <c r="C38" s="2754">
        <v>0</v>
      </c>
      <c r="D38" s="2755" t="s">
        <v>1756</v>
      </c>
      <c r="E38" s="1311"/>
      <c r="F38" s="1680"/>
      <c r="G38" s="1311"/>
      <c r="H38" s="1311"/>
      <c r="I38" s="1311"/>
      <c r="J38" s="2845"/>
    </row>
    <row r="39" spans="1:17" ht="14.4">
      <c r="A39" s="2720" t="s">
        <v>1757</v>
      </c>
      <c r="B39" s="2756" t="s">
        <v>1741</v>
      </c>
      <c r="C39" s="2757" t="s">
        <v>1742</v>
      </c>
      <c r="D39" s="2757" t="s">
        <v>1758</v>
      </c>
      <c r="E39" s="2758" t="s">
        <v>1743</v>
      </c>
      <c r="F39" s="1680"/>
      <c r="G39" s="1311"/>
      <c r="H39" s="1311"/>
      <c r="I39" s="1311"/>
      <c r="J39" s="2845"/>
    </row>
    <row r="40" spans="1:17" ht="13.8">
      <c r="A40" s="2759" t="s">
        <v>1759</v>
      </c>
      <c r="B40" s="2760"/>
      <c r="C40" s="2761"/>
      <c r="D40" s="2761"/>
      <c r="E40" s="2762"/>
      <c r="F40" s="1680"/>
      <c r="G40" s="1311"/>
      <c r="H40" s="1311"/>
      <c r="I40" s="1311"/>
      <c r="J40" s="2845"/>
    </row>
    <row r="41" spans="1:17" ht="13.8">
      <c r="A41" s="2759" t="s">
        <v>1760</v>
      </c>
      <c r="B41" s="2760"/>
      <c r="C41" s="2761"/>
      <c r="D41" s="2761"/>
      <c r="E41" s="2762"/>
      <c r="F41" s="1680"/>
      <c r="G41" s="1311"/>
      <c r="H41" s="1311"/>
      <c r="I41" s="1311"/>
      <c r="J41" s="2845"/>
    </row>
    <row r="42" spans="1:17" ht="14.4" thickBot="1">
      <c r="A42" s="2763"/>
      <c r="B42" s="2764"/>
      <c r="C42" s="2765"/>
      <c r="D42" s="2765"/>
      <c r="E42" s="2750"/>
      <c r="F42" s="1680"/>
      <c r="G42" s="1311"/>
      <c r="H42" s="1311"/>
      <c r="I42" s="1311"/>
      <c r="J42" s="2845"/>
    </row>
    <row r="43" spans="1:17" ht="13.2">
      <c r="A43" s="2970"/>
      <c r="B43" s="2970"/>
      <c r="C43" s="2970"/>
      <c r="D43" s="2970"/>
      <c r="E43" s="2970"/>
      <c r="F43" s="2969"/>
      <c r="G43" s="2969"/>
      <c r="H43" s="2969"/>
      <c r="I43" s="2660"/>
      <c r="J43" s="2846"/>
    </row>
    <row r="44" spans="1:17" ht="17.399999999999999">
      <c r="A44" s="1471" t="s">
        <v>1761</v>
      </c>
      <c r="B44" s="1472"/>
      <c r="C44" s="1472"/>
      <c r="D44" s="1473"/>
      <c r="E44" s="1473"/>
      <c r="F44" s="1474"/>
      <c r="G44" s="1474"/>
      <c r="H44" s="1474"/>
      <c r="I44" s="2835" t="s">
        <v>2816</v>
      </c>
      <c r="J44" s="2847"/>
      <c r="K44" s="1475" t="s">
        <v>1762</v>
      </c>
      <c r="L44" s="1476"/>
      <c r="M44" s="1476"/>
      <c r="N44" s="1476"/>
      <c r="O44" s="1476"/>
      <c r="P44" s="1476"/>
      <c r="Q44" s="1308"/>
    </row>
    <row r="45" spans="1:17" ht="14.25" customHeight="1" thickBot="1">
      <c r="A45" s="3314" t="s">
        <v>1763</v>
      </c>
      <c r="B45" s="3315"/>
      <c r="C45" s="3274"/>
      <c r="D45" s="246">
        <f ca="1">ROUND(I102*F45,0)</f>
        <v>748</v>
      </c>
      <c r="E45" s="1542" t="s">
        <v>1764</v>
      </c>
      <c r="F45" s="2561">
        <v>1</v>
      </c>
      <c r="G45" s="2562" t="s">
        <v>1765</v>
      </c>
      <c r="H45" s="947"/>
      <c r="I45" s="947"/>
      <c r="J45" s="2841"/>
      <c r="K45" s="3368" t="s">
        <v>2746</v>
      </c>
      <c r="L45" s="3368"/>
      <c r="M45" s="3368"/>
      <c r="N45" s="3368"/>
      <c r="O45" s="3368"/>
      <c r="P45" s="3368"/>
      <c r="Q45" s="1308"/>
    </row>
    <row r="46" spans="1:17" ht="14.25" customHeight="1">
      <c r="A46" s="3303" t="s">
        <v>1767</v>
      </c>
      <c r="B46" s="3304"/>
      <c r="C46" s="3304"/>
      <c r="D46" s="3304"/>
      <c r="E46" s="3304"/>
      <c r="F46" s="3304"/>
      <c r="G46" s="3305"/>
      <c r="H46" s="2972"/>
      <c r="I46" s="947"/>
      <c r="J46" s="2841"/>
      <c r="K46" s="2536">
        <v>1</v>
      </c>
      <c r="L46" s="3369" t="s">
        <v>2747</v>
      </c>
      <c r="M46" s="3369"/>
      <c r="N46" s="3370" t="str">
        <f>项目基本情况!B1</f>
        <v>北京市房地产抵押价值预评估</v>
      </c>
      <c r="O46" s="3370"/>
      <c r="P46" s="3370"/>
      <c r="Q46" s="1308"/>
    </row>
    <row r="47" spans="1:17" ht="12" customHeight="1">
      <c r="A47" s="38" t="s">
        <v>1769</v>
      </c>
      <c r="B47" s="39"/>
      <c r="C47" s="40"/>
      <c r="D47" s="1099" t="s">
        <v>1770</v>
      </c>
      <c r="E47" s="235" t="s">
        <v>1771</v>
      </c>
      <c r="F47" s="41" t="s">
        <v>1772</v>
      </c>
      <c r="G47" s="2564" t="s">
        <v>1773</v>
      </c>
      <c r="H47" s="2972"/>
      <c r="I47" s="947"/>
      <c r="J47" s="2841"/>
      <c r="K47" s="2536">
        <v>2</v>
      </c>
      <c r="L47" s="3369" t="s">
        <v>2748</v>
      </c>
      <c r="M47" s="3369"/>
      <c r="N47" s="3371">
        <f>'数据-取费表'!B2</f>
        <v>44393</v>
      </c>
      <c r="O47" s="3371"/>
      <c r="P47" s="3371"/>
      <c r="Q47" s="1308"/>
    </row>
    <row r="48" spans="1:17" ht="26.4">
      <c r="A48" s="3313" t="s">
        <v>1775</v>
      </c>
      <c r="B48" s="3267"/>
      <c r="C48" s="3267"/>
      <c r="D48" s="12">
        <f ca="1">IF(H48="情况1",0,IF(H48="情况2",D52,IF(H48="情况3",D53,IF(H48="情况4",D54))))</f>
        <v>40</v>
      </c>
      <c r="E48" s="2092" t="str">
        <f>IF(H48="情况4","(销售额-原购置价)×税（费）率","销售额×税（费）率")</f>
        <v>销售额×税（费）率</v>
      </c>
      <c r="F48" s="2565">
        <f>IF(H48="情况1","免征",'数据-取费表'!E29)</f>
        <v>5.6000000000000001E-2</v>
      </c>
      <c r="G48" s="2566" t="s">
        <v>1776</v>
      </c>
      <c r="H48" s="2567" t="s">
        <v>1777</v>
      </c>
      <c r="I48" s="2972"/>
      <c r="J48" s="2848"/>
      <c r="K48" s="2536">
        <v>3</v>
      </c>
      <c r="L48" s="3369" t="s">
        <v>2749</v>
      </c>
      <c r="M48" s="3369"/>
      <c r="N48" s="3370">
        <f ca="1">I102</f>
        <v>748</v>
      </c>
      <c r="O48" s="3370"/>
      <c r="P48" s="3370"/>
      <c r="Q48" s="1308"/>
    </row>
    <row r="49" spans="1:17" ht="25.5" customHeight="1">
      <c r="A49" s="2091" t="s">
        <v>1779</v>
      </c>
      <c r="B49" s="3306" t="s">
        <v>1780</v>
      </c>
      <c r="C49" s="3306"/>
      <c r="D49" s="2568">
        <v>0</v>
      </c>
      <c r="E49" s="261" t="s">
        <v>1781</v>
      </c>
      <c r="F49" s="2569" t="s">
        <v>48</v>
      </c>
      <c r="G49" s="3363"/>
      <c r="H49" s="2570" t="s">
        <v>2823</v>
      </c>
      <c r="I49" s="2571"/>
      <c r="J49" s="2849"/>
      <c r="K49" s="2536">
        <v>4</v>
      </c>
      <c r="L49" s="3369" t="str">
        <f>IF(项目基本情况!F5="房地产抵押价值","房地产抵押价值","抵押担保权已注销时的房地产抵押价值")</f>
        <v>房地产抵押价值</v>
      </c>
      <c r="M49" s="3369"/>
      <c r="N49" s="3370">
        <f ca="1">IF(项目基本情况!F5="房地产抵押价值",I110,I112)</f>
        <v>748</v>
      </c>
      <c r="O49" s="3370"/>
      <c r="P49" s="3370"/>
      <c r="Q49" s="1308"/>
    </row>
    <row r="50" spans="1:17" ht="25.5" customHeight="1">
      <c r="A50" s="2081"/>
      <c r="B50" s="3306" t="s">
        <v>1782</v>
      </c>
      <c r="C50" s="3306"/>
      <c r="D50" s="2572"/>
      <c r="E50" s="269"/>
      <c r="F50" s="2569"/>
      <c r="G50" s="3364"/>
      <c r="H50" s="2573" t="s">
        <v>2742</v>
      </c>
      <c r="I50" s="2571"/>
      <c r="J50" s="2849"/>
      <c r="K50" s="3369" t="s">
        <v>2750</v>
      </c>
      <c r="L50" s="3369"/>
      <c r="M50" s="3369"/>
      <c r="N50" s="3369"/>
      <c r="O50" s="3369"/>
      <c r="P50" s="3369"/>
      <c r="Q50" s="1308"/>
    </row>
    <row r="51" spans="1:17" ht="20.399999999999999" customHeight="1">
      <c r="A51" s="2574"/>
      <c r="B51" s="3306" t="s">
        <v>1784</v>
      </c>
      <c r="C51" s="3306"/>
      <c r="D51" s="1099"/>
      <c r="E51" s="264"/>
      <c r="F51" s="2569"/>
      <c r="G51" s="3365"/>
      <c r="H51" s="2573" t="s">
        <v>2743</v>
      </c>
      <c r="I51" s="2571"/>
      <c r="J51" s="2849"/>
      <c r="K51" s="2537" t="s">
        <v>2751</v>
      </c>
      <c r="L51" s="3369" t="s">
        <v>2752</v>
      </c>
      <c r="M51" s="3369"/>
      <c r="N51" s="2537" t="s">
        <v>2753</v>
      </c>
      <c r="O51" s="2537" t="s">
        <v>2754</v>
      </c>
      <c r="P51" s="2537" t="s">
        <v>2755</v>
      </c>
      <c r="Q51" s="1308"/>
    </row>
    <row r="52" spans="1:17" ht="24" customHeight="1">
      <c r="A52" s="2082" t="s">
        <v>1790</v>
      </c>
      <c r="B52" s="3306" t="s">
        <v>1791</v>
      </c>
      <c r="C52" s="3306"/>
      <c r="D52" s="1099">
        <f ca="1">ROUND(D45*'数据-取费表'!E29/(1+'数据-取费表'!F30),0)</f>
        <v>40</v>
      </c>
      <c r="E52" s="2092" t="s">
        <v>1792</v>
      </c>
      <c r="F52" s="2575">
        <f>'数据-取费表'!E29</f>
        <v>5.6000000000000001E-2</v>
      </c>
      <c r="G52" s="2576"/>
      <c r="H52" s="947"/>
      <c r="I52" s="2973"/>
      <c r="J52" s="2849"/>
      <c r="K52" s="2536">
        <v>1</v>
      </c>
      <c r="L52" s="3336" t="s">
        <v>2756</v>
      </c>
      <c r="M52" s="3336"/>
      <c r="N52" s="2538">
        <f ca="1">D48</f>
        <v>40</v>
      </c>
      <c r="O52" s="2536" t="str">
        <f>E48</f>
        <v>销售额×税（费）率</v>
      </c>
      <c r="P52" s="2539">
        <f>F48</f>
        <v>5.6000000000000001E-2</v>
      </c>
      <c r="Q52" s="1308"/>
    </row>
    <row r="53" spans="1:17" ht="12" customHeight="1">
      <c r="A53" s="2082" t="s">
        <v>1794</v>
      </c>
      <c r="B53" s="3268" t="s">
        <v>2835</v>
      </c>
      <c r="C53" s="3307"/>
      <c r="D53" s="1099">
        <f ca="1">ROUND(D45*'数据-取费表'!E29/(1+'数据-取费表'!F30),0)</f>
        <v>40</v>
      </c>
      <c r="E53" s="2092" t="s">
        <v>1792</v>
      </c>
      <c r="F53" s="2575">
        <f>'数据-取费表'!E29</f>
        <v>5.6000000000000001E-2</v>
      </c>
      <c r="G53" s="2576"/>
      <c r="H53" s="947"/>
      <c r="I53" s="2973"/>
      <c r="J53" s="2849"/>
      <c r="K53" s="2536">
        <v>2</v>
      </c>
      <c r="L53" s="3336" t="s">
        <v>2757</v>
      </c>
      <c r="M53" s="3336"/>
      <c r="N53" s="2538">
        <f t="shared" ref="N53:P54" si="1">D55</f>
        <v>0</v>
      </c>
      <c r="O53" s="2536" t="str">
        <f t="shared" si="1"/>
        <v>销售额×税（费）率</v>
      </c>
      <c r="P53" s="2539" t="str">
        <f t="shared" si="1"/>
        <v>免征</v>
      </c>
      <c r="Q53" s="1308"/>
    </row>
    <row r="54" spans="1:17" ht="12" customHeight="1">
      <c r="A54" s="2082" t="s">
        <v>1796</v>
      </c>
      <c r="B54" s="3268" t="s">
        <v>2836</v>
      </c>
      <c r="C54" s="3307"/>
      <c r="D54" s="1099">
        <f ca="1">C68</f>
        <v>40</v>
      </c>
      <c r="E54" s="264" t="s">
        <v>1797</v>
      </c>
      <c r="F54" s="2575">
        <f>'数据-取费表'!E29</f>
        <v>5.6000000000000001E-2</v>
      </c>
      <c r="G54" s="2576"/>
      <c r="H54" s="2974"/>
      <c r="I54" s="2973"/>
      <c r="J54" s="2849"/>
      <c r="K54" s="2536">
        <v>3</v>
      </c>
      <c r="L54" s="3336" t="s">
        <v>2758</v>
      </c>
      <c r="M54" s="3336"/>
      <c r="N54" s="2538">
        <f t="shared" si="1"/>
        <v>0</v>
      </c>
      <c r="O54" s="2536" t="str">
        <f t="shared" si="1"/>
        <v>增值额×税（费）率</v>
      </c>
      <c r="P54" s="2540" t="str">
        <f t="shared" si="1"/>
        <v>免征</v>
      </c>
      <c r="Q54" s="1308"/>
    </row>
    <row r="55" spans="1:17" ht="24" customHeight="1">
      <c r="A55" s="3266" t="s">
        <v>1799</v>
      </c>
      <c r="B55" s="3267"/>
      <c r="C55" s="3267"/>
      <c r="D55" s="12">
        <f>IF(H55="个人住宅",0,ROUND(D45*I55,0))</f>
        <v>0</v>
      </c>
      <c r="E55" s="2092" t="s">
        <v>1800</v>
      </c>
      <c r="F55" s="2575" t="str">
        <f>IF(H55="正常",I55,"免征")</f>
        <v>免征</v>
      </c>
      <c r="G55" s="2576"/>
      <c r="H55" s="2567" t="s">
        <v>2739</v>
      </c>
      <c r="I55" s="74">
        <f>'数据-取费表'!E37</f>
        <v>5.0000000000000001E-4</v>
      </c>
      <c r="J55" s="2849"/>
      <c r="K55" s="2536" t="str">
        <f>IF(H59="非个人房产","",4)</f>
        <v/>
      </c>
      <c r="L55" s="3336" t="str">
        <f>IF(H59="非个人房产","——","个人所得税")</f>
        <v>——</v>
      </c>
      <c r="M55" s="3336"/>
      <c r="N55" s="2541" t="str">
        <f>D59</f>
        <v>——</v>
      </c>
      <c r="O55" s="2542" t="str">
        <f>E59</f>
        <v>——</v>
      </c>
      <c r="P55" s="2543" t="str">
        <f>F59</f>
        <v>——</v>
      </c>
      <c r="Q55" s="1308"/>
    </row>
    <row r="56" spans="1:17" ht="25.2">
      <c r="A56" s="3266" t="s">
        <v>1802</v>
      </c>
      <c r="B56" s="3267"/>
      <c r="C56" s="3267"/>
      <c r="D56" s="12">
        <f>IF(H56="个人住宅",D57,D58)</f>
        <v>0</v>
      </c>
      <c r="E56" s="2092" t="s">
        <v>1803</v>
      </c>
      <c r="F56" s="2575" t="str">
        <f>IF(H56="正常",F58,"免征")</f>
        <v>免征</v>
      </c>
      <c r="G56" s="2577" t="s">
        <v>1804</v>
      </c>
      <c r="H56" s="2578" t="s">
        <v>2739</v>
      </c>
      <c r="I56" s="2975"/>
      <c r="J56" s="2849"/>
      <c r="K56" s="2536" t="str">
        <f>IF(项目基本情况!I6="上海银行",IF(K55="",4,K55+1),"")</f>
        <v/>
      </c>
      <c r="L56" s="3350" t="str">
        <f>IF(项目基本情况!I6="上海银行","其他处置费用","")</f>
        <v/>
      </c>
      <c r="M56" s="3351"/>
      <c r="N56" s="2538" t="str">
        <f>IF(项目基本情况!I6="上海银行",N69,"")</f>
        <v/>
      </c>
      <c r="O56" s="3350" t="str">
        <f>IF(项目基本情况!I6="上海银行","包含处置中涉及的律师、诉讼、拍卖、评估等费用","")</f>
        <v/>
      </c>
      <c r="P56" s="3362"/>
      <c r="Q56" s="1308"/>
    </row>
    <row r="57" spans="1:17" ht="13.2">
      <c r="A57" s="2082" t="s">
        <v>1779</v>
      </c>
      <c r="B57" s="3268" t="s">
        <v>1805</v>
      </c>
      <c r="C57" s="3307"/>
      <c r="D57" s="2568">
        <v>0</v>
      </c>
      <c r="E57" s="261" t="s">
        <v>1781</v>
      </c>
      <c r="F57" s="235"/>
      <c r="G57" s="2576"/>
      <c r="H57" s="2975"/>
      <c r="I57" s="2975"/>
      <c r="J57" s="2849"/>
      <c r="K57" s="3336">
        <f>IF(AND(K55="",K56=""),4,IF(项目基本情况!I6="上海银行",K56+1,K55+1))</f>
        <v>4</v>
      </c>
      <c r="L57" s="3336" t="s">
        <v>2759</v>
      </c>
      <c r="M57" s="2544" t="s">
        <v>2760</v>
      </c>
      <c r="N57" s="2545"/>
      <c r="O57" s="2546">
        <f ca="1">SUMIF(N52:N56,"&lt;9e307")</f>
        <v>40</v>
      </c>
      <c r="P57" s="2547"/>
      <c r="Q57" s="1306">
        <f ca="1">O57/N49</f>
        <v>5.3475935828877004E-2</v>
      </c>
    </row>
    <row r="58" spans="1:17" ht="25.2">
      <c r="A58" s="2082" t="s">
        <v>1790</v>
      </c>
      <c r="B58" s="3268" t="s">
        <v>1808</v>
      </c>
      <c r="C58" s="3306"/>
      <c r="D58" s="12">
        <f ca="1">IF(H58="转让取得",C81,C97)</f>
        <v>423</v>
      </c>
      <c r="E58" s="2092" t="s">
        <v>1803</v>
      </c>
      <c r="F58" s="235" t="s">
        <v>48</v>
      </c>
      <c r="G58" s="2576"/>
      <c r="H58" s="2578" t="s">
        <v>1809</v>
      </c>
      <c r="I58" s="2975"/>
      <c r="J58" s="2849"/>
      <c r="K58" s="3336"/>
      <c r="L58" s="3336"/>
      <c r="M58" s="2544" t="s">
        <v>2761</v>
      </c>
      <c r="N58" s="2548"/>
      <c r="O58" s="2549" t="str">
        <f ca="1">IF(H19="元",NUMBERSTRING(INT(O57),2)&amp;"元整",NUMBERSTRING(INT(O57*10000),2)&amp;"元整")</f>
        <v>肆拾万元整</v>
      </c>
      <c r="P58" s="2550"/>
      <c r="Q58" s="1308"/>
    </row>
    <row r="59" spans="1:17" ht="24.6" thickBot="1">
      <c r="A59" s="3290" t="s">
        <v>1811</v>
      </c>
      <c r="B59" s="3291"/>
      <c r="C59" s="3291"/>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19" t="s">
        <v>2814</v>
      </c>
      <c r="H59" s="2096" t="s">
        <v>2824</v>
      </c>
      <c r="I59" s="2878" t="s">
        <v>2825</v>
      </c>
      <c r="J59" s="2849"/>
      <c r="K59" s="3334">
        <f>K57+1</f>
        <v>5</v>
      </c>
      <c r="L59" s="3336" t="s">
        <v>2762</v>
      </c>
      <c r="M59" s="2536" t="s">
        <v>2760</v>
      </c>
      <c r="N59" s="2551"/>
      <c r="O59" s="2552">
        <f ca="1">N49-O57</f>
        <v>708</v>
      </c>
      <c r="P59" s="2553"/>
      <c r="Q59" s="1308"/>
    </row>
    <row r="60" spans="1:17" ht="12" customHeight="1">
      <c r="A60" s="1457"/>
      <c r="B60" s="1461"/>
      <c r="C60" s="1461"/>
      <c r="D60" s="1461"/>
      <c r="E60" s="812"/>
      <c r="F60" s="2976"/>
      <c r="G60" s="2976"/>
      <c r="H60" s="2977"/>
      <c r="I60" s="31"/>
      <c r="K60" s="3335"/>
      <c r="L60" s="3336"/>
      <c r="M60" s="2544" t="s">
        <v>2761</v>
      </c>
      <c r="N60" s="2548"/>
      <c r="O60" s="2549" t="str">
        <f ca="1">IF(H19="元",NUMBERSTRING(INT(O59),2)&amp;"元整",NUMBERSTRING(INT(O59*10000),2)&amp;"元整")</f>
        <v>柒佰零捌万元整</v>
      </c>
      <c r="P60" s="2550"/>
      <c r="Q60" s="1308"/>
    </row>
    <row r="61" spans="1:17" ht="13.8" thickBot="1">
      <c r="A61" s="3316" t="s">
        <v>1813</v>
      </c>
      <c r="B61" s="3316"/>
      <c r="C61" s="3316"/>
      <c r="D61" s="3316"/>
      <c r="E61" s="3316"/>
      <c r="F61" s="2976"/>
      <c r="G61" s="2976"/>
      <c r="H61" s="2978"/>
      <c r="I61" s="31"/>
      <c r="K61" s="2536">
        <f>K59+1</f>
        <v>6</v>
      </c>
      <c r="L61" s="3336" t="s">
        <v>2763</v>
      </c>
      <c r="M61" s="3336"/>
      <c r="N61" s="2554"/>
      <c r="O61" s="2555">
        <f ca="1">IF(H19="元",ROUND(O59/项目基本情况!C12,0),ROUND(O59*10000/项目基本情况!C12,0))</f>
        <v>20412</v>
      </c>
      <c r="P61" s="2556"/>
      <c r="Q61" s="1308"/>
    </row>
    <row r="62" spans="1:17" ht="13.2">
      <c r="A62" s="3325" t="s">
        <v>1815</v>
      </c>
      <c r="B62" s="3326"/>
      <c r="C62" s="1607"/>
      <c r="D62" s="1607" t="s">
        <v>1816</v>
      </c>
      <c r="E62" s="45" t="s">
        <v>1817</v>
      </c>
      <c r="F62" s="2976"/>
      <c r="G62" s="2976"/>
      <c r="H62" s="2978"/>
      <c r="I62" s="31"/>
      <c r="K62" s="2557"/>
      <c r="L62" s="2557"/>
      <c r="M62" s="2557"/>
      <c r="N62" s="2557"/>
      <c r="O62" s="2557"/>
      <c r="P62" s="2557"/>
      <c r="Q62" s="1308"/>
    </row>
    <row r="63" spans="1:17" ht="13.2">
      <c r="A63" s="46">
        <v>1</v>
      </c>
      <c r="B63" s="47" t="s">
        <v>1818</v>
      </c>
      <c r="C63" s="2780">
        <f ca="1">ROUND((C64+C65)/(1+'数据-取费表'!F30),0)</f>
        <v>712</v>
      </c>
      <c r="D63" s="47"/>
      <c r="E63" s="48"/>
      <c r="F63" s="2976"/>
      <c r="G63" s="2976"/>
      <c r="H63" s="2978"/>
      <c r="I63" s="31"/>
      <c r="K63" s="3352" t="s">
        <v>2764</v>
      </c>
      <c r="L63" s="2558" t="s">
        <v>2765</v>
      </c>
      <c r="M63" s="2558">
        <f ca="1">IF(N49&gt;10000,N49*0.5%,IF(AND(N49&gt;1000,N49&lt;=10000),N49*1%,IF(AND(N49&gt;100,N49&lt;=1000),N49*3%,IF(AND(N49&gt;10,N49&lt;=100),N49*5%,N49*8%))))</f>
        <v>22.439999999999998</v>
      </c>
      <c r="N63" s="2559">
        <f ca="1">ROUND(M63,1)</f>
        <v>22.4</v>
      </c>
      <c r="O63" s="2557"/>
      <c r="P63" s="2557"/>
      <c r="Q63" s="1308"/>
    </row>
    <row r="64" spans="1:17" ht="13.2">
      <c r="A64" s="49" t="s">
        <v>71</v>
      </c>
      <c r="B64" s="50" t="s">
        <v>1821</v>
      </c>
      <c r="C64" s="2781">
        <f ca="1">D45</f>
        <v>748</v>
      </c>
      <c r="D64" s="50" t="s">
        <v>41</v>
      </c>
      <c r="E64" s="52"/>
      <c r="F64" s="2976"/>
      <c r="G64" s="2976"/>
      <c r="H64" s="2978"/>
      <c r="I64" s="31"/>
      <c r="K64" s="3352"/>
      <c r="L64" s="2558" t="s">
        <v>2766</v>
      </c>
      <c r="M64" s="2558">
        <f ca="1">IF(N49&gt;2000,N49*0.5%,IF(AND(N49&gt;1000,N49&lt;=2000),N49*0.6%,IF(AND(N49&gt;500,N49&lt;=1000),N49*0.7%,IF(AND(N49&gt;200,N49&lt;=500),N49*0.8%,IF(AND(N49&gt;100,N49&lt;=200),N49*0.9%,IF(AND(N49&gt;50,N49&lt;=100),N49*1%,IF(AND(N49&gt;20,N49&lt;=50),N49*1.5%,IF(AND(N49&gt;10,N49&lt;=20),N49*2%,IF(AND(N49&gt;1,N49&lt;=10),N49*2.5%)))))))))</f>
        <v>5.2359999999999998</v>
      </c>
      <c r="N64" s="2559">
        <f t="shared" ref="N64:N65" ca="1" si="2">ROUND(M64,1)</f>
        <v>5.2</v>
      </c>
      <c r="O64" s="2557" t="s">
        <v>2767</v>
      </c>
      <c r="P64" s="2557"/>
      <c r="Q64" s="1308"/>
    </row>
    <row r="65" spans="1:36" ht="13.2">
      <c r="A65" s="49" t="s">
        <v>72</v>
      </c>
      <c r="B65" s="50" t="s">
        <v>1824</v>
      </c>
      <c r="C65" s="2782"/>
      <c r="D65" s="50"/>
      <c r="E65" s="52"/>
      <c r="F65" s="2976"/>
      <c r="G65" s="2976"/>
      <c r="H65" s="2978"/>
      <c r="I65" s="31"/>
      <c r="K65" s="3352"/>
      <c r="L65" s="2558" t="s">
        <v>2768</v>
      </c>
      <c r="M65" s="2558">
        <f ca="1">IF(N49&gt;1000,N49*0.1%,IF(AND(N49&gt;500,N49&lt;=1000),N49*0.5%,IF(AND(N49&gt;50,N49&lt;=500),N49*1%,IF(AND(N49&gt;1,N49&lt;=50),N49*1.5%))))</f>
        <v>3.74</v>
      </c>
      <c r="N65" s="2559">
        <f t="shared" ca="1" si="2"/>
        <v>3.7</v>
      </c>
      <c r="O65" s="2557" t="s">
        <v>2767</v>
      </c>
      <c r="P65" s="2557"/>
      <c r="Q65" s="1308"/>
    </row>
    <row r="66" spans="1:36" ht="25.2">
      <c r="A66" s="53" t="s">
        <v>47</v>
      </c>
      <c r="B66" s="54" t="s">
        <v>1826</v>
      </c>
      <c r="C66" s="2783"/>
      <c r="D66" s="54" t="s">
        <v>41</v>
      </c>
      <c r="E66" s="1316" t="s">
        <v>1827</v>
      </c>
      <c r="F66" s="2976"/>
      <c r="G66" s="2976"/>
      <c r="H66" s="2978"/>
      <c r="I66" s="31"/>
      <c r="K66" s="3352"/>
      <c r="L66" s="2558" t="s">
        <v>2769</v>
      </c>
      <c r="M66" s="2558">
        <f ca="1">N49*0.5%</f>
        <v>3.74</v>
      </c>
      <c r="N66" s="2559">
        <f ca="1">IF(M66&gt;0.5,0.5,ROUND(M66,0))</f>
        <v>0.5</v>
      </c>
      <c r="O66" s="2557" t="s">
        <v>2770</v>
      </c>
      <c r="P66" s="2557"/>
      <c r="Q66" s="1308"/>
    </row>
    <row r="67" spans="1:36" ht="13.2">
      <c r="A67" s="53" t="s">
        <v>42</v>
      </c>
      <c r="B67" s="54" t="s">
        <v>1830</v>
      </c>
      <c r="C67" s="2784">
        <f ca="1">C63-C66</f>
        <v>712</v>
      </c>
      <c r="D67" s="50" t="s">
        <v>41</v>
      </c>
      <c r="E67" s="52"/>
      <c r="F67" s="2976"/>
      <c r="G67" s="2976"/>
      <c r="H67" s="2978"/>
      <c r="I67" s="31"/>
      <c r="K67" s="3352"/>
      <c r="L67" s="2558" t="s">
        <v>2771</v>
      </c>
      <c r="M67" s="2558">
        <f ca="1">IF(N49&gt;=10000,(8.25+(N49-10000)*0.01%),IF(AND(N49&gt;=8000,N49&lt;10000),(7.85+(N49-8000)*0.02%),IF(AND(N49&gt;=5000,N49&lt;8000),(6.65+(N49-5000)*0.04%),IF(AND(N49&gt;=2000,N49&lt;5000),(4.25+(PN49-2000)*0.08%),IF(AND(N49&gt;=1000,N49&lt;2000),(2.75+(N49-1000)*0.15%),IF(AND(N49&gt;=100,N49&lt;1000),(0.5+(N49-100)*0.25%),IF(AND(N49&gt;0,N49&lt;100),N49*0.5%)))))))</f>
        <v>2.12</v>
      </c>
      <c r="N67" s="2559">
        <f ca="1">ROUND(M67*0.9,1)</f>
        <v>1.9</v>
      </c>
      <c r="O67" s="2557"/>
      <c r="P67" s="2557"/>
      <c r="Q67" s="1308"/>
    </row>
    <row r="68" spans="1:36" ht="13.8" thickBot="1">
      <c r="A68" s="55" t="s">
        <v>46</v>
      </c>
      <c r="B68" s="56" t="s">
        <v>1832</v>
      </c>
      <c r="C68" s="2785">
        <f ca="1">IF(C67&lt;=0,0,ROUND(C67*D68,0))</f>
        <v>40</v>
      </c>
      <c r="D68" s="2242">
        <f>'数据-取费表'!E29</f>
        <v>5.6000000000000001E-2</v>
      </c>
      <c r="E68" s="57"/>
      <c r="F68" s="2976"/>
      <c r="G68" s="2976"/>
      <c r="H68" s="2978"/>
      <c r="I68" s="31"/>
      <c r="K68" s="3352"/>
      <c r="L68" s="2558" t="s">
        <v>2772</v>
      </c>
      <c r="M68" s="2558">
        <f ca="1">IF(N49&gt;10000,N49*0.5%,IF(AND(N49&gt;5000,N49&lt;=10000),N49*1%,IF(AND(N49&gt;1000,N49&lt;=5000),N49*2%,IF(AND(N49&gt;200,N49&lt;=1000),N49*3%,N49*5%))))</f>
        <v>22.439999999999998</v>
      </c>
      <c r="N68" s="2559">
        <f ca="1">ROUND(M68,1)</f>
        <v>22.4</v>
      </c>
      <c r="O68" s="2557"/>
      <c r="P68" s="2557"/>
      <c r="Q68" s="1308"/>
    </row>
    <row r="69" spans="1:36" s="1465" customFormat="1" ht="7.5" customHeight="1">
      <c r="A69" s="1477"/>
      <c r="B69" s="1478"/>
      <c r="C69" s="1479"/>
      <c r="D69" s="1480"/>
      <c r="E69" s="1481"/>
      <c r="F69" s="812"/>
      <c r="G69" s="812"/>
      <c r="H69" s="1470"/>
      <c r="I69" s="1461"/>
      <c r="J69" s="2837"/>
      <c r="K69" s="3352"/>
      <c r="L69" s="2558" t="s">
        <v>54</v>
      </c>
      <c r="M69" s="2558"/>
      <c r="N69" s="2559">
        <f ca="1">ROUND(SUM(N63:N68),0)</f>
        <v>56</v>
      </c>
      <c r="O69" s="2560">
        <f ca="1">N69/N49</f>
        <v>7.4866310160427801E-2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28" t="s">
        <v>1835</v>
      </c>
      <c r="B70" s="3329"/>
      <c r="C70" s="3329"/>
      <c r="D70" s="3329"/>
      <c r="E70" s="3329"/>
      <c r="F70" s="3329"/>
      <c r="G70" s="3329"/>
      <c r="H70" s="3329"/>
      <c r="I70" s="1482"/>
      <c r="J70" s="2850"/>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25" t="s">
        <v>1815</v>
      </c>
      <c r="B71" s="3326"/>
      <c r="C71" s="1607"/>
      <c r="D71" s="1607" t="s">
        <v>1816</v>
      </c>
      <c r="E71" s="58" t="s">
        <v>1817</v>
      </c>
      <c r="F71" s="59"/>
      <c r="G71" s="59"/>
      <c r="H71" s="60"/>
      <c r="I71" s="1485"/>
      <c r="J71" s="2851"/>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1836</v>
      </c>
      <c r="C72" s="2784">
        <f ca="1">ROUND(D45/(1+'数据-取费表'!F30),0)</f>
        <v>712</v>
      </c>
      <c r="D72" s="50" t="s">
        <v>41</v>
      </c>
      <c r="E72" s="12" t="s">
        <v>1837</v>
      </c>
      <c r="F72" s="2089"/>
      <c r="G72" s="2089"/>
      <c r="H72" s="62"/>
      <c r="I72" s="1485"/>
      <c r="J72" s="2851"/>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1838</v>
      </c>
      <c r="C73" s="2784">
        <f ca="1">C74+C78</f>
        <v>4</v>
      </c>
      <c r="D73" s="50" t="s">
        <v>41</v>
      </c>
      <c r="E73" s="2088"/>
      <c r="F73" s="2089"/>
      <c r="G73" s="2089"/>
      <c r="H73" s="62"/>
      <c r="I73" s="1485"/>
      <c r="J73" s="2851"/>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1"/>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1840</v>
      </c>
      <c r="C75" s="2268"/>
      <c r="D75" s="50" t="s">
        <v>41</v>
      </c>
      <c r="E75" s="64" t="s">
        <v>1841</v>
      </c>
      <c r="F75" s="2788" t="s">
        <v>1842</v>
      </c>
      <c r="G75" s="64" t="s">
        <v>1843</v>
      </c>
      <c r="H75" s="2789"/>
      <c r="I75" s="9"/>
      <c r="J75" s="2852"/>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0">
        <v>0.05</v>
      </c>
      <c r="E76" s="3268" t="s">
        <v>1845</v>
      </c>
      <c r="F76" s="3306"/>
      <c r="G76" s="3306"/>
      <c r="H76" s="3320"/>
      <c r="I76" s="1485"/>
      <c r="J76" s="2851"/>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1">
        <f>'数据-取费表'!E36+'数据-取费表'!E37</f>
        <v>3.0499999999999999E-2</v>
      </c>
      <c r="E77" s="12" t="s">
        <v>1847</v>
      </c>
      <c r="F77" s="2095"/>
      <c r="G77" s="1486" t="s">
        <v>1848</v>
      </c>
      <c r="H77" s="2090" t="str">
        <f>IF(G77="个人买卖住房","免征印花税"," ")</f>
        <v xml:space="preserve"> </v>
      </c>
      <c r="I77" s="1485"/>
      <c r="J77" s="285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2">
        <f ca="1">ROUND(D45*D78/(1+'数据-取费表'!F30),0)</f>
        <v>4</v>
      </c>
      <c r="D78" s="2793">
        <f>'数据-取费表'!E31</f>
        <v>6.000000000000001E-3</v>
      </c>
      <c r="E78" s="3300" t="s">
        <v>1850</v>
      </c>
      <c r="F78" s="3301"/>
      <c r="G78" s="3301"/>
      <c r="H78" s="3302"/>
      <c r="I78" s="1487"/>
      <c r="J78" s="2853"/>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1851</v>
      </c>
      <c r="C79" s="2784">
        <f ca="1">C72-C73</f>
        <v>708</v>
      </c>
      <c r="D79" s="50" t="s">
        <v>41</v>
      </c>
      <c r="E79" s="2088"/>
      <c r="F79" s="2089"/>
      <c r="G79" s="2089"/>
      <c r="H79" s="62"/>
      <c r="I79" s="1485"/>
      <c r="J79" s="285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4">
        <f ca="1">IF(C79&lt;=0,0,C79/C73)</f>
        <v>177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1"/>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1853</v>
      </c>
      <c r="C81" s="2795">
        <f ca="1">ROUND(IF(C79&lt;=0,0,IF(C80&gt;=200%,C79*60%-C73*35%,IF(C80&gt;=100%,C79*50%-C73*15%,IF(C80&gt;=50%,C79*40%-C73*5%,IF(C80&lt;50%,C79*30%,0))))),0)</f>
        <v>423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3"/>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28" t="s">
        <v>1854</v>
      </c>
      <c r="B83" s="3329"/>
      <c r="C83" s="3329"/>
      <c r="D83" s="3329"/>
      <c r="E83" s="3329"/>
      <c r="F83" s="3329"/>
      <c r="G83" s="3329"/>
      <c r="H83" s="3329"/>
      <c r="I83" s="9"/>
      <c r="J83" s="2852"/>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25" t="s">
        <v>1815</v>
      </c>
      <c r="B84" s="3326"/>
      <c r="C84" s="1607"/>
      <c r="D84" s="1607" t="s">
        <v>1816</v>
      </c>
      <c r="E84" s="58" t="s">
        <v>1817</v>
      </c>
      <c r="F84" s="59"/>
      <c r="G84" s="59"/>
      <c r="H84" s="72"/>
      <c r="I84" s="9"/>
      <c r="J84" s="285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4">
        <f ca="1">ROUND(D45/(1+'数据-取费表'!F30),0)</f>
        <v>712</v>
      </c>
      <c r="D85" s="50" t="s">
        <v>41</v>
      </c>
      <c r="E85" s="2088" t="s">
        <v>1837</v>
      </c>
      <c r="F85" s="2089"/>
      <c r="G85" s="2089"/>
      <c r="H85" s="73"/>
      <c r="I85" s="9"/>
      <c r="J85" s="285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1838</v>
      </c>
      <c r="C86" s="2784">
        <f ca="1">IF(H88="仅含出让金",C87+C90+C91+C92+C93+C94,C87+C91+C92+C93+C94)</f>
        <v>4</v>
      </c>
      <c r="D86" s="2796"/>
      <c r="E86" s="2088"/>
      <c r="F86" s="2089"/>
      <c r="G86" s="2089"/>
      <c r="H86" s="73"/>
      <c r="I86" s="9"/>
      <c r="J86" s="285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1855</v>
      </c>
      <c r="C87" s="2792">
        <f>C88+C89</f>
        <v>0</v>
      </c>
      <c r="D87" s="2793"/>
      <c r="E87" s="2085"/>
      <c r="F87" s="2086"/>
      <c r="G87" s="2086"/>
      <c r="H87" s="2087"/>
      <c r="I87" s="9"/>
      <c r="J87" s="285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1856</v>
      </c>
      <c r="C88" s="2797"/>
      <c r="D88" s="2793"/>
      <c r="E88" s="74" t="s">
        <v>1857</v>
      </c>
      <c r="F88" s="2086"/>
      <c r="G88" s="75" t="s">
        <v>1858</v>
      </c>
      <c r="H88" s="1488"/>
      <c r="I88" s="9"/>
      <c r="J88" s="2852"/>
      <c r="K88" s="2967"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1846</v>
      </c>
      <c r="C89" s="2792">
        <f>ROUND(C88*D89,0)</f>
        <v>0</v>
      </c>
      <c r="D89" s="2793">
        <f>'数据-取费表'!E36+'数据-取费表'!E37</f>
        <v>3.0499999999999999E-2</v>
      </c>
      <c r="E89" s="74" t="s">
        <v>1859</v>
      </c>
      <c r="F89" s="2086"/>
      <c r="G89" s="2086"/>
      <c r="H89" s="2087"/>
      <c r="I89" s="9"/>
      <c r="J89" s="285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797"/>
      <c r="D90" s="2793"/>
      <c r="E90" s="74" t="str">
        <f>IF(H88="-","土地取得成本中已包含该笔费用"," ")</f>
        <v xml:space="preserve"> </v>
      </c>
      <c r="F90" s="2086"/>
      <c r="G90" s="3361" t="s">
        <v>2734</v>
      </c>
      <c r="H90" s="3361"/>
      <c r="I90" s="9"/>
      <c r="J90" s="2852"/>
      <c r="K90" s="2967"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2">
        <f>IF(H91="——",成本法!C33,I91)</f>
        <v>0</v>
      </c>
      <c r="D91" s="2793"/>
      <c r="E91" s="3300" t="s">
        <v>1862</v>
      </c>
      <c r="F91" s="3301"/>
      <c r="G91" s="3301"/>
      <c r="H91" s="1489" t="s">
        <v>1863</v>
      </c>
      <c r="I91" s="1490"/>
      <c r="J91" s="2854"/>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2">
        <f>ROUND((C87+C90+C91)*D92,0)</f>
        <v>0</v>
      </c>
      <c r="D92" s="2836">
        <v>0.1</v>
      </c>
      <c r="E92" s="3300" t="s">
        <v>1865</v>
      </c>
      <c r="F92" s="3301"/>
      <c r="G92" s="3301"/>
      <c r="H92" s="3302"/>
      <c r="I92" s="9"/>
      <c r="J92" s="2852"/>
      <c r="K92" s="2968"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2">
        <f ca="1">ROUND(D45*D93/(1+'数据-取费表'!F30),0)</f>
        <v>4</v>
      </c>
      <c r="D93" s="2793">
        <f>'数据-取费表'!E31</f>
        <v>6.000000000000001E-3</v>
      </c>
      <c r="E93" s="3300" t="s">
        <v>1850</v>
      </c>
      <c r="F93" s="3301"/>
      <c r="G93" s="3301"/>
      <c r="H93" s="3302"/>
      <c r="I93" s="9"/>
      <c r="J93" s="2852"/>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2">
        <f>ROUND((C87+C90+C91)*D94,0)</f>
        <v>0</v>
      </c>
      <c r="D94" s="2793">
        <v>0.2</v>
      </c>
      <c r="E94" s="3300" t="s">
        <v>1867</v>
      </c>
      <c r="F94" s="3301"/>
      <c r="G94" s="3301"/>
      <c r="H94" s="3302"/>
      <c r="I94" s="9"/>
      <c r="J94" s="2852"/>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1851</v>
      </c>
      <c r="C95" s="2784">
        <f ca="1">ROUND(C85-C86,0)</f>
        <v>708</v>
      </c>
      <c r="D95" s="50" t="s">
        <v>41</v>
      </c>
      <c r="E95" s="2088"/>
      <c r="F95" s="2089"/>
      <c r="G95" s="2089"/>
      <c r="H95" s="73"/>
      <c r="I95" s="9"/>
      <c r="J95" s="285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4">
        <f ca="1">IF(C95&lt;=0,0,C95/C86)</f>
        <v>177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1853</v>
      </c>
      <c r="C97" s="2795">
        <f ca="1">ROUND(IF(C95&lt;=0,0,IF(C96&gt;=200%,C95*60%-C86*35%,IF(C96&gt;=100%,C95*50%-C86*15%,IF(C96&gt;=50%,C95*40%-C86*5%,IF(C96&lt;50%,C95*30%,0))))),0)</f>
        <v>423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347" t="s">
        <v>1869</v>
      </c>
      <c r="B99" s="3348"/>
      <c r="C99" s="3348"/>
      <c r="D99" s="3349"/>
      <c r="E99" s="1461"/>
      <c r="F99" s="3356" t="s">
        <v>1870</v>
      </c>
      <c r="G99" s="3357"/>
      <c r="H99" s="3357"/>
      <c r="I99" s="3358"/>
      <c r="J99" s="2855"/>
    </row>
    <row r="100" spans="1:36" ht="15">
      <c r="A100" s="3359" t="s">
        <v>1871</v>
      </c>
      <c r="B100" s="3360"/>
      <c r="C100" s="1307" t="str">
        <f>C4</f>
        <v>比较法-办公</v>
      </c>
      <c r="D100" s="2803" t="str">
        <f>D4</f>
        <v>收益法</v>
      </c>
      <c r="E100" s="1461"/>
      <c r="F100" s="3271" t="s">
        <v>2778</v>
      </c>
      <c r="G100" s="3272"/>
      <c r="H100" s="3271" t="s">
        <v>2779</v>
      </c>
      <c r="I100" s="3270"/>
      <c r="J100" s="2856"/>
    </row>
    <row r="101" spans="1:36" ht="13.2">
      <c r="A101" s="3339" t="s">
        <v>2811</v>
      </c>
      <c r="B101" s="2307" t="str">
        <f>IF(H19="元","总价（元）","总价（万元）")</f>
        <v>总价（万元）</v>
      </c>
      <c r="C101" s="1307">
        <f ca="1">C19</f>
        <v>768</v>
      </c>
      <c r="D101" s="2803">
        <f ca="1">D19</f>
        <v>728</v>
      </c>
      <c r="E101" s="1461"/>
      <c r="F101" s="3271" t="str">
        <f>项目基本情况!I1</f>
        <v>北京市房地产</v>
      </c>
      <c r="G101" s="3272"/>
      <c r="H101" s="3269">
        <f>项目基本情况!C12</f>
        <v>346.86</v>
      </c>
      <c r="I101" s="3270"/>
      <c r="J101" s="2856"/>
    </row>
    <row r="102" spans="1:36" ht="13.2">
      <c r="A102" s="3339"/>
      <c r="B102" s="2307" t="s">
        <v>2812</v>
      </c>
      <c r="C102" s="2804">
        <f ca="1">C20</f>
        <v>22146</v>
      </c>
      <c r="D102" s="2805">
        <f ca="1">D20</f>
        <v>20998</v>
      </c>
      <c r="E102" s="1461"/>
      <c r="F102" s="3281" t="s">
        <v>2808</v>
      </c>
      <c r="G102" s="3282"/>
      <c r="H102" s="2813" t="str">
        <f>C106</f>
        <v>总价（万元）</v>
      </c>
      <c r="I102" s="2814">
        <f ca="1">H121</f>
        <v>748</v>
      </c>
      <c r="J102" s="2856"/>
    </row>
    <row r="103" spans="1:36" ht="13.2">
      <c r="A103" s="3339" t="s">
        <v>2813</v>
      </c>
      <c r="B103" s="2245" t="str">
        <f>B101</f>
        <v>总价（万元）</v>
      </c>
      <c r="C103" s="2808">
        <f ca="1">H121</f>
        <v>748</v>
      </c>
      <c r="D103" s="2806"/>
      <c r="E103" s="1461"/>
      <c r="F103" s="3281"/>
      <c r="G103" s="3282"/>
      <c r="H103" s="2813" t="s">
        <v>2781</v>
      </c>
      <c r="I103" s="52">
        <f ca="1">I121</f>
        <v>21565</v>
      </c>
      <c r="J103" s="2840"/>
    </row>
    <row r="104" spans="1:36" ht="13.8" thickBot="1">
      <c r="A104" s="3340"/>
      <c r="B104" s="2810" t="s">
        <v>2812</v>
      </c>
      <c r="C104" s="2811">
        <f ca="1">I121</f>
        <v>21565</v>
      </c>
      <c r="D104" s="2812"/>
      <c r="E104" s="1461"/>
      <c r="F104" s="3281"/>
      <c r="G104" s="3282"/>
      <c r="H104" s="3341"/>
      <c r="I104" s="3342"/>
      <c r="J104" s="2857"/>
    </row>
    <row r="105" spans="1:36" ht="13.8">
      <c r="A105" s="3347" t="s">
        <v>1872</v>
      </c>
      <c r="B105" s="3348"/>
      <c r="C105" s="3348"/>
      <c r="D105" s="3349"/>
      <c r="E105" s="1461"/>
      <c r="F105" s="3345" t="s">
        <v>2782</v>
      </c>
      <c r="G105" s="3346"/>
      <c r="H105" s="2815" t="str">
        <f>C108</f>
        <v>总额（万元）</v>
      </c>
      <c r="I105" s="2814">
        <f>SUMIF(I106:I108,"&lt;9E307")</f>
        <v>0</v>
      </c>
      <c r="J105" s="2856"/>
    </row>
    <row r="106" spans="1:36" ht="13.8">
      <c r="A106" s="3281" t="s">
        <v>2805</v>
      </c>
      <c r="B106" s="3282"/>
      <c r="C106" s="2813" t="str">
        <f>B101</f>
        <v>总价（万元）</v>
      </c>
      <c r="D106" s="2814">
        <f ca="1">H121</f>
        <v>748</v>
      </c>
      <c r="E106" s="1461"/>
      <c r="F106" s="3283" t="s">
        <v>2783</v>
      </c>
      <c r="G106" s="3284"/>
      <c r="H106" s="2815" t="str">
        <f>C109</f>
        <v>总额（万元）</v>
      </c>
      <c r="I106" s="2816">
        <f>IF(D36="同一抵押权人同一抵押物续贷",C36&amp;"（续贷，未扣减，详见特别提示）",C36)</f>
        <v>0</v>
      </c>
      <c r="J106" s="2840"/>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81"/>
      <c r="B107" s="3282"/>
      <c r="C107" s="2813" t="s">
        <v>2806</v>
      </c>
      <c r="D107" s="52">
        <f ca="1">I121</f>
        <v>21565</v>
      </c>
      <c r="E107" s="1461"/>
      <c r="F107" s="3283" t="s">
        <v>2784</v>
      </c>
      <c r="G107" s="3284"/>
      <c r="H107" s="2815" t="str">
        <f>C110</f>
        <v>总额（万元）</v>
      </c>
      <c r="I107" s="52">
        <f>C37</f>
        <v>0</v>
      </c>
      <c r="J107" s="2840"/>
    </row>
    <row r="108" spans="1:36" ht="13.2">
      <c r="A108" s="3288" t="s">
        <v>2782</v>
      </c>
      <c r="B108" s="3289"/>
      <c r="C108" s="2815" t="str">
        <f>IF(H19="元","总额（元）","总额（万元）")</f>
        <v>总额（万元）</v>
      </c>
      <c r="D108" s="2814">
        <f>IF(D36="正常操作",I106+I107+I108,I107+I108)</f>
        <v>0</v>
      </c>
      <c r="E108" s="1461"/>
      <c r="F108" s="3283" t="s">
        <v>2809</v>
      </c>
      <c r="G108" s="3284"/>
      <c r="H108" s="2815" t="str">
        <f>C111</f>
        <v>总额（万元）</v>
      </c>
      <c r="I108" s="52">
        <f>C38</f>
        <v>0</v>
      </c>
      <c r="J108" s="2840"/>
    </row>
    <row r="109" spans="1:36" ht="13.2">
      <c r="A109" s="3283" t="s">
        <v>2783</v>
      </c>
      <c r="B109" s="3284"/>
      <c r="C109" s="2815" t="str">
        <f>C108</f>
        <v>总额（万元）</v>
      </c>
      <c r="D109" s="52">
        <f>IF(D36="同一抵押权人同一抵押物续贷",C36&amp;"（未扣减，详见特别提示）",C36)</f>
        <v>0</v>
      </c>
      <c r="E109" s="1461"/>
      <c r="F109" s="3281"/>
      <c r="G109" s="3282"/>
      <c r="H109" s="3343"/>
      <c r="I109" s="3344"/>
      <c r="J109" s="2858"/>
    </row>
    <row r="110" spans="1:36" ht="28.5" customHeight="1">
      <c r="A110" s="3283" t="s">
        <v>2807</v>
      </c>
      <c r="B110" s="3284"/>
      <c r="C110" s="2815" t="str">
        <f>C108</f>
        <v>总额（万元）</v>
      </c>
      <c r="D110" s="52">
        <f>C37</f>
        <v>0</v>
      </c>
      <c r="E110" s="1461"/>
      <c r="F110" s="3273" t="str">
        <f>IF(项目基本情况!F5="已注销","——","3.房地产抵押价值")</f>
        <v>3.房地产抵押价值</v>
      </c>
      <c r="G110" s="3274"/>
      <c r="H110" s="2801" t="str">
        <f>C112</f>
        <v>总价（万元）</v>
      </c>
      <c r="I110" s="2814">
        <f ca="1">IF(F110="——","——",I102-I105)</f>
        <v>748</v>
      </c>
      <c r="J110" s="2856"/>
    </row>
    <row r="111" spans="1:36" ht="13.2">
      <c r="A111" s="3283" t="s">
        <v>2786</v>
      </c>
      <c r="B111" s="3284"/>
      <c r="C111" s="2815" t="str">
        <f>C108</f>
        <v>总额（万元）</v>
      </c>
      <c r="D111" s="52">
        <f>C38</f>
        <v>0</v>
      </c>
      <c r="E111" s="1461"/>
      <c r="F111" s="3372"/>
      <c r="G111" s="3373"/>
      <c r="H111" s="2813" t="s">
        <v>2781</v>
      </c>
      <c r="I111" s="2817">
        <f ca="1">D113</f>
        <v>21565</v>
      </c>
      <c r="J111" s="2859"/>
    </row>
    <row r="112" spans="1:36" ht="26.25" customHeight="1">
      <c r="A112" s="3281" t="str">
        <f>IF(项目基本情况!F5="已注销","——","3.房地产抵押价值")</f>
        <v>3.房地产抵押价值</v>
      </c>
      <c r="B112" s="3282"/>
      <c r="C112" s="2813" t="str">
        <f>B101</f>
        <v>总价（万元）</v>
      </c>
      <c r="D112" s="2814">
        <f ca="1">IF(A112="——","——",D106-D108)</f>
        <v>748</v>
      </c>
      <c r="E112" s="1461"/>
      <c r="F112" s="3273" t="str">
        <f>IF(项目基本情况!F5="已注销及未注销","4.抵押担保权已注销时的房地产抵押价值",IF(项目基本情况!F5="已注销","3.抵押担保权已注销时的房地产抵押价值","——"))</f>
        <v>——</v>
      </c>
      <c r="G112" s="3274"/>
      <c r="H112" s="2801" t="str">
        <f>C114</f>
        <v>总价（万元）</v>
      </c>
      <c r="I112" s="2814" t="str">
        <f>IF(F112="——","——",I102-I107-I108)</f>
        <v>——</v>
      </c>
      <c r="J112" s="2856"/>
    </row>
    <row r="113" spans="1:16" ht="13.2">
      <c r="A113" s="3281"/>
      <c r="B113" s="3282"/>
      <c r="C113" s="2813" t="s">
        <v>2774</v>
      </c>
      <c r="D113" s="52">
        <f ca="1">ROUND(IF(D112=D106,D107,IF(H19="元",D112/项目基本情况!C12,D112*10000/项目基本情况!C12)),0)</f>
        <v>21565</v>
      </c>
      <c r="E113" s="1461"/>
      <c r="F113" s="3372"/>
      <c r="G113" s="3373"/>
      <c r="H113" s="2813" t="s">
        <v>2810</v>
      </c>
      <c r="I113" s="52" t="str">
        <f>D115</f>
        <v>——</v>
      </c>
      <c r="J113" s="2840"/>
    </row>
    <row r="114" spans="1:16" ht="13.2">
      <c r="A114" s="3281" t="str">
        <f>IF(项目基本情况!F5="已注销及未注销","4.抵押担保权已注销时的房地产抵押价值",IF(项目基本情况!F5="已注销","3.抵押担保权已注销时的房地产抵押价值","——"))</f>
        <v>——</v>
      </c>
      <c r="B114" s="3282"/>
      <c r="C114" s="2813" t="str">
        <f>B101</f>
        <v>总价（万元）</v>
      </c>
      <c r="D114" s="2814" t="str">
        <f>IF(A114="——","——",D106-D110-D111)</f>
        <v>——</v>
      </c>
      <c r="E114" s="1461"/>
      <c r="F114" s="3273" t="str">
        <f>IF(项目基本情况!G5="抵押净值",IF(OR(项目基本情况!F5="已注销",项目基本情况!F5="房地产抵押价值"),"4.抵押净值","5.抵押净值"),"——")</f>
        <v>——</v>
      </c>
      <c r="G114" s="3274"/>
      <c r="H114" s="2813" t="str">
        <f>C116</f>
        <v>总价（万元）</v>
      </c>
      <c r="I114" s="2814" t="str">
        <f>IF(F114="——","——",O59)</f>
        <v>——</v>
      </c>
      <c r="J114" s="2856"/>
    </row>
    <row r="115" spans="1:16" ht="13.8" thickBot="1">
      <c r="A115" s="3281"/>
      <c r="B115" s="3282"/>
      <c r="C115" s="2813" t="s">
        <v>2774</v>
      </c>
      <c r="D115" s="52" t="str">
        <f>IF(A114="——","——",ROUND(IF(D114=D106,D107,IF(H19="元",D114/项目基本情况!C12,D114*10000/项目基本情况!C12)),0))</f>
        <v>——</v>
      </c>
      <c r="E115" s="1461"/>
      <c r="F115" s="3275"/>
      <c r="G115" s="3276"/>
      <c r="H115" s="2818" t="s">
        <v>2774</v>
      </c>
      <c r="I115" s="2802" t="str">
        <f ca="1">D117</f>
        <v>——</v>
      </c>
      <c r="J115" s="2840"/>
    </row>
    <row r="116" spans="1:16" ht="15.6">
      <c r="A116" s="3281" t="str">
        <f>IF(项目基本情况!G5="抵押净值",IF(OR(项目基本情况!F5="已注销",项目基本情况!F5="房地产抵押价值"),"4.抵押净值","5.抵押净值"),"——")</f>
        <v>——</v>
      </c>
      <c r="B116" s="3282"/>
      <c r="C116" s="2813" t="str">
        <f>B101</f>
        <v>总价（万元）</v>
      </c>
      <c r="D116" s="2814" t="str">
        <f>IF(A116="——","——",O59)</f>
        <v>——</v>
      </c>
      <c r="E116" s="1461"/>
      <c r="F116" s="3367"/>
      <c r="G116" s="3367"/>
      <c r="H116" s="3331"/>
      <c r="I116" s="3331"/>
      <c r="J116" s="2860"/>
      <c r="O116" s="32"/>
      <c r="P116" s="32"/>
    </row>
    <row r="117" spans="1:16" ht="13.8" thickBot="1">
      <c r="A117" s="3286"/>
      <c r="B117" s="3287"/>
      <c r="C117" s="2818" t="s">
        <v>2774</v>
      </c>
      <c r="D117" s="2802" t="str">
        <f ca="1">IF(D116=D112,D113,IF(A116="——","——",O61))</f>
        <v>——</v>
      </c>
      <c r="E117" s="1461"/>
      <c r="F117" s="3265" t="str">
        <f>IF(B32="总价","（以上估价结果中单价为总价除以建筑面积得出）","（以上估价结果中总价为楼面单价乘以建筑面积得出）")</f>
        <v>（以上估价结果中单价为总价除以建筑面积得出）</v>
      </c>
      <c r="G117" s="3265"/>
      <c r="H117" s="3265"/>
      <c r="I117" s="3265"/>
      <c r="J117" s="2861"/>
      <c r="O117" s="32"/>
      <c r="P117" s="32"/>
    </row>
    <row r="118" spans="1:16" ht="14.4">
      <c r="A118" s="3332" t="s">
        <v>1873</v>
      </c>
      <c r="B118" s="3333"/>
      <c r="C118" s="3333"/>
      <c r="D118" s="3333"/>
      <c r="E118" s="3333"/>
      <c r="F118" s="3333"/>
      <c r="G118" s="3333"/>
      <c r="H118" s="3333"/>
      <c r="I118" s="3333"/>
      <c r="J118" s="2862"/>
    </row>
    <row r="119" spans="1:16" ht="13.2">
      <c r="A119" s="3266" t="s">
        <v>2792</v>
      </c>
      <c r="B119" s="3292" t="s">
        <v>2802</v>
      </c>
      <c r="C119" s="3292" t="s">
        <v>2803</v>
      </c>
      <c r="D119" s="3354" t="s">
        <v>2794</v>
      </c>
      <c r="E119" s="3355"/>
      <c r="F119" s="3267" t="s">
        <v>2804</v>
      </c>
      <c r="G119" s="3267"/>
      <c r="H119" s="3267" t="s">
        <v>2795</v>
      </c>
      <c r="I119" s="3353"/>
      <c r="J119" s="2840"/>
    </row>
    <row r="120" spans="1:16" ht="13.2">
      <c r="A120" s="3266"/>
      <c r="B120" s="3293"/>
      <c r="C120" s="3293"/>
      <c r="D120" s="2092" t="s">
        <v>2796</v>
      </c>
      <c r="E120" s="2092" t="s">
        <v>2801</v>
      </c>
      <c r="F120" s="2092" t="s">
        <v>2796</v>
      </c>
      <c r="G120" s="2092" t="s">
        <v>2797</v>
      </c>
      <c r="H120" s="2092" t="s">
        <v>2796</v>
      </c>
      <c r="I120" s="52" t="s">
        <v>2797</v>
      </c>
      <c r="J120" s="2840"/>
    </row>
    <row r="121" spans="1:16" ht="13.2">
      <c r="A121" s="2082" t="str">
        <f>项目基本情况!I1</f>
        <v>北京市房地产</v>
      </c>
      <c r="B121" s="2092">
        <f>项目基本情况!C12</f>
        <v>346.86</v>
      </c>
      <c r="C121" s="2092">
        <f>项目基本情况!C13</f>
        <v>0</v>
      </c>
      <c r="D121" s="2092">
        <f ca="1">ROUND(IF(B32="总价",C34,IF('数据-取费表'!B3="万元",E121*B121/10000,E121*B121)),0)</f>
        <v>640</v>
      </c>
      <c r="E121" s="2092">
        <f ca="1">ROUND(IF(B32="楼面单价",C34,IF(H19="元",D121/B121,D121*10000/B121)),0)</f>
        <v>18451</v>
      </c>
      <c r="F121" s="2092">
        <f ca="1">ROUND(IF(B32="总价",C35,IF('数据-取费表'!B3="万元",G121*B121/10000,G121*B121)),0)</f>
        <v>108</v>
      </c>
      <c r="G121" s="2092">
        <f ca="1">ROUND(IF(B32="楼面单价",C35,IF(H19="元",F121/B121,F121*10000/B121)),0)</f>
        <v>3114</v>
      </c>
      <c r="H121" s="2092">
        <f ca="1">ROUND(IF(B32="总价",C32,IF('数据-取费表'!B3="万元",I121*B121/10000,I121*B121)),0)</f>
        <v>748</v>
      </c>
      <c r="I121" s="52">
        <f ca="1">ROUND(IF(B32="楼面单价",C32,IF(H19="元",H121/B121,H121*10000/B121)),0)</f>
        <v>21565</v>
      </c>
      <c r="J121" s="2840"/>
    </row>
    <row r="122" spans="1:16" ht="13.2">
      <c r="A122" s="3266" t="s">
        <v>2798</v>
      </c>
      <c r="B122" s="3267"/>
      <c r="C122" s="3267"/>
      <c r="D122" s="3294" t="str">
        <f ca="1">IF(H19="元",NUMBERSTRING(INT(D121),2)&amp;"元整",NUMBERSTRING(INT(D121*10000),2)&amp;"元整")</f>
        <v>陆佰肆拾万元整</v>
      </c>
      <c r="E122" s="3337"/>
      <c r="F122" s="3294" t="str">
        <f ca="1">IF(H19="元",NUMBERSTRING(INT(F121),2)&amp;"元整",NUMBERSTRING(INT(F121*10000),2)&amp;"元整")</f>
        <v>壹佰零捌万元整</v>
      </c>
      <c r="G122" s="3337"/>
      <c r="H122" s="3294" t="str">
        <f ca="1">IF(H19="元",NUMBERSTRING(INT(H121),2)&amp;"元整",NUMBERSTRING(INT(H121*10000),2)&amp;"元整")</f>
        <v>柒佰肆拾捌万元整</v>
      </c>
      <c r="I122" s="3295"/>
      <c r="J122" s="2863"/>
    </row>
    <row r="123" spans="1:16" ht="13.2">
      <c r="A123" s="3271" t="str">
        <f>IF(项目基本情况!D5="房地产市场价值","——",MID(A108,3,LEN(A108)-2))</f>
        <v>估价师所知悉的法定优先受偿款</v>
      </c>
      <c r="B123" s="3277"/>
      <c r="C123" s="3272"/>
      <c r="D123" s="3269">
        <f>I105</f>
        <v>0</v>
      </c>
      <c r="E123" s="3277"/>
      <c r="F123" s="3277"/>
      <c r="G123" s="3277"/>
      <c r="H123" s="3277"/>
      <c r="I123" s="3270"/>
      <c r="J123" s="2856"/>
    </row>
    <row r="124" spans="1:16" ht="13.2">
      <c r="A124" s="3338" t="s">
        <v>2798</v>
      </c>
      <c r="B124" s="3306"/>
      <c r="C124" s="3307"/>
      <c r="D124" s="3278">
        <f>H109</f>
        <v>0</v>
      </c>
      <c r="E124" s="3279"/>
      <c r="F124" s="3279"/>
      <c r="G124" s="3279"/>
      <c r="H124" s="3279"/>
      <c r="I124" s="3280"/>
      <c r="J124" s="2864"/>
    </row>
    <row r="125" spans="1:16" ht="13.2">
      <c r="A125" s="3281" t="str">
        <f>IF(项目基本情况!D5="房地产市场价值","——",MID(A112,3,LEN(A112)-2))</f>
        <v>房地产抵押价值</v>
      </c>
      <c r="B125" s="3282"/>
      <c r="C125" s="3282"/>
      <c r="D125" s="3269">
        <f ca="1">I110</f>
        <v>748</v>
      </c>
      <c r="E125" s="3277"/>
      <c r="F125" s="3277"/>
      <c r="G125" s="3277"/>
      <c r="H125" s="3277"/>
      <c r="I125" s="3270"/>
      <c r="J125" s="2856"/>
    </row>
    <row r="126" spans="1:16" ht="13.2">
      <c r="A126" s="3266" t="s">
        <v>2798</v>
      </c>
      <c r="B126" s="3267"/>
      <c r="C126" s="3267"/>
      <c r="D126" s="3278">
        <f ca="1">I111</f>
        <v>21565</v>
      </c>
      <c r="E126" s="3279"/>
      <c r="F126" s="3279"/>
      <c r="G126" s="3279"/>
      <c r="H126" s="3279"/>
      <c r="I126" s="3280"/>
      <c r="J126" s="2864"/>
    </row>
    <row r="127" spans="1:16" ht="13.8" thickBot="1">
      <c r="A127" s="3281" t="str">
        <f>IF(项目基本情况!D5="房地产市场价值","——",MID(A114,3,LEN(A114)-2))</f>
        <v/>
      </c>
      <c r="B127" s="3282"/>
      <c r="C127" s="3282"/>
      <c r="D127" s="3314" t="str">
        <f>I112</f>
        <v>——</v>
      </c>
      <c r="E127" s="3315"/>
      <c r="F127" s="3315"/>
      <c r="G127" s="3315"/>
      <c r="H127" s="3315"/>
      <c r="I127" s="3366"/>
      <c r="J127" s="2856"/>
    </row>
    <row r="128" spans="1:16" ht="14.4" thickTop="1" thickBot="1">
      <c r="A128" s="3266" t="s">
        <v>2798</v>
      </c>
      <c r="B128" s="3267"/>
      <c r="C128" s="3268"/>
      <c r="D128" s="3330" t="str">
        <f>I113</f>
        <v>——</v>
      </c>
      <c r="E128" s="3330"/>
      <c r="F128" s="3330"/>
      <c r="G128" s="3330"/>
      <c r="H128" s="3330"/>
      <c r="I128" s="3330"/>
      <c r="J128" s="2864"/>
    </row>
    <row r="129" spans="1:10" ht="14.4" thickTop="1" thickBot="1">
      <c r="A129" s="3281" t="str">
        <f>IF(项目基本情况!D5="房地产市场价值","——",MID(F114,3,LEN(F114)-2))</f>
        <v/>
      </c>
      <c r="B129" s="3282"/>
      <c r="C129" s="3269"/>
      <c r="D129" s="3285" t="str">
        <f>I114</f>
        <v>——</v>
      </c>
      <c r="E129" s="3285"/>
      <c r="F129" s="3285"/>
      <c r="G129" s="3285"/>
      <c r="H129" s="3285"/>
      <c r="I129" s="3285"/>
      <c r="J129" s="2856"/>
    </row>
    <row r="130" spans="1:10" ht="14.4" thickTop="1" thickBot="1">
      <c r="A130" s="3290" t="s">
        <v>2798</v>
      </c>
      <c r="B130" s="3291"/>
      <c r="C130" s="3291"/>
      <c r="D130" s="3296">
        <f>H116</f>
        <v>0</v>
      </c>
      <c r="E130" s="3297"/>
      <c r="F130" s="3297"/>
      <c r="G130" s="3297"/>
      <c r="H130" s="3297"/>
      <c r="I130" s="3298"/>
      <c r="J130" s="2864"/>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5"/>
    </row>
    <row r="132" spans="1:10" ht="13.8" thickBot="1">
      <c r="A132" s="3264" t="str">
        <f>IF(B32="总价","（以上估价结果中楼面单价为总价除以建筑面积得出）","（以上估价结果中总价为楼面单价乘以建筑面积得出）")</f>
        <v>（以上估价结果中楼面单价为总价除以建筑面积得出）</v>
      </c>
      <c r="B132" s="3264"/>
      <c r="C132" s="3264"/>
      <c r="D132" s="3264"/>
      <c r="E132" s="3264"/>
      <c r="F132" s="3264"/>
      <c r="G132" s="3264"/>
      <c r="H132" s="3264"/>
      <c r="I132" s="3264"/>
      <c r="J132" s="2858"/>
    </row>
    <row r="133" spans="1:10" ht="21.75" customHeight="1">
      <c r="A133" s="1491" t="s">
        <v>1874</v>
      </c>
      <c r="B133" s="1492"/>
      <c r="C133" s="1493" t="s">
        <v>1875</v>
      </c>
      <c r="D133" s="1494"/>
      <c r="E133" s="1494"/>
      <c r="F133" s="1494"/>
      <c r="G133" s="1494"/>
      <c r="H133" s="1495"/>
      <c r="I133" s="1496"/>
      <c r="J133" s="2866"/>
    </row>
    <row r="134" spans="1:10" ht="21.75" customHeight="1">
      <c r="A134" s="1497">
        <v>1</v>
      </c>
      <c r="B134" s="1498"/>
      <c r="C134" s="1498"/>
      <c r="D134" s="1494"/>
      <c r="E134" s="1494"/>
      <c r="F134" s="1494"/>
      <c r="G134" s="1494"/>
      <c r="H134" s="1495"/>
      <c r="I134" s="1496"/>
      <c r="J134" s="2866"/>
    </row>
    <row r="135" spans="1:10" ht="21.75" customHeight="1">
      <c r="A135" s="1497">
        <v>2</v>
      </c>
      <c r="B135" s="1498"/>
      <c r="C135" s="1498"/>
      <c r="D135" s="1494"/>
      <c r="E135" s="1494"/>
      <c r="F135" s="1494"/>
      <c r="G135" s="1494"/>
      <c r="H135" s="1495"/>
      <c r="I135" s="1496"/>
      <c r="J135" s="2866"/>
    </row>
    <row r="136" spans="1:10" ht="21.75" customHeight="1">
      <c r="A136" s="1497">
        <v>3</v>
      </c>
      <c r="B136" s="1498"/>
      <c r="C136" s="1498"/>
      <c r="D136" s="1494"/>
      <c r="E136" s="1494"/>
      <c r="F136" s="32"/>
      <c r="G136" s="32"/>
      <c r="H136" s="32"/>
      <c r="I136" s="32"/>
      <c r="J136" s="2867"/>
    </row>
    <row r="137" spans="1:10" ht="21.75" customHeight="1">
      <c r="A137" s="1499"/>
      <c r="B137" s="1500"/>
      <c r="C137" s="1500"/>
      <c r="D137" s="1501"/>
      <c r="E137" s="1501"/>
      <c r="F137" s="1501"/>
      <c r="G137" s="1501"/>
      <c r="H137" s="1502"/>
      <c r="I137" s="1503"/>
      <c r="J137" s="2866"/>
    </row>
    <row r="138" spans="1:10" ht="21.75" customHeight="1">
      <c r="A138" s="1498"/>
      <c r="B138" s="1498"/>
      <c r="C138" s="1498"/>
      <c r="D138" s="1494"/>
      <c r="E138" s="1494"/>
      <c r="F138" s="1494"/>
      <c r="G138" s="1494"/>
      <c r="H138" s="1495"/>
      <c r="I138" s="659"/>
      <c r="J138" s="2867"/>
    </row>
    <row r="139" spans="1:10" ht="21.75" customHeight="1">
      <c r="A139" s="659"/>
      <c r="B139" s="659"/>
      <c r="C139" s="659"/>
      <c r="D139" s="659"/>
      <c r="E139" s="659"/>
      <c r="F139" s="1504" t="s">
        <v>1876</v>
      </c>
      <c r="G139" s="1505"/>
      <c r="H139" s="1505"/>
      <c r="I139" s="1506" t="s">
        <v>1877</v>
      </c>
      <c r="J139" s="2868"/>
    </row>
    <row r="140" spans="1:10" ht="21.75" customHeight="1">
      <c r="A140" s="659"/>
      <c r="B140" s="1507" t="s">
        <v>1878</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5"/>
      <c r="C142" s="1505"/>
      <c r="D142" s="1505"/>
      <c r="E142" s="1505"/>
      <c r="F142" s="1505"/>
      <c r="G142" s="1505"/>
      <c r="H142" s="1505"/>
      <c r="I142" s="1506" t="s">
        <v>1879</v>
      </c>
      <c r="J142" s="2868"/>
    </row>
    <row r="143" spans="1:10" ht="21.75" customHeight="1">
      <c r="A143" s="659"/>
      <c r="B143" s="1507" t="s">
        <v>1880</v>
      </c>
      <c r="C143" s="659"/>
      <c r="D143" s="659"/>
      <c r="E143" s="659"/>
      <c r="F143" s="659"/>
      <c r="G143" s="659"/>
      <c r="H143" s="659"/>
      <c r="I143" s="659"/>
      <c r="J143" s="2867"/>
    </row>
    <row r="144" spans="1:10" ht="21.75" customHeight="1">
      <c r="A144" s="659"/>
      <c r="B144" s="1507"/>
      <c r="C144" s="659"/>
      <c r="D144" s="659"/>
      <c r="E144" s="659"/>
      <c r="F144" s="659"/>
      <c r="G144" s="659"/>
      <c r="H144" s="659"/>
      <c r="I144" s="659"/>
      <c r="J144" s="2867"/>
    </row>
    <row r="145" spans="1:36" ht="21.75" customHeight="1">
      <c r="A145" s="659"/>
      <c r="B145" s="1505"/>
      <c r="C145" s="1505"/>
      <c r="D145" s="1505"/>
      <c r="E145" s="1505"/>
      <c r="F145" s="1505"/>
      <c r="G145" s="1505"/>
      <c r="H145" s="1505"/>
      <c r="I145" s="1506" t="s">
        <v>1879</v>
      </c>
      <c r="J145" s="2868"/>
    </row>
    <row r="146" spans="1:36" ht="21.75" customHeight="1">
      <c r="A146" s="659"/>
      <c r="B146" s="1507"/>
      <c r="C146" s="1508"/>
      <c r="D146" s="1509"/>
      <c r="E146" s="1509"/>
      <c r="F146" s="1510"/>
      <c r="G146" s="659"/>
      <c r="H146" s="659"/>
      <c r="I146" s="659"/>
      <c r="J146" s="2867"/>
    </row>
    <row r="147" spans="1:36" s="32" customFormat="1" ht="21.75" customHeight="1">
      <c r="A147" s="659"/>
      <c r="B147" s="1507"/>
      <c r="C147" s="1508"/>
      <c r="D147" s="1509"/>
      <c r="E147" s="150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37"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398" t="s">
        <v>1882</v>
      </c>
      <c r="B2" s="3398"/>
      <c r="C2" s="3398"/>
      <c r="D2" s="3398"/>
      <c r="E2" s="3398"/>
      <c r="F2" s="3398"/>
      <c r="G2" s="3398"/>
      <c r="H2" s="3398"/>
      <c r="I2" s="3398"/>
      <c r="J2" s="2869"/>
    </row>
    <row r="3" spans="1:15" ht="13.2">
      <c r="A3" s="3322" t="s">
        <v>1710</v>
      </c>
      <c r="B3" s="3323"/>
      <c r="C3" s="3323"/>
      <c r="D3" s="3323"/>
      <c r="E3" s="3323"/>
      <c r="F3" s="3323"/>
      <c r="G3" s="3323"/>
      <c r="H3" s="3323"/>
      <c r="I3" s="3323"/>
      <c r="J3" s="2839"/>
    </row>
    <row r="4" spans="1:15" ht="14.4">
      <c r="A4" s="2707" t="s">
        <v>1711</v>
      </c>
      <c r="B4" s="2707" t="s">
        <v>1712</v>
      </c>
      <c r="C4" s="2708"/>
      <c r="D4" s="2708"/>
      <c r="E4" s="3268" t="s">
        <v>1883</v>
      </c>
      <c r="F4" s="3306"/>
      <c r="G4" s="3306"/>
      <c r="H4" s="3306"/>
      <c r="I4" s="3307"/>
      <c r="J4" s="2840"/>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299" t="s">
        <v>1714</v>
      </c>
      <c r="B5" s="3299">
        <v>25</v>
      </c>
      <c r="C5" s="3308"/>
      <c r="D5" s="3321"/>
      <c r="E5" s="12" t="s">
        <v>1715</v>
      </c>
      <c r="F5" s="2089"/>
      <c r="G5" s="2089"/>
      <c r="H5" s="2089"/>
      <c r="I5" s="2084"/>
      <c r="J5" s="2840"/>
    </row>
    <row r="6" spans="1:15" ht="13.2">
      <c r="A6" s="3299"/>
      <c r="B6" s="3299"/>
      <c r="C6" s="3324"/>
      <c r="D6" s="3321"/>
      <c r="E6" s="12" t="s">
        <v>1716</v>
      </c>
      <c r="F6" s="2089"/>
      <c r="G6" s="2089"/>
      <c r="H6" s="2089"/>
      <c r="I6" s="2084"/>
      <c r="J6" s="2840"/>
    </row>
    <row r="7" spans="1:15" ht="13.2">
      <c r="A7" s="3299"/>
      <c r="B7" s="3299"/>
      <c r="C7" s="3309"/>
      <c r="D7" s="3321"/>
      <c r="E7" s="12" t="s">
        <v>1717</v>
      </c>
      <c r="F7" s="2089"/>
      <c r="G7" s="2089"/>
      <c r="H7" s="2089"/>
      <c r="I7" s="2084"/>
      <c r="J7" s="2840"/>
    </row>
    <row r="8" spans="1:15" ht="13.2">
      <c r="A8" s="3299" t="s">
        <v>1718</v>
      </c>
      <c r="B8" s="3299">
        <v>15</v>
      </c>
      <c r="C8" s="3308"/>
      <c r="D8" s="3321"/>
      <c r="E8" s="12" t="s">
        <v>1719</v>
      </c>
      <c r="F8" s="2089"/>
      <c r="G8" s="2089"/>
      <c r="H8" s="2089"/>
      <c r="I8" s="2084"/>
      <c r="J8" s="2840"/>
    </row>
    <row r="9" spans="1:15" ht="13.2">
      <c r="A9" s="3299"/>
      <c r="B9" s="3299"/>
      <c r="C9" s="3309"/>
      <c r="D9" s="3321"/>
      <c r="E9" s="12" t="s">
        <v>1720</v>
      </c>
      <c r="F9" s="2089"/>
      <c r="G9" s="2089"/>
      <c r="H9" s="2089"/>
      <c r="I9" s="2084"/>
      <c r="J9" s="2840"/>
    </row>
    <row r="10" spans="1:15" ht="13.2">
      <c r="A10" s="3299" t="s">
        <v>1721</v>
      </c>
      <c r="B10" s="3299">
        <v>15</v>
      </c>
      <c r="C10" s="3308"/>
      <c r="D10" s="3321"/>
      <c r="E10" s="12" t="s">
        <v>1722</v>
      </c>
      <c r="F10" s="2089"/>
      <c r="G10" s="2089"/>
      <c r="H10" s="2089"/>
      <c r="I10" s="2084"/>
      <c r="J10" s="2840"/>
    </row>
    <row r="11" spans="1:15" ht="13.2">
      <c r="A11" s="3299"/>
      <c r="B11" s="3299"/>
      <c r="C11" s="3309"/>
      <c r="D11" s="3321"/>
      <c r="E11" s="12" t="s">
        <v>1723</v>
      </c>
      <c r="F11" s="2089"/>
      <c r="G11" s="2089"/>
      <c r="H11" s="2089"/>
      <c r="I11" s="2084"/>
      <c r="J11" s="2840"/>
    </row>
    <row r="12" spans="1:15" ht="13.2">
      <c r="A12" s="3299" t="s">
        <v>1724</v>
      </c>
      <c r="B12" s="3299">
        <v>15</v>
      </c>
      <c r="C12" s="3308"/>
      <c r="D12" s="3321"/>
      <c r="E12" s="12" t="s">
        <v>1725</v>
      </c>
      <c r="F12" s="2089"/>
      <c r="G12" s="2089"/>
      <c r="H12" s="2089"/>
      <c r="I12" s="2084"/>
      <c r="J12" s="2840"/>
    </row>
    <row r="13" spans="1:15" ht="13.2">
      <c r="A13" s="3299"/>
      <c r="B13" s="3299"/>
      <c r="C13" s="3309"/>
      <c r="D13" s="3321"/>
      <c r="E13" s="12" t="s">
        <v>1726</v>
      </c>
      <c r="F13" s="2089"/>
      <c r="G13" s="2089"/>
      <c r="H13" s="2089"/>
      <c r="I13" s="2084"/>
      <c r="J13" s="2840"/>
    </row>
    <row r="14" spans="1:15" ht="13.2">
      <c r="A14" s="3299" t="s">
        <v>1727</v>
      </c>
      <c r="B14" s="3299">
        <v>30</v>
      </c>
      <c r="C14" s="3308"/>
      <c r="D14" s="3321"/>
      <c r="E14" s="12" t="s">
        <v>1728</v>
      </c>
      <c r="F14" s="2089"/>
      <c r="G14" s="2089"/>
      <c r="H14" s="2089"/>
      <c r="I14" s="2084"/>
      <c r="J14" s="2840"/>
    </row>
    <row r="15" spans="1:15" ht="13.2">
      <c r="A15" s="3299"/>
      <c r="B15" s="3299"/>
      <c r="C15" s="3324"/>
      <c r="D15" s="3321"/>
      <c r="E15" s="12" t="s">
        <v>1729</v>
      </c>
      <c r="F15" s="2089"/>
      <c r="G15" s="2089"/>
      <c r="H15" s="2089"/>
      <c r="I15" s="2084"/>
      <c r="J15" s="2840"/>
    </row>
    <row r="16" spans="1:15" ht="13.2">
      <c r="A16" s="3299"/>
      <c r="B16" s="3299"/>
      <c r="C16" s="3309"/>
      <c r="D16" s="3321"/>
      <c r="E16" s="12" t="s">
        <v>1730</v>
      </c>
      <c r="F16" s="2089"/>
      <c r="G16" s="2089"/>
      <c r="H16" s="2089"/>
      <c r="I16" s="2084"/>
      <c r="J16" s="2840"/>
    </row>
    <row r="17" spans="1:36" ht="14.4">
      <c r="A17" s="2709" t="s">
        <v>1731</v>
      </c>
      <c r="B17" s="2094"/>
      <c r="C17" s="2710">
        <f>SUM(C5:C16)</f>
        <v>0</v>
      </c>
      <c r="D17" s="2710">
        <f>SUM(D5:D16)</f>
        <v>0</v>
      </c>
      <c r="E17" s="2563"/>
      <c r="F17" s="2563"/>
      <c r="G17" s="2563"/>
      <c r="H17" s="2563"/>
      <c r="I17" s="2563"/>
      <c r="J17" s="2841"/>
    </row>
    <row r="18" spans="1:36" ht="32.4" customHeight="1" thickBot="1">
      <c r="A18" s="2711" t="s">
        <v>1732</v>
      </c>
      <c r="B18" s="2712"/>
      <c r="C18" s="2713" t="e">
        <f>ROUND(C17/SUM(C17:D17),2)</f>
        <v>#DIV/0!</v>
      </c>
      <c r="D18" s="2713" t="e">
        <f>1-C18</f>
        <v>#DIV/0!</v>
      </c>
      <c r="E18" s="3317" t="s">
        <v>2817</v>
      </c>
      <c r="F18" s="3318"/>
      <c r="G18" s="3318"/>
      <c r="H18" s="3318"/>
      <c r="I18" s="3318"/>
      <c r="J18" s="2841"/>
    </row>
    <row r="19" spans="1:36" ht="14.4">
      <c r="A19" s="2714" t="s">
        <v>1733</v>
      </c>
      <c r="B19" s="2715" t="s">
        <v>1734</v>
      </c>
      <c r="C19" s="2716" t="e">
        <f ca="1">SUMIF(INDIRECT("'"&amp;C4&amp;"'"&amp;"!A:A"),'结果表 (1修多)'!B19,INDIRECT("'"&amp;C4&amp;"'"&amp;"!B:B"))</f>
        <v>#REF!</v>
      </c>
      <c r="D19" s="2717" t="e">
        <f ca="1">SUMIF(INDIRECT("'"&amp;D4&amp;"'"&amp;"!A:A"),'结果表 (1修多)'!B19,INDIRECT("'"&amp;D4&amp;"'"&amp;"!B:B"))</f>
        <v>#REF!</v>
      </c>
      <c r="E19" s="2714" t="s">
        <v>1735</v>
      </c>
      <c r="F19" s="2715" t="s">
        <v>1734</v>
      </c>
      <c r="G19" s="2718" t="e">
        <f ca="1">ROUND(C19*$C$18+D19*$D$18,0)</f>
        <v>#REF!</v>
      </c>
      <c r="H19" s="2719" t="str">
        <f>'数据-取费表'!B3</f>
        <v>万元</v>
      </c>
      <c r="I19" s="2563"/>
      <c r="J19" s="2841"/>
    </row>
    <row r="20" spans="1:36" ht="14.4">
      <c r="A20" s="2720"/>
      <c r="B20" s="1694" t="s">
        <v>1736</v>
      </c>
      <c r="C20" s="1919" t="e">
        <f ca="1">SUMIF(INDIRECT("'"&amp;C4&amp;"'"&amp;"!A:A"),'结果表 (1修多)'!B20,INDIRECT("'"&amp;C4&amp;"'"&amp;"!B:B"))</f>
        <v>#REF!</v>
      </c>
      <c r="D20" s="1922" t="e">
        <f ca="1">SUMIF(INDIRECT("'"&amp;D4&amp;"'"&amp;"!A:A"),'结果表 (1修多)'!B20,INDIRECT("'"&amp;D4&amp;"'"&amp;"!B:B"))</f>
        <v>#REF!</v>
      </c>
      <c r="E20" s="2720"/>
      <c r="F20" s="1694" t="s">
        <v>1736</v>
      </c>
      <c r="G20" s="2093" t="e">
        <f ca="1">ROUND(C20*$C$18+D20*$D$18,0)</f>
        <v>#REF!</v>
      </c>
      <c r="H20" s="2721" t="s">
        <v>1737</v>
      </c>
      <c r="I20" s="2563"/>
      <c r="J20" s="2841"/>
    </row>
    <row r="21" spans="1:36" ht="15" customHeight="1" thickBot="1">
      <c r="A21" s="2722"/>
      <c r="B21" s="2723"/>
      <c r="C21" s="2723"/>
      <c r="D21" s="2724"/>
      <c r="E21" s="2722"/>
      <c r="F21" s="2723"/>
      <c r="G21" s="2725"/>
      <c r="H21" s="2726"/>
      <c r="I21" s="2563"/>
      <c r="J21" s="2841"/>
    </row>
    <row r="22" spans="1:36" ht="15" thickBot="1">
      <c r="A22" s="2727" t="s">
        <v>1738</v>
      </c>
      <c r="B22" s="2728"/>
      <c r="C22" s="2647"/>
      <c r="D22" s="2729" t="e">
        <f ca="1">IF(C19&lt;D19,D19/C19-1,C19/D19-1)</f>
        <v>#REF!</v>
      </c>
      <c r="E22" s="947"/>
      <c r="F22" s="947"/>
      <c r="G22" s="947"/>
      <c r="H22" s="947"/>
      <c r="I22" s="947"/>
      <c r="J22" s="2841"/>
    </row>
    <row r="23" spans="1:36" ht="13.8" thickBot="1">
      <c r="A23" s="2563"/>
      <c r="B23" s="2563"/>
      <c r="C23" s="2563"/>
      <c r="D23" s="2563"/>
      <c r="E23" s="947"/>
      <c r="F23" s="947"/>
      <c r="G23" s="947"/>
      <c r="H23" s="947"/>
      <c r="I23" s="947"/>
      <c r="J23" s="2841"/>
    </row>
    <row r="24" spans="1:36" ht="21.75" customHeight="1">
      <c r="A24" s="3310" t="s">
        <v>1739</v>
      </c>
      <c r="B24" s="2715" t="s">
        <v>1734</v>
      </c>
      <c r="C24" s="2718">
        <f>D30</f>
        <v>0</v>
      </c>
      <c r="D24" s="2671"/>
      <c r="E24" s="947"/>
      <c r="F24" s="947"/>
      <c r="G24" s="947"/>
      <c r="H24" s="947"/>
      <c r="I24" s="947"/>
      <c r="J24" s="2841"/>
    </row>
    <row r="25" spans="1:36" ht="21.75" customHeight="1">
      <c r="A25" s="3327"/>
      <c r="B25" s="1694"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4">
      <c r="A27" s="2735" t="s">
        <v>1884</v>
      </c>
      <c r="B27" s="2733">
        <v>0</v>
      </c>
      <c r="C27" s="2733">
        <v>0</v>
      </c>
      <c r="D27" s="2734">
        <f>ROUND(C27*B27/10000,0)</f>
        <v>0</v>
      </c>
      <c r="E27" s="947"/>
      <c r="F27" s="947"/>
      <c r="G27" s="947"/>
      <c r="H27" s="947"/>
      <c r="I27" s="947"/>
      <c r="J27" s="2841"/>
    </row>
    <row r="28" spans="1:36" ht="13.8">
      <c r="A28" s="2732"/>
      <c r="B28" s="2733"/>
      <c r="C28" s="2733"/>
      <c r="D28" s="2734">
        <f>ROUND(C28*B28/10000,0)</f>
        <v>0</v>
      </c>
      <c r="E28" s="947"/>
      <c r="F28" s="947"/>
      <c r="G28" s="947"/>
      <c r="H28" s="947"/>
      <c r="I28" s="947"/>
      <c r="J28" s="2841"/>
    </row>
    <row r="29" spans="1:36" ht="13.8">
      <c r="A29" s="2732"/>
      <c r="B29" s="2733"/>
      <c r="C29" s="2733"/>
      <c r="D29" s="2734">
        <f t="shared" ref="D29" si="0">ROUND(C29*B29/10000,0)</f>
        <v>0</v>
      </c>
      <c r="E29" s="947"/>
      <c r="F29" s="947"/>
      <c r="G29" s="947"/>
      <c r="H29" s="947"/>
      <c r="I29" s="947"/>
      <c r="J29" s="2841"/>
    </row>
    <row r="30" spans="1:36" ht="15" thickBot="1">
      <c r="A30" s="2768" t="s">
        <v>1885</v>
      </c>
      <c r="B30" s="2769"/>
      <c r="C30" s="2769"/>
      <c r="D30" s="2769"/>
      <c r="E30" s="2736" t="s">
        <v>2821</v>
      </c>
      <c r="F30" s="2563"/>
      <c r="G30" s="2563"/>
      <c r="H30" s="2563"/>
      <c r="I30" s="2563"/>
      <c r="J30" s="2841"/>
    </row>
    <row r="31" spans="1:36" s="2834" customFormat="1" ht="27.6" customHeight="1" thickTop="1" thickBot="1">
      <c r="A31" s="2829"/>
      <c r="B31" s="2830"/>
      <c r="C31" s="2830"/>
      <c r="D31" s="2830"/>
      <c r="E31" s="2830"/>
      <c r="F31" s="2830"/>
      <c r="G31" s="2830"/>
      <c r="H31" s="2830"/>
      <c r="I31" s="2831" t="s">
        <v>2822</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5" customFormat="1" ht="15.6" thickTop="1" thickBot="1">
      <c r="A32" s="3375" t="s">
        <v>1886</v>
      </c>
      <c r="B32" s="3375"/>
      <c r="C32" s="3375"/>
      <c r="D32" s="3375"/>
      <c r="E32" s="3375"/>
      <c r="F32" s="3375"/>
      <c r="G32" s="3375"/>
      <c r="H32" s="3375"/>
      <c r="I32" s="3375"/>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0" t="s">
        <v>1887</v>
      </c>
      <c r="C33" s="2771">
        <f>典型户型修正!R27</f>
        <v>0</v>
      </c>
      <c r="D33" s="2563" t="s">
        <v>1888</v>
      </c>
      <c r="E33" s="947"/>
      <c r="F33" s="947"/>
      <c r="G33" s="947"/>
      <c r="H33" s="947"/>
      <c r="I33" s="947"/>
      <c r="J33" s="2841"/>
    </row>
    <row r="34" spans="1:16" ht="14.4">
      <c r="A34" s="1512" t="s">
        <v>1889</v>
      </c>
      <c r="B34" s="2772" t="s">
        <v>1890</v>
      </c>
      <c r="C34" s="2773">
        <f>典型户型修正!B2</f>
        <v>0</v>
      </c>
      <c r="D34" s="2774" t="str">
        <f>IF('数据-取费表'!B3="万元","万元","元")</f>
        <v>万元</v>
      </c>
      <c r="E34" s="947"/>
      <c r="F34" s="947"/>
      <c r="G34" s="947"/>
      <c r="H34" s="947"/>
      <c r="I34" s="947"/>
      <c r="J34" s="2841"/>
    </row>
    <row r="35" spans="1:16" ht="15" thickBot="1">
      <c r="A35" s="1513"/>
      <c r="B35" s="2775" t="s">
        <v>1891</v>
      </c>
      <c r="C35" s="2724">
        <f>典型户型修正!B3</f>
        <v>0</v>
      </c>
      <c r="D35" s="2563" t="s">
        <v>1892</v>
      </c>
      <c r="E35" s="947"/>
      <c r="F35" s="947"/>
      <c r="G35" s="947"/>
      <c r="H35" s="947"/>
      <c r="I35" s="947"/>
      <c r="J35" s="2841"/>
    </row>
    <row r="36" spans="1:16" ht="14.4">
      <c r="A36" s="1514"/>
      <c r="B36" s="1468" t="s">
        <v>1893</v>
      </c>
      <c r="C36" s="2776">
        <f>IF('数据-取费表'!B3="万元",典型户型修正!V25,典型户型修正!U25)</f>
        <v>0</v>
      </c>
      <c r="D36" s="2563" t="str">
        <f>D34</f>
        <v>万元</v>
      </c>
      <c r="E36" s="947"/>
      <c r="F36" s="947"/>
      <c r="G36" s="947"/>
      <c r="H36" s="947"/>
      <c r="I36" s="947"/>
      <c r="J36" s="2841"/>
    </row>
    <row r="37" spans="1:16" ht="15" thickBot="1">
      <c r="A37" s="1467"/>
      <c r="B37" s="1469" t="s">
        <v>1894</v>
      </c>
      <c r="C37" s="2777">
        <f>IF('数据-取费表'!B3="万元",典型户型修正!Y25,典型户型修正!X25)</f>
        <v>0</v>
      </c>
      <c r="D37" s="2563" t="str">
        <f>D34</f>
        <v>万元</v>
      </c>
      <c r="E37" s="947"/>
      <c r="F37" s="947"/>
      <c r="G37" s="947"/>
      <c r="H37" s="947"/>
      <c r="I37" s="947"/>
      <c r="J37" s="2841"/>
    </row>
    <row r="38" spans="1:16" ht="15" thickBot="1">
      <c r="A38" s="3310" t="s">
        <v>1895</v>
      </c>
      <c r="B38" s="1468" t="s">
        <v>1896</v>
      </c>
      <c r="C38" s="2751"/>
      <c r="D38" s="2752"/>
      <c r="E38" s="1680"/>
      <c r="F38" s="1680"/>
      <c r="G38" s="947"/>
      <c r="H38" s="947"/>
      <c r="I38" s="947"/>
      <c r="J38" s="2841"/>
    </row>
    <row r="39" spans="1:16" ht="15" thickBot="1">
      <c r="A39" s="3311"/>
      <c r="B39" s="2094" t="s">
        <v>1897</v>
      </c>
      <c r="C39" s="2753"/>
      <c r="D39" s="1311"/>
      <c r="E39" s="1311"/>
      <c r="F39" s="1680"/>
      <c r="G39" s="1311"/>
      <c r="H39" s="1311"/>
      <c r="I39" s="1311"/>
      <c r="J39" s="2845"/>
    </row>
    <row r="40" spans="1:16" ht="15" thickBot="1">
      <c r="A40" s="3312"/>
      <c r="B40" s="1469" t="s">
        <v>1898</v>
      </c>
      <c r="C40" s="2754"/>
      <c r="D40" s="2755" t="s">
        <v>1899</v>
      </c>
      <c r="E40" s="1311"/>
      <c r="F40" s="1680"/>
      <c r="G40" s="1311"/>
      <c r="H40" s="1311"/>
      <c r="I40" s="1311"/>
      <c r="J40" s="2845"/>
    </row>
    <row r="41" spans="1:16" ht="14.4">
      <c r="A41" s="2720" t="s">
        <v>1900</v>
      </c>
      <c r="B41" s="2756" t="s">
        <v>1901</v>
      </c>
      <c r="C41" s="2757" t="s">
        <v>1902</v>
      </c>
      <c r="D41" s="2757" t="s">
        <v>1903</v>
      </c>
      <c r="E41" s="2758" t="s">
        <v>1904</v>
      </c>
      <c r="F41" s="1680"/>
      <c r="G41" s="1311"/>
      <c r="H41" s="1311"/>
      <c r="I41" s="1311"/>
      <c r="J41" s="2845"/>
    </row>
    <row r="42" spans="1:16" ht="13.8">
      <c r="A42" s="2759" t="s">
        <v>1905</v>
      </c>
      <c r="B42" s="2760"/>
      <c r="C42" s="2761"/>
      <c r="D42" s="2761"/>
      <c r="E42" s="2762"/>
      <c r="F42" s="1680"/>
      <c r="G42" s="1311"/>
      <c r="H42" s="1311"/>
      <c r="I42" s="1311"/>
      <c r="J42" s="2845"/>
    </row>
    <row r="43" spans="1:16" ht="13.8">
      <c r="A43" s="2759" t="s">
        <v>1906</v>
      </c>
      <c r="B43" s="2760"/>
      <c r="C43" s="2761"/>
      <c r="D43" s="2761"/>
      <c r="E43" s="2762"/>
      <c r="F43" s="1680"/>
      <c r="G43" s="1311"/>
      <c r="H43" s="1311"/>
      <c r="I43" s="1311"/>
      <c r="J43" s="2845"/>
    </row>
    <row r="44" spans="1:16" ht="14.4" thickBot="1">
      <c r="A44" s="2763"/>
      <c r="B44" s="2764"/>
      <c r="C44" s="2765"/>
      <c r="D44" s="2765"/>
      <c r="E44" s="2750"/>
      <c r="F44" s="1680"/>
      <c r="G44" s="1311"/>
      <c r="H44" s="1311"/>
      <c r="I44" s="1311"/>
      <c r="J44" s="2845"/>
    </row>
    <row r="45" spans="1:16" ht="13.2">
      <c r="A45" s="1481"/>
      <c r="B45" s="1481"/>
      <c r="C45" s="1481"/>
      <c r="D45" s="1481"/>
      <c r="E45" s="1481"/>
      <c r="F45" s="1437"/>
      <c r="G45" s="1437"/>
      <c r="H45" s="1437"/>
      <c r="I45" s="2766"/>
      <c r="J45" s="2846"/>
    </row>
    <row r="46" spans="1:16" ht="17.399999999999999">
      <c r="A46" s="1471" t="s">
        <v>1907</v>
      </c>
      <c r="B46" s="1472"/>
      <c r="C46" s="1472"/>
      <c r="D46" s="2778"/>
      <c r="E46" s="2778"/>
      <c r="F46" s="2778"/>
      <c r="G46" s="2778"/>
      <c r="H46" s="2778"/>
      <c r="I46" s="2835" t="s">
        <v>2816</v>
      </c>
      <c r="J46" s="2871"/>
      <c r="K46" s="1475" t="s">
        <v>1762</v>
      </c>
      <c r="L46" s="1476"/>
      <c r="M46" s="1476"/>
      <c r="N46" s="1476"/>
      <c r="O46" s="1476"/>
      <c r="P46" s="1476"/>
    </row>
    <row r="47" spans="1:16" ht="14.25" customHeight="1" thickBot="1">
      <c r="A47" s="3314" t="s">
        <v>1908</v>
      </c>
      <c r="B47" s="3315"/>
      <c r="C47" s="3274"/>
      <c r="D47" s="246">
        <f>ROUND(I104*F47,0)</f>
        <v>0</v>
      </c>
      <c r="E47" s="1542" t="s">
        <v>1909</v>
      </c>
      <c r="F47" s="2561">
        <v>1</v>
      </c>
      <c r="G47" s="2562" t="s">
        <v>1910</v>
      </c>
      <c r="H47" s="947"/>
      <c r="I47" s="947"/>
      <c r="J47" s="2841"/>
      <c r="K47" s="3400" t="s">
        <v>1766</v>
      </c>
      <c r="L47" s="3400"/>
      <c r="M47" s="3400"/>
      <c r="N47" s="3400"/>
      <c r="O47" s="3400"/>
      <c r="P47" s="3400"/>
    </row>
    <row r="48" spans="1:16" ht="14.25" customHeight="1">
      <c r="A48" s="3303" t="s">
        <v>1767</v>
      </c>
      <c r="B48" s="3304"/>
      <c r="C48" s="3304"/>
      <c r="D48" s="3304"/>
      <c r="E48" s="3304"/>
      <c r="F48" s="3304"/>
      <c r="G48" s="3305"/>
      <c r="H48" s="2972"/>
      <c r="I48" s="947"/>
      <c r="J48" s="2841"/>
      <c r="K48" s="2513">
        <v>1</v>
      </c>
      <c r="L48" s="3395" t="s">
        <v>1768</v>
      </c>
      <c r="M48" s="3395"/>
      <c r="N48" s="3401"/>
      <c r="O48" s="3401"/>
      <c r="P48" s="3401"/>
    </row>
    <row r="49" spans="1:17" ht="12" customHeight="1">
      <c r="A49" s="38" t="s">
        <v>1769</v>
      </c>
      <c r="B49" s="39"/>
      <c r="C49" s="40"/>
      <c r="D49" s="1099" t="s">
        <v>1770</v>
      </c>
      <c r="E49" s="235" t="s">
        <v>1771</v>
      </c>
      <c r="F49" s="41" t="s">
        <v>1772</v>
      </c>
      <c r="G49" s="2564" t="s">
        <v>1773</v>
      </c>
      <c r="H49" s="2972"/>
      <c r="I49" s="947"/>
      <c r="J49" s="2841"/>
      <c r="K49" s="2513">
        <v>2</v>
      </c>
      <c r="L49" s="3395" t="s">
        <v>1774</v>
      </c>
      <c r="M49" s="3395"/>
      <c r="N49" s="3402">
        <f>'数据-取费表'!B2</f>
        <v>44393</v>
      </c>
      <c r="O49" s="3402"/>
      <c r="P49" s="3402"/>
    </row>
    <row r="50" spans="1:17" ht="26.4">
      <c r="A50" s="3313" t="s">
        <v>1775</v>
      </c>
      <c r="B50" s="3267"/>
      <c r="C50" s="326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2"/>
      <c r="J50" s="2848"/>
      <c r="K50" s="2513">
        <v>3</v>
      </c>
      <c r="L50" s="3395" t="s">
        <v>1778</v>
      </c>
      <c r="M50" s="3395"/>
      <c r="N50" s="3396">
        <f>I104</f>
        <v>0</v>
      </c>
      <c r="O50" s="3396"/>
      <c r="P50" s="3396"/>
    </row>
    <row r="51" spans="1:17" ht="25.5" customHeight="1">
      <c r="A51" s="2091" t="s">
        <v>1779</v>
      </c>
      <c r="B51" s="3306" t="s">
        <v>1780</v>
      </c>
      <c r="C51" s="3306"/>
      <c r="D51" s="2568">
        <v>0</v>
      </c>
      <c r="E51" s="261" t="s">
        <v>1781</v>
      </c>
      <c r="F51" s="2569" t="s">
        <v>48</v>
      </c>
      <c r="G51" s="3363"/>
      <c r="H51" s="2570" t="s">
        <v>2741</v>
      </c>
      <c r="I51" s="2571"/>
      <c r="J51" s="2849"/>
      <c r="K51" s="2513">
        <v>4</v>
      </c>
      <c r="L51" s="3395" t="str">
        <f>IF(项目基本情况!F5="房地产抵押价值","房地产抵押价值","抵押担保权已注销时的房地产抵押价值")</f>
        <v>房地产抵押价值</v>
      </c>
      <c r="M51" s="3395"/>
      <c r="N51" s="3396">
        <f>IF(项目基本情况!F5="房地产抵押价值",I112,I114)</f>
        <v>0</v>
      </c>
      <c r="O51" s="3396"/>
      <c r="P51" s="3396"/>
    </row>
    <row r="52" spans="1:17" ht="25.5" customHeight="1">
      <c r="A52" s="2081"/>
      <c r="B52" s="3306" t="s">
        <v>1782</v>
      </c>
      <c r="C52" s="3306"/>
      <c r="D52" s="2572"/>
      <c r="E52" s="269"/>
      <c r="F52" s="2569"/>
      <c r="G52" s="3364"/>
      <c r="H52" s="2573" t="s">
        <v>2742</v>
      </c>
      <c r="I52" s="2571"/>
      <c r="J52" s="2849"/>
      <c r="K52" s="3395" t="s">
        <v>1783</v>
      </c>
      <c r="L52" s="3395"/>
      <c r="M52" s="3395"/>
      <c r="N52" s="3395"/>
      <c r="O52" s="3395"/>
      <c r="P52" s="3395"/>
    </row>
    <row r="53" spans="1:17" ht="20.399999999999999" customHeight="1">
      <c r="A53" s="2574"/>
      <c r="B53" s="3306" t="s">
        <v>1784</v>
      </c>
      <c r="C53" s="3306"/>
      <c r="D53" s="1099"/>
      <c r="E53" s="264"/>
      <c r="F53" s="2569"/>
      <c r="G53" s="3365"/>
      <c r="H53" s="2573" t="s">
        <v>2743</v>
      </c>
      <c r="I53" s="2571"/>
      <c r="J53" s="2849"/>
      <c r="K53" s="2514" t="s">
        <v>1785</v>
      </c>
      <c r="L53" s="3395" t="s">
        <v>1786</v>
      </c>
      <c r="M53" s="3395"/>
      <c r="N53" s="2514" t="s">
        <v>1787</v>
      </c>
      <c r="O53" s="2514" t="s">
        <v>1788</v>
      </c>
      <c r="P53" s="2514" t="s">
        <v>1789</v>
      </c>
    </row>
    <row r="54" spans="1:17" ht="24" customHeight="1">
      <c r="A54" s="2082" t="s">
        <v>1790</v>
      </c>
      <c r="B54" s="3306" t="s">
        <v>1791</v>
      </c>
      <c r="C54" s="3306"/>
      <c r="D54" s="1099">
        <f>ROUND(D47*'数据-取费表'!E29/(1+'数据-取费表'!F30),0)</f>
        <v>0</v>
      </c>
      <c r="E54" s="2092" t="s">
        <v>1792</v>
      </c>
      <c r="F54" s="2575">
        <f>'数据-取费表'!E29</f>
        <v>5.6000000000000001E-2</v>
      </c>
      <c r="G54" s="2576"/>
      <c r="H54" s="947"/>
      <c r="I54" s="2973"/>
      <c r="J54" s="2849"/>
      <c r="K54" s="2513">
        <v>1</v>
      </c>
      <c r="L54" s="3391" t="s">
        <v>1793</v>
      </c>
      <c r="M54" s="3391"/>
      <c r="N54" s="2515">
        <f>D50</f>
        <v>0</v>
      </c>
      <c r="O54" s="2513" t="str">
        <f>E50</f>
        <v>销售额×税（费）率</v>
      </c>
      <c r="P54" s="2516">
        <f>F50</f>
        <v>5.6000000000000001E-2</v>
      </c>
    </row>
    <row r="55" spans="1:17" ht="12" customHeight="1">
      <c r="A55" s="2082" t="s">
        <v>1794</v>
      </c>
      <c r="B55" s="3268" t="s">
        <v>2835</v>
      </c>
      <c r="C55" s="3307"/>
      <c r="D55" s="1099">
        <f>ROUND(D47*'数据-取费表'!E29/(1+'数据-取费表'!F30),0)</f>
        <v>0</v>
      </c>
      <c r="E55" s="2092" t="s">
        <v>1792</v>
      </c>
      <c r="F55" s="2575">
        <f>'数据-取费表'!E29</f>
        <v>5.6000000000000001E-2</v>
      </c>
      <c r="G55" s="2576"/>
      <c r="H55" s="947"/>
      <c r="I55" s="2973"/>
      <c r="J55" s="2849"/>
      <c r="K55" s="2513">
        <v>2</v>
      </c>
      <c r="L55" s="3391" t="s">
        <v>1795</v>
      </c>
      <c r="M55" s="3391"/>
      <c r="N55" s="2515">
        <f t="shared" ref="N55:P56" si="1">D57</f>
        <v>0</v>
      </c>
      <c r="O55" s="2513" t="str">
        <f t="shared" si="1"/>
        <v>销售额×税（费）率</v>
      </c>
      <c r="P55" s="2516">
        <f t="shared" si="1"/>
        <v>5.0000000000000001E-4</v>
      </c>
    </row>
    <row r="56" spans="1:17" ht="12" customHeight="1">
      <c r="A56" s="2082" t="s">
        <v>1796</v>
      </c>
      <c r="B56" s="3268" t="s">
        <v>2836</v>
      </c>
      <c r="C56" s="3307"/>
      <c r="D56" s="1099">
        <f>C70</f>
        <v>0</v>
      </c>
      <c r="E56" s="264" t="s">
        <v>1797</v>
      </c>
      <c r="F56" s="2575">
        <f>'数据-取费表'!E29</f>
        <v>5.6000000000000001E-2</v>
      </c>
      <c r="G56" s="2576"/>
      <c r="H56" s="2974"/>
      <c r="I56" s="2973"/>
      <c r="J56" s="2849"/>
      <c r="K56" s="2513">
        <v>3</v>
      </c>
      <c r="L56" s="3391" t="s">
        <v>1798</v>
      </c>
      <c r="M56" s="3391"/>
      <c r="N56" s="2515">
        <f t="shared" si="1"/>
        <v>0</v>
      </c>
      <c r="O56" s="2513" t="str">
        <f t="shared" si="1"/>
        <v>增值额×税（费）率</v>
      </c>
      <c r="P56" s="2517" t="str">
        <f t="shared" si="1"/>
        <v>——</v>
      </c>
    </row>
    <row r="57" spans="1:17" ht="24" customHeight="1">
      <c r="A57" s="3266" t="s">
        <v>1799</v>
      </c>
      <c r="B57" s="3267"/>
      <c r="C57" s="3267"/>
      <c r="D57" s="12">
        <f>IF(H57="个人住宅",0,ROUND(D47*I57,0))</f>
        <v>0</v>
      </c>
      <c r="E57" s="2092" t="s">
        <v>1800</v>
      </c>
      <c r="F57" s="2575">
        <f>IF(H57="正常",I57,"免征")</f>
        <v>5.0000000000000001E-4</v>
      </c>
      <c r="G57" s="2576"/>
      <c r="H57" s="2567" t="s">
        <v>1801</v>
      </c>
      <c r="I57" s="74">
        <f>'数据-取费表'!E37</f>
        <v>5.0000000000000001E-4</v>
      </c>
      <c r="J57" s="2849"/>
      <c r="K57" s="2513">
        <f>IF(H61="非个人房产","",4)</f>
        <v>4</v>
      </c>
      <c r="L57" s="3391" t="str">
        <f>IF(H61="非个人房产","——","个人所得税")</f>
        <v>个人所得税</v>
      </c>
      <c r="M57" s="3391"/>
      <c r="N57" s="2518">
        <f>D61</f>
        <v>0</v>
      </c>
      <c r="O57" s="2519" t="str">
        <f>E61</f>
        <v>销售额×税（费）率</v>
      </c>
      <c r="P57" s="2520">
        <f>F61</f>
        <v>0.01</v>
      </c>
    </row>
    <row r="58" spans="1:17" ht="25.2">
      <c r="A58" s="3266" t="s">
        <v>1802</v>
      </c>
      <c r="B58" s="3267"/>
      <c r="C58" s="3267"/>
      <c r="D58" s="12">
        <f>IF(H58="个人住宅",D59,D60)</f>
        <v>0</v>
      </c>
      <c r="E58" s="2092" t="s">
        <v>1803</v>
      </c>
      <c r="F58" s="2575" t="str">
        <f>IF(H58="正常",F60,"免征")</f>
        <v>——</v>
      </c>
      <c r="G58" s="2577" t="s">
        <v>1804</v>
      </c>
      <c r="H58" s="2578" t="s">
        <v>1801</v>
      </c>
      <c r="I58" s="2975"/>
      <c r="J58" s="2849"/>
      <c r="K58" s="2513" t="str">
        <f>IF(项目基本情况!I6="上海银行",IF(K57="",4,K57+1),"")</f>
        <v/>
      </c>
      <c r="L58" s="3393" t="str">
        <f>IF(项目基本情况!I6="上海银行","其他处置费用","")</f>
        <v/>
      </c>
      <c r="M58" s="3394"/>
      <c r="N58" s="2515" t="str">
        <f>IF(项目基本情况!I6="上海银行",N71,"")</f>
        <v/>
      </c>
      <c r="O58" s="3393" t="str">
        <f>IF(项目基本情况!I6="上海银行","包含处置中涉及的律师、诉讼、拍卖、评估等费用","")</f>
        <v/>
      </c>
      <c r="P58" s="3397"/>
    </row>
    <row r="59" spans="1:17" ht="13.2">
      <c r="A59" s="2082" t="s">
        <v>1779</v>
      </c>
      <c r="B59" s="3268" t="s">
        <v>1805</v>
      </c>
      <c r="C59" s="3307"/>
      <c r="D59" s="2568">
        <v>0</v>
      </c>
      <c r="E59" s="261" t="s">
        <v>1781</v>
      </c>
      <c r="F59" s="235"/>
      <c r="G59" s="2576"/>
      <c r="H59" s="2975"/>
      <c r="I59" s="2975"/>
      <c r="J59" s="2849"/>
      <c r="K59" s="3391">
        <f>IF(AND(K57="",K58=""),4,IF(项目基本情况!I6="上海银行",K58+1,K57+1))</f>
        <v>5</v>
      </c>
      <c r="L59" s="3391" t="s">
        <v>1806</v>
      </c>
      <c r="M59" s="2521" t="s">
        <v>1807</v>
      </c>
      <c r="N59" s="2522"/>
      <c r="O59" s="2523">
        <f>SUMIF(N54:N58,"&lt;9e307")</f>
        <v>0</v>
      </c>
      <c r="P59" s="2524"/>
      <c r="Q59" s="1306" t="e">
        <f>O59/N51</f>
        <v>#DIV/0!</v>
      </c>
    </row>
    <row r="60" spans="1:17" ht="25.2">
      <c r="A60" s="2082" t="s">
        <v>1790</v>
      </c>
      <c r="B60" s="3268" t="s">
        <v>1808</v>
      </c>
      <c r="C60" s="3306"/>
      <c r="D60" s="12">
        <f>IF(H60="转让取得",C83,C99)</f>
        <v>0</v>
      </c>
      <c r="E60" s="2092" t="s">
        <v>1803</v>
      </c>
      <c r="F60" s="235" t="s">
        <v>48</v>
      </c>
      <c r="G60" s="2576"/>
      <c r="H60" s="2578" t="s">
        <v>1809</v>
      </c>
      <c r="I60" s="2975"/>
      <c r="J60" s="2849"/>
      <c r="K60" s="3391"/>
      <c r="L60" s="3391"/>
      <c r="M60" s="2521" t="s">
        <v>1810</v>
      </c>
      <c r="N60" s="2525"/>
      <c r="O60" s="2526" t="str">
        <f>IF(H19="元",NUMBERSTRING(INT(O59),2)&amp;"元整",NUMBERSTRING(INT(O59*10000),2)&amp;"元整")</f>
        <v>零元整</v>
      </c>
      <c r="P60" s="2527"/>
    </row>
    <row r="61" spans="1:17" ht="27" thickBot="1">
      <c r="A61" s="3290" t="s">
        <v>1811</v>
      </c>
      <c r="B61" s="3291"/>
      <c r="C61" s="329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2814</v>
      </c>
      <c r="H61" s="2096" t="s">
        <v>2740</v>
      </c>
      <c r="I61" s="2877" t="s">
        <v>2826</v>
      </c>
      <c r="J61" s="2849"/>
      <c r="K61" s="3389">
        <f>K59+1</f>
        <v>6</v>
      </c>
      <c r="L61" s="3391" t="s">
        <v>1812</v>
      </c>
      <c r="M61" s="2513" t="s">
        <v>1807</v>
      </c>
      <c r="N61" s="2528"/>
      <c r="O61" s="2529">
        <f>N51-O59</f>
        <v>0</v>
      </c>
      <c r="P61" s="2530"/>
    </row>
    <row r="62" spans="1:17" ht="12" customHeight="1">
      <c r="A62" s="1457"/>
      <c r="B62" s="2563"/>
      <c r="C62" s="2563"/>
      <c r="D62" s="2563"/>
      <c r="E62" s="1457"/>
      <c r="F62" s="2975"/>
      <c r="G62" s="2975"/>
      <c r="H62" s="2970"/>
      <c r="I62" s="947"/>
      <c r="J62" s="2849"/>
      <c r="K62" s="3390"/>
      <c r="L62" s="3391"/>
      <c r="M62" s="2521" t="s">
        <v>1810</v>
      </c>
      <c r="N62" s="2525"/>
      <c r="O62" s="2526" t="str">
        <f>IF(H19="元",NUMBERSTRING(INT(O61),2)&amp;"元整",NUMBERSTRING(INT(O61*10000),2)&amp;"元整")</f>
        <v>零元整</v>
      </c>
      <c r="P62" s="2527"/>
    </row>
    <row r="63" spans="1:17" ht="13.8" thickBot="1">
      <c r="A63" s="3392" t="s">
        <v>1813</v>
      </c>
      <c r="B63" s="3392"/>
      <c r="C63" s="3392"/>
      <c r="D63" s="3392"/>
      <c r="E63" s="3392"/>
      <c r="F63" s="2975"/>
      <c r="G63" s="2975"/>
      <c r="H63" s="2970"/>
      <c r="I63" s="947"/>
      <c r="J63" s="2841"/>
      <c r="K63" s="2513">
        <f>K61+1</f>
        <v>7</v>
      </c>
      <c r="L63" s="3391" t="s">
        <v>1814</v>
      </c>
      <c r="M63" s="3391"/>
      <c r="N63" s="2531"/>
      <c r="O63" s="2532">
        <f>IF(H19="元",ROUND(O61/项目基本情况!C12,0),ROUND(O61*10000/项目基本情况!C12,0))</f>
        <v>0</v>
      </c>
      <c r="P63" s="2533"/>
    </row>
    <row r="64" spans="1:17" ht="13.2">
      <c r="A64" s="3325" t="s">
        <v>1815</v>
      </c>
      <c r="B64" s="3326"/>
      <c r="C64" s="1607"/>
      <c r="D64" s="1607" t="s">
        <v>1816</v>
      </c>
      <c r="E64" s="45" t="s">
        <v>1817</v>
      </c>
      <c r="F64" s="2975"/>
      <c r="G64" s="2975"/>
      <c r="H64" s="2970"/>
      <c r="I64" s="947"/>
      <c r="J64" s="2841"/>
      <c r="K64" s="1308"/>
      <c r="L64" s="1308"/>
      <c r="M64" s="1308"/>
      <c r="N64" s="1308"/>
      <c r="O64" s="1308"/>
    </row>
    <row r="65" spans="1:36" ht="13.2">
      <c r="A65" s="46">
        <v>1</v>
      </c>
      <c r="B65" s="47" t="s">
        <v>1818</v>
      </c>
      <c r="C65" s="2780">
        <f>ROUND((C66+C67)/(1+'数据-取费表'!F30),0)</f>
        <v>0</v>
      </c>
      <c r="D65" s="47"/>
      <c r="E65" s="48"/>
      <c r="F65" s="2975"/>
      <c r="G65" s="2975"/>
      <c r="H65" s="2970"/>
      <c r="I65" s="947"/>
      <c r="J65" s="2841"/>
      <c r="K65" s="3399" t="s">
        <v>1819</v>
      </c>
      <c r="L65" s="1307" t="s">
        <v>1820</v>
      </c>
      <c r="M65" s="1307">
        <f>IF(N51&gt;10000,N51*0.5%,IF(AND(N51&gt;1000,N51&lt;=10000),N51*1%,IF(AND(N51&gt;100,N51&lt;=1000),N51*3%,IF(AND(N51&gt;10,N51&lt;=100),N51*5%,N51*8%))))</f>
        <v>0</v>
      </c>
      <c r="N65" s="235">
        <f>ROUND(M65,1)</f>
        <v>0</v>
      </c>
      <c r="O65" s="2534"/>
    </row>
    <row r="66" spans="1:36" ht="13.2">
      <c r="A66" s="49" t="s">
        <v>71</v>
      </c>
      <c r="B66" s="50" t="s">
        <v>1821</v>
      </c>
      <c r="C66" s="2781">
        <f>D47</f>
        <v>0</v>
      </c>
      <c r="D66" s="50" t="s">
        <v>41</v>
      </c>
      <c r="E66" s="52"/>
      <c r="F66" s="2975"/>
      <c r="G66" s="2975"/>
      <c r="H66" s="2970"/>
      <c r="I66" s="947"/>
      <c r="J66" s="2841"/>
      <c r="K66" s="3399"/>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3.2">
      <c r="A67" s="49" t="s">
        <v>72</v>
      </c>
      <c r="B67" s="50" t="s">
        <v>1824</v>
      </c>
      <c r="C67" s="2782"/>
      <c r="D67" s="50"/>
      <c r="E67" s="52"/>
      <c r="F67" s="2975"/>
      <c r="G67" s="2975"/>
      <c r="H67" s="2970"/>
      <c r="I67" s="947"/>
      <c r="J67" s="2841"/>
      <c r="K67" s="3399"/>
      <c r="L67" s="1307" t="s">
        <v>1825</v>
      </c>
      <c r="M67" s="1307" t="b">
        <f>IF(N51&gt;1000,N51*0.1%,IF(AND(N51&gt;500,N51&lt;=1000),N51*0.5%,IF(AND(N51&gt;50,N51&lt;=500),N51*1%,IF(AND(N51&gt;1,N51&lt;=50),N51*1.5%))))</f>
        <v>0</v>
      </c>
      <c r="N67" s="235">
        <f t="shared" si="2"/>
        <v>0</v>
      </c>
      <c r="O67" s="2534" t="s">
        <v>1823</v>
      </c>
    </row>
    <row r="68" spans="1:36" ht="13.2">
      <c r="A68" s="53" t="s">
        <v>47</v>
      </c>
      <c r="B68" s="54" t="s">
        <v>1826</v>
      </c>
      <c r="C68" s="2783"/>
      <c r="D68" s="54" t="s">
        <v>41</v>
      </c>
      <c r="E68" s="1316" t="s">
        <v>1827</v>
      </c>
      <c r="F68" s="2975"/>
      <c r="G68" s="2975"/>
      <c r="H68" s="2970"/>
      <c r="I68" s="947"/>
      <c r="J68" s="2841"/>
      <c r="K68" s="3399"/>
      <c r="L68" s="1307" t="s">
        <v>1828</v>
      </c>
      <c r="M68" s="1307">
        <f>N51*0.5%</f>
        <v>0</v>
      </c>
      <c r="N68" s="235">
        <f>IF(M68&gt;0.5,0.5,ROUND(M68,0))</f>
        <v>0</v>
      </c>
      <c r="O68" s="2534" t="s">
        <v>1829</v>
      </c>
    </row>
    <row r="69" spans="1:36" ht="13.2">
      <c r="A69" s="53" t="s">
        <v>42</v>
      </c>
      <c r="B69" s="54" t="s">
        <v>1830</v>
      </c>
      <c r="C69" s="2784">
        <f>C65-C68</f>
        <v>0</v>
      </c>
      <c r="D69" s="50" t="s">
        <v>41</v>
      </c>
      <c r="E69" s="52"/>
      <c r="F69" s="2975"/>
      <c r="G69" s="2975"/>
      <c r="H69" s="2970"/>
      <c r="I69" s="947"/>
      <c r="J69" s="2841"/>
      <c r="K69" s="3399"/>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8" thickBot="1">
      <c r="A70" s="55" t="s">
        <v>46</v>
      </c>
      <c r="B70" s="56" t="s">
        <v>1832</v>
      </c>
      <c r="C70" s="2785">
        <f>IF(C69&lt;=0,0,ROUND(C69*D70,0))</f>
        <v>0</v>
      </c>
      <c r="D70" s="2242">
        <f>'数据-取费表'!E29</f>
        <v>5.6000000000000001E-2</v>
      </c>
      <c r="E70" s="57"/>
      <c r="F70" s="2975"/>
      <c r="G70" s="2975"/>
      <c r="H70" s="2970"/>
      <c r="I70" s="947"/>
      <c r="J70" s="2841"/>
      <c r="K70" s="3399"/>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86"/>
      <c r="D71" s="2285"/>
      <c r="E71" s="1481"/>
      <c r="F71" s="1457"/>
      <c r="G71" s="1457"/>
      <c r="H71" s="1481"/>
      <c r="I71" s="2563"/>
      <c r="J71" s="2841"/>
      <c r="K71" s="3399"/>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86" t="s">
        <v>1835</v>
      </c>
      <c r="B72" s="3387"/>
      <c r="C72" s="3387"/>
      <c r="D72" s="3387"/>
      <c r="E72" s="3387"/>
      <c r="F72" s="3387"/>
      <c r="G72" s="3387"/>
      <c r="H72" s="3387"/>
      <c r="I72" s="1482"/>
      <c r="J72" s="2850"/>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25" t="s">
        <v>1815</v>
      </c>
      <c r="B73" s="3326"/>
      <c r="C73" s="1607"/>
      <c r="D73" s="1607" t="s">
        <v>1816</v>
      </c>
      <c r="E73" s="58" t="s">
        <v>1817</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1836</v>
      </c>
      <c r="C74" s="2784">
        <f>ROUND(D47/(1+'数据-取费表'!F30),0)</f>
        <v>0</v>
      </c>
      <c r="D74" s="50" t="s">
        <v>41</v>
      </c>
      <c r="E74" s="2088"/>
      <c r="F74" s="2089"/>
      <c r="G74" s="2089"/>
      <c r="H74" s="62"/>
      <c r="I74" s="2787"/>
      <c r="J74" s="2872"/>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1838</v>
      </c>
      <c r="C75" s="2784">
        <f>C76+C80</f>
        <v>0</v>
      </c>
      <c r="D75" s="50" t="s">
        <v>41</v>
      </c>
      <c r="E75" s="2088"/>
      <c r="F75" s="2089"/>
      <c r="G75" s="2089"/>
      <c r="H75" s="62"/>
      <c r="I75" s="2787"/>
      <c r="J75" s="2872"/>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1839</v>
      </c>
      <c r="C76" s="50">
        <f>ROUND(IF(G79="2016年5月1日后购买",C77/(1+'数据-取费表'!F30)+C78+C79,C77+C78+C79),0)</f>
        <v>0</v>
      </c>
      <c r="D76" s="50" t="s">
        <v>41</v>
      </c>
      <c r="E76" s="2088"/>
      <c r="F76" s="2089"/>
      <c r="G76" s="2089"/>
      <c r="H76" s="62"/>
      <c r="I76" s="2787"/>
      <c r="J76" s="2872"/>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1840</v>
      </c>
      <c r="C77" s="2268"/>
      <c r="D77" s="50" t="s">
        <v>41</v>
      </c>
      <c r="E77" s="64" t="s">
        <v>1841</v>
      </c>
      <c r="F77" s="2788" t="s">
        <v>1842</v>
      </c>
      <c r="G77" s="64" t="s">
        <v>1843</v>
      </c>
      <c r="H77" s="2789"/>
      <c r="I77" s="608"/>
      <c r="J77" s="2873"/>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0">
        <v>0.05</v>
      </c>
      <c r="E78" s="3268" t="s">
        <v>1845</v>
      </c>
      <c r="F78" s="3306"/>
      <c r="G78" s="3306"/>
      <c r="H78" s="3320"/>
      <c r="I78" s="2787"/>
      <c r="J78" s="287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1">
        <f>'数据-取费表'!E36+'数据-取费表'!E37</f>
        <v>3.0499999999999999E-2</v>
      </c>
      <c r="E79" s="12" t="s">
        <v>1847</v>
      </c>
      <c r="F79" s="2095"/>
      <c r="G79" s="1486" t="s">
        <v>1848</v>
      </c>
      <c r="H79" s="2090"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2">
        <f>ROUND(D47*D80/(1+'数据-取费表'!F30),0)</f>
        <v>0</v>
      </c>
      <c r="D80" s="2793">
        <f>'数据-取费表'!E31</f>
        <v>6.000000000000001E-3</v>
      </c>
      <c r="E80" s="3300" t="s">
        <v>1850</v>
      </c>
      <c r="F80" s="3301"/>
      <c r="G80" s="3301"/>
      <c r="H80" s="3302"/>
      <c r="I80" s="609"/>
      <c r="J80" s="287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1851</v>
      </c>
      <c r="C81" s="2784">
        <f>C74-C75</f>
        <v>0</v>
      </c>
      <c r="D81" s="50" t="s">
        <v>41</v>
      </c>
      <c r="E81" s="2088"/>
      <c r="F81" s="2089"/>
      <c r="G81" s="2089"/>
      <c r="H81" s="62"/>
      <c r="I81" s="2787"/>
      <c r="J81" s="2872"/>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1852</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87"/>
      <c r="J82" s="287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1853</v>
      </c>
      <c r="C83" s="2795">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86" t="s">
        <v>1854</v>
      </c>
      <c r="B85" s="3387"/>
      <c r="C85" s="3387"/>
      <c r="D85" s="3387"/>
      <c r="E85" s="3387"/>
      <c r="F85" s="3387"/>
      <c r="G85" s="3387"/>
      <c r="H85" s="3387"/>
      <c r="I85" s="608"/>
      <c r="J85" s="2873"/>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25" t="s">
        <v>1815</v>
      </c>
      <c r="B86" s="3326"/>
      <c r="C86" s="1607"/>
      <c r="D86" s="1607" t="s">
        <v>1816</v>
      </c>
      <c r="E86" s="58" t="s">
        <v>1817</v>
      </c>
      <c r="F86" s="59"/>
      <c r="G86" s="59"/>
      <c r="H86" s="72"/>
      <c r="I86" s="608"/>
      <c r="J86" s="2873"/>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1836</v>
      </c>
      <c r="C87" s="2784">
        <f>ROUND(D47/(1+'数据-取费表'!F30),0)</f>
        <v>0</v>
      </c>
      <c r="D87" s="50" t="s">
        <v>41</v>
      </c>
      <c r="E87" s="2088"/>
      <c r="F87" s="2089"/>
      <c r="G87" s="2089"/>
      <c r="H87" s="73"/>
      <c r="I87" s="608"/>
      <c r="J87" s="2873"/>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1838</v>
      </c>
      <c r="C88" s="2784">
        <f>IF(H90="仅含出让金",C89+C92+C93+C94+C95+C96,C89+C93+C94+C95+C96)</f>
        <v>0</v>
      </c>
      <c r="D88" s="2796"/>
      <c r="E88" s="2088"/>
      <c r="F88" s="2089"/>
      <c r="G88" s="2089"/>
      <c r="H88" s="73"/>
      <c r="I88" s="608"/>
      <c r="J88" s="2873"/>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1855</v>
      </c>
      <c r="C89" s="2792">
        <f>C90+C91</f>
        <v>0</v>
      </c>
      <c r="D89" s="2793"/>
      <c r="E89" s="2085"/>
      <c r="F89" s="2086"/>
      <c r="G89" s="2086"/>
      <c r="H89" s="2087"/>
      <c r="I89" s="608"/>
      <c r="J89" s="2873"/>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1856</v>
      </c>
      <c r="C90" s="2797"/>
      <c r="D90" s="2793"/>
      <c r="E90" s="74" t="s">
        <v>1857</v>
      </c>
      <c r="F90" s="2086"/>
      <c r="G90" s="75" t="s">
        <v>1858</v>
      </c>
      <c r="H90" s="1488"/>
      <c r="I90" s="608"/>
      <c r="J90" s="2873"/>
      <c r="K90" s="2967"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1846</v>
      </c>
      <c r="C91" s="2792">
        <f>ROUND(C90*D91,0)</f>
        <v>0</v>
      </c>
      <c r="D91" s="2793">
        <f>'数据-取费表'!E36+'数据-取费表'!E37</f>
        <v>3.0499999999999999E-2</v>
      </c>
      <c r="E91" s="74" t="s">
        <v>1859</v>
      </c>
      <c r="F91" s="2086"/>
      <c r="G91" s="2086"/>
      <c r="H91" s="2087"/>
      <c r="I91" s="608"/>
      <c r="J91" s="287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1860</v>
      </c>
      <c r="C92" s="2797"/>
      <c r="D92" s="2793"/>
      <c r="E92" s="74" t="str">
        <f>IF(H90="-","土地取得成本中已包含该笔费用"," ")</f>
        <v xml:space="preserve"> </v>
      </c>
      <c r="F92" s="2086"/>
      <c r="G92" s="3361" t="s">
        <v>2735</v>
      </c>
      <c r="H92" s="3388"/>
      <c r="I92" s="608"/>
      <c r="J92" s="2873"/>
      <c r="K92" s="2967"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2">
        <f>IF(H93="——",成本法!C33,I93)</f>
        <v>0</v>
      </c>
      <c r="D93" s="2793"/>
      <c r="E93" s="3300" t="s">
        <v>1862</v>
      </c>
      <c r="F93" s="3301"/>
      <c r="G93" s="3301"/>
      <c r="H93" s="1489" t="s">
        <v>1863</v>
      </c>
      <c r="I93" s="2798"/>
      <c r="J93" s="287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2">
        <f>ROUND((C89+C92+C93)*D94,0)</f>
        <v>0</v>
      </c>
      <c r="D94" s="2793">
        <v>0.1</v>
      </c>
      <c r="E94" s="3300" t="s">
        <v>1865</v>
      </c>
      <c r="F94" s="3301"/>
      <c r="G94" s="3301"/>
      <c r="H94" s="3302"/>
      <c r="I94" s="608"/>
      <c r="J94" s="2873"/>
      <c r="K94" s="2968"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2">
        <f>ROUND(D47*D95/(1+'数据-取费表'!F30),0)</f>
        <v>0</v>
      </c>
      <c r="D95" s="2793">
        <f>'数据-取费表'!E31</f>
        <v>6.000000000000001E-3</v>
      </c>
      <c r="E95" s="3300" t="s">
        <v>1850</v>
      </c>
      <c r="F95" s="3301"/>
      <c r="G95" s="3301"/>
      <c r="H95" s="3302"/>
      <c r="I95" s="608"/>
      <c r="J95" s="2873"/>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2">
        <f>ROUND((C89+C92+C93)*D96,0)</f>
        <v>0</v>
      </c>
      <c r="D96" s="2793">
        <v>0.2</v>
      </c>
      <c r="E96" s="3300" t="s">
        <v>1867</v>
      </c>
      <c r="F96" s="3301"/>
      <c r="G96" s="3301"/>
      <c r="H96" s="3302"/>
      <c r="I96" s="608"/>
      <c r="J96" s="2873"/>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1851</v>
      </c>
      <c r="C97" s="2784">
        <f>ROUND(C87-C88,0)</f>
        <v>0</v>
      </c>
      <c r="D97" s="50" t="s">
        <v>41</v>
      </c>
      <c r="E97" s="2088"/>
      <c r="F97" s="2089"/>
      <c r="G97" s="2089"/>
      <c r="H97" s="73"/>
      <c r="I97" s="608"/>
      <c r="J97" s="2873"/>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1852</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3"/>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347" t="s">
        <v>1869</v>
      </c>
      <c r="B101" s="3348"/>
      <c r="C101" s="3348"/>
      <c r="D101" s="3349"/>
      <c r="E101" s="1461"/>
      <c r="F101" s="3383" t="s">
        <v>2777</v>
      </c>
      <c r="G101" s="3384"/>
      <c r="H101" s="3384"/>
      <c r="I101" s="3385"/>
      <c r="J101" s="2876"/>
    </row>
    <row r="102" spans="1:36" ht="15">
      <c r="A102" s="3359" t="s">
        <v>1871</v>
      </c>
      <c r="B102" s="3360"/>
      <c r="C102" s="2799">
        <f>C4</f>
        <v>0</v>
      </c>
      <c r="D102" s="2800">
        <f>D4</f>
        <v>0</v>
      </c>
      <c r="E102" s="1461"/>
      <c r="F102" s="3271" t="s">
        <v>2778</v>
      </c>
      <c r="G102" s="3272"/>
      <c r="H102" s="3277" t="s">
        <v>2779</v>
      </c>
      <c r="I102" s="3270"/>
      <c r="J102" s="2856"/>
    </row>
    <row r="103" spans="1:36" ht="13.2">
      <c r="A103" s="3380" t="s">
        <v>2773</v>
      </c>
      <c r="B103" s="2307" t="str">
        <f>IF(H19="元","总价（元）","总价（万元）")</f>
        <v>总价（万元）</v>
      </c>
      <c r="C103" s="1307" t="e">
        <f ca="1">C19</f>
        <v>#REF!</v>
      </c>
      <c r="D103" s="2803" t="e">
        <f ca="1">D19</f>
        <v>#REF!</v>
      </c>
      <c r="E103" s="1461"/>
      <c r="F103" s="3381"/>
      <c r="G103" s="3382"/>
      <c r="H103" s="3269">
        <f>典型户型修正!B25</f>
        <v>346.86</v>
      </c>
      <c r="I103" s="3270"/>
      <c r="J103" s="2856"/>
    </row>
    <row r="104" spans="1:36" ht="13.2">
      <c r="A104" s="3380"/>
      <c r="B104" s="2307" t="s">
        <v>2774</v>
      </c>
      <c r="C104" s="2804" t="e">
        <f ca="1">C20</f>
        <v>#REF!</v>
      </c>
      <c r="D104" s="2805" t="e">
        <f ca="1">D20</f>
        <v>#REF!</v>
      </c>
      <c r="E104" s="1461"/>
      <c r="F104" s="3281" t="s">
        <v>2780</v>
      </c>
      <c r="G104" s="3282"/>
      <c r="H104" s="2813" t="str">
        <f>C110</f>
        <v>总价（万元）</v>
      </c>
      <c r="I104" s="2814">
        <f>H125</f>
        <v>0</v>
      </c>
      <c r="J104" s="2856"/>
    </row>
    <row r="105" spans="1:36" ht="13.2">
      <c r="A105" s="3380" t="s">
        <v>2775</v>
      </c>
      <c r="B105" s="2245" t="str">
        <f>B103</f>
        <v>总价（万元）</v>
      </c>
      <c r="C105" s="12" t="e">
        <f ca="1">ROUND(IF('数据-取费表'!B4="总价",G19,IF(H19="元",G20*'数据-取费表'!E5,G20*'数据-取费表'!E5/10000)),0)</f>
        <v>#REF!</v>
      </c>
      <c r="D105" s="2806"/>
      <c r="E105" s="1461"/>
      <c r="F105" s="3281"/>
      <c r="G105" s="3282"/>
      <c r="H105" s="2813" t="s">
        <v>2781</v>
      </c>
      <c r="I105" s="52">
        <f>I125</f>
        <v>0</v>
      </c>
      <c r="J105" s="2840"/>
    </row>
    <row r="106" spans="1:36" ht="13.2">
      <c r="A106" s="3380"/>
      <c r="B106" s="2307" t="s">
        <v>2774</v>
      </c>
      <c r="C106" s="1481" t="e">
        <f ca="1">ROUND(IF('数据-取费表'!B4="楼面单价",G20,IF(H19="元",G19/'数据-取费表'!E5,G19*10000/'数据-取费表'!E5)),0)</f>
        <v>#REF!</v>
      </c>
      <c r="D106" s="2806"/>
      <c r="E106" s="1461"/>
      <c r="F106" s="3281"/>
      <c r="G106" s="3282"/>
      <c r="H106" s="3341"/>
      <c r="I106" s="3342"/>
      <c r="J106" s="2857"/>
    </row>
    <row r="107" spans="1:36" ht="13.2">
      <c r="A107" s="3374" t="s">
        <v>2776</v>
      </c>
      <c r="B107" s="2807" t="str">
        <f>B103</f>
        <v>总价（万元）</v>
      </c>
      <c r="C107" s="2808">
        <f>H125</f>
        <v>0</v>
      </c>
      <c r="D107" s="2809"/>
      <c r="E107" s="1461"/>
      <c r="F107" s="3345" t="s">
        <v>2782</v>
      </c>
      <c r="G107" s="3346"/>
      <c r="H107" s="2815" t="str">
        <f>C112</f>
        <v>总额（万元）</v>
      </c>
      <c r="I107" s="2814">
        <f>SUMIF(I108:I110,"&lt;9E307")</f>
        <v>0</v>
      </c>
      <c r="J107" s="2856"/>
    </row>
    <row r="108" spans="1:36" ht="14.4" thickBot="1">
      <c r="A108" s="3340"/>
      <c r="B108" s="2810" t="s">
        <v>2774</v>
      </c>
      <c r="C108" s="2811">
        <f>I125</f>
        <v>0</v>
      </c>
      <c r="D108" s="2812"/>
      <c r="E108" s="1461"/>
      <c r="F108" s="3283" t="s">
        <v>2783</v>
      </c>
      <c r="G108" s="3284"/>
      <c r="H108" s="2815" t="str">
        <f>C113</f>
        <v>总额（万元）</v>
      </c>
      <c r="I108" s="2816">
        <f>IF(D38="同一抵押权人同一抵押物续贷",C38&amp;"（续贷，未扣减，详见特别提示）",C38)</f>
        <v>0</v>
      </c>
      <c r="J108" s="2840"/>
      <c r="L108" s="1464" t="str">
        <f>IF(D125=0,"本次评估不存在"&amp;A125&amp;"。","本次评估"&amp;A125&amp;"为"&amp;D125&amp;"元人民币。")</f>
        <v>本次评估不存在北京市房地产。</v>
      </c>
      <c r="M108" s="1461"/>
      <c r="N108" s="1461"/>
      <c r="O108" s="1461"/>
      <c r="P108" s="1461"/>
      <c r="Q108" s="1461"/>
    </row>
    <row r="109" spans="1:36" ht="13.8">
      <c r="A109" s="3377" t="s">
        <v>1872</v>
      </c>
      <c r="B109" s="3378"/>
      <c r="C109" s="3378"/>
      <c r="D109" s="3379"/>
      <c r="E109" s="1461"/>
      <c r="F109" s="3283" t="s">
        <v>2784</v>
      </c>
      <c r="G109" s="3284"/>
      <c r="H109" s="2815" t="str">
        <f>C114</f>
        <v>总额（万元）</v>
      </c>
      <c r="I109" s="52">
        <f>C39</f>
        <v>0</v>
      </c>
      <c r="J109" s="2840"/>
    </row>
    <row r="110" spans="1:36" ht="13.2">
      <c r="A110" s="3281" t="s">
        <v>2787</v>
      </c>
      <c r="B110" s="3282"/>
      <c r="C110" s="2813" t="str">
        <f>B103</f>
        <v>总价（万元）</v>
      </c>
      <c r="D110" s="2814">
        <f>H125</f>
        <v>0</v>
      </c>
      <c r="E110" s="1461"/>
      <c r="F110" s="3283" t="s">
        <v>2785</v>
      </c>
      <c r="G110" s="3284"/>
      <c r="H110" s="2815" t="str">
        <f>C115</f>
        <v>总额（万元）</v>
      </c>
      <c r="I110" s="52">
        <f>C40</f>
        <v>0</v>
      </c>
      <c r="J110" s="2840"/>
    </row>
    <row r="111" spans="1:36" ht="13.2">
      <c r="A111" s="3281"/>
      <c r="B111" s="3282"/>
      <c r="C111" s="2813" t="s">
        <v>2788</v>
      </c>
      <c r="D111" s="52">
        <f>I125</f>
        <v>0</v>
      </c>
      <c r="E111" s="1461"/>
      <c r="F111" s="3281"/>
      <c r="G111" s="3282"/>
      <c r="H111" s="3343"/>
      <c r="I111" s="3344"/>
      <c r="J111" s="2858"/>
    </row>
    <row r="112" spans="1:36" ht="28.5" customHeight="1">
      <c r="A112" s="3288" t="s">
        <v>2782</v>
      </c>
      <c r="B112" s="3289"/>
      <c r="C112" s="2815" t="str">
        <f>IF(H19="元","总额（元）","总额（万元）")</f>
        <v>总额（万元）</v>
      </c>
      <c r="D112" s="2814">
        <f>IF(D38="正常操作",I108+I109+I110,I109+I110)</f>
        <v>0</v>
      </c>
      <c r="E112" s="1461"/>
      <c r="F112" s="3273" t="str">
        <f>IF(项目基本情况!F5="已注销","——","3.房地产抵押价值")</f>
        <v>3.房地产抵押价值</v>
      </c>
      <c r="G112" s="3274"/>
      <c r="H112" s="1481" t="str">
        <f>C116</f>
        <v>总价（万元）</v>
      </c>
      <c r="I112" s="2814">
        <f>IF(F112="——","——",I104-I107)</f>
        <v>0</v>
      </c>
      <c r="J112" s="2856"/>
    </row>
    <row r="113" spans="1:27" ht="13.2">
      <c r="A113" s="3283" t="s">
        <v>2789</v>
      </c>
      <c r="B113" s="3284"/>
      <c r="C113" s="2815" t="str">
        <f>C112</f>
        <v>总额（万元）</v>
      </c>
      <c r="D113" s="52">
        <f>IF(D38="同一抵押权人同一抵押物续贷",C38&amp;"（未扣减，详见特别提示）",C38)</f>
        <v>0</v>
      </c>
      <c r="E113" s="1461"/>
      <c r="F113" s="3372"/>
      <c r="G113" s="3373"/>
      <c r="H113" s="2813" t="s">
        <v>2781</v>
      </c>
      <c r="I113" s="2817">
        <f>D117</f>
        <v>0</v>
      </c>
      <c r="J113" s="2859"/>
    </row>
    <row r="114" spans="1:27" ht="13.2">
      <c r="A114" s="3283" t="s">
        <v>2790</v>
      </c>
      <c r="B114" s="3284"/>
      <c r="C114" s="2815" t="str">
        <f>C112</f>
        <v>总额（万元）</v>
      </c>
      <c r="D114" s="52">
        <f>C39</f>
        <v>0</v>
      </c>
      <c r="E114" s="1461"/>
      <c r="F114" s="3273" t="str">
        <f>IF(项目基本情况!F5="已注销及未注销","4.抵押担保权已注销时的房地产抵押价值",IF(项目基本情况!F5="已注销","3.抵押担保权已注销时的房地产抵押价值","——"))</f>
        <v>——</v>
      </c>
      <c r="G114" s="3274"/>
      <c r="H114" s="1481" t="str">
        <f>C118</f>
        <v>总价（万元）</v>
      </c>
      <c r="I114" s="2814" t="str">
        <f>IF(F114="——","——",I104-I109-I110)</f>
        <v>——</v>
      </c>
      <c r="J114" s="2856"/>
    </row>
    <row r="115" spans="1:27" ht="13.2">
      <c r="A115" s="3283" t="s">
        <v>2791</v>
      </c>
      <c r="B115" s="3284"/>
      <c r="C115" s="2815" t="str">
        <f>C112</f>
        <v>总额（万元）</v>
      </c>
      <c r="D115" s="52">
        <f>C40</f>
        <v>0</v>
      </c>
      <c r="E115" s="1461"/>
      <c r="F115" s="3372"/>
      <c r="G115" s="3373"/>
      <c r="H115" s="2813" t="s">
        <v>2781</v>
      </c>
      <c r="I115" s="52" t="str">
        <f>D119</f>
        <v>——</v>
      </c>
      <c r="J115" s="2840"/>
    </row>
    <row r="116" spans="1:27" ht="13.2">
      <c r="A116" s="3281" t="str">
        <f>IF(项目基本情况!F5="已注销","——","3.房地产抵押价值")</f>
        <v>3.房地产抵押价值</v>
      </c>
      <c r="B116" s="3282"/>
      <c r="C116" s="2813" t="str">
        <f>B103</f>
        <v>总价（万元）</v>
      </c>
      <c r="D116" s="2814">
        <f>IF(A116="——","——",D110-D112)</f>
        <v>0</v>
      </c>
      <c r="E116" s="1461"/>
      <c r="F116" s="3273" t="str">
        <f>IF(项目基本情况!G5="抵押净值",IF(OR(项目基本情况!F5="已注销",项目基本情况!F5="房地产抵押价值"),"4.抵押净值","5.抵押净值"),"——")</f>
        <v>——</v>
      </c>
      <c r="G116" s="3274"/>
      <c r="H116" s="2813" t="str">
        <f>C120</f>
        <v>总价（万元）</v>
      </c>
      <c r="I116" s="2814" t="str">
        <f>IF(F116="——","——",O61)</f>
        <v>——</v>
      </c>
      <c r="J116" s="2856"/>
    </row>
    <row r="117" spans="1:27" ht="13.8" thickBot="1">
      <c r="A117" s="3281"/>
      <c r="B117" s="3282"/>
      <c r="C117" s="2813" t="s">
        <v>2788</v>
      </c>
      <c r="D117" s="52">
        <f>ROUND(IF(D116=D110,D111,IF(H19="元",D116/B125,D116*10000/B125)),0)</f>
        <v>0</v>
      </c>
      <c r="E117" s="1461"/>
      <c r="F117" s="3275"/>
      <c r="G117" s="3276"/>
      <c r="H117" s="2818" t="s">
        <v>2781</v>
      </c>
      <c r="I117" s="2802" t="str">
        <f>D121</f>
        <v>——</v>
      </c>
      <c r="J117" s="2840"/>
    </row>
    <row r="118" spans="1:27" ht="15.6">
      <c r="A118" s="3281" t="str">
        <f>IF(项目基本情况!F5="已注销及未注销","4.抵押担保权已注销时的房地产抵押价值",IF(项目基本情况!F5="已注销","3.抵押担保权已注销时的房地产抵押价值","——"))</f>
        <v>——</v>
      </c>
      <c r="B118" s="3282"/>
      <c r="C118" s="2813" t="str">
        <f>B103</f>
        <v>总价（万元）</v>
      </c>
      <c r="D118" s="2814" t="str">
        <f>IF(A118="——","——",D110-D114-D115)</f>
        <v>——</v>
      </c>
      <c r="E118" s="1461"/>
      <c r="F118" s="3367"/>
      <c r="G118" s="3367"/>
      <c r="H118" s="3331"/>
      <c r="I118" s="3331"/>
      <c r="J118" s="2860"/>
      <c r="O118" s="32"/>
      <c r="P118" s="32"/>
    </row>
    <row r="119" spans="1:27" s="1308" customFormat="1" ht="13.2">
      <c r="A119" s="3281"/>
      <c r="B119" s="3282"/>
      <c r="C119" s="2813" t="s">
        <v>2788</v>
      </c>
      <c r="D119" s="52" t="str">
        <f>IF(A118="——","——",IF(H19="元",ROUND(D118/B125,0),ROUND(D118*10000/B125,0)))</f>
        <v>——</v>
      </c>
      <c r="E119" s="1461"/>
      <c r="F119" s="3376" t="str">
        <f>IF(B33="总价","（以上估价结果中楼面单价为总价除以建筑面积得出）","（以上估价结果中总价为楼面单价乘以建筑面积得出）")</f>
        <v>（以上估价结果中总价为楼面单价乘以建筑面积得出）</v>
      </c>
      <c r="G119" s="3376"/>
      <c r="H119" s="3376"/>
      <c r="I119" s="3376"/>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81" t="str">
        <f>IF(项目基本情况!G5="抵押净值",IF(OR(项目基本情况!F5="已注销",项目基本情况!F5="房地产抵押价值"),"4.抵押净值","5.抵押净值"),"——")</f>
        <v>——</v>
      </c>
      <c r="B120" s="3282"/>
      <c r="C120" s="2813" t="str">
        <f>B103</f>
        <v>总价（万元）</v>
      </c>
      <c r="D120" s="2814" t="str">
        <f>IF(A120="——","——",O61)</f>
        <v>——</v>
      </c>
      <c r="E120" s="1461"/>
      <c r="F120" s="1515"/>
      <c r="G120" s="1515"/>
      <c r="H120" s="1515"/>
      <c r="I120" s="1515"/>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86"/>
      <c r="B121" s="3287"/>
      <c r="C121" s="2818" t="s">
        <v>2788</v>
      </c>
      <c r="D121" s="2802" t="str">
        <f>IF(D120=D110,D111,IF(A120="——","——",O63))</f>
        <v>——</v>
      </c>
      <c r="E121" s="1461"/>
      <c r="F121" s="1515"/>
      <c r="G121" s="1515"/>
      <c r="H121" s="1515"/>
      <c r="I121" s="1515"/>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32" t="s">
        <v>1911</v>
      </c>
      <c r="B122" s="3333"/>
      <c r="C122" s="3333"/>
      <c r="D122" s="3333"/>
      <c r="E122" s="3333"/>
      <c r="F122" s="3333"/>
      <c r="G122" s="3333"/>
      <c r="H122" s="3333"/>
      <c r="I122" s="3333"/>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66" t="s">
        <v>2792</v>
      </c>
      <c r="B123" s="3292" t="s">
        <v>2793</v>
      </c>
      <c r="C123" s="3292" t="s">
        <v>2799</v>
      </c>
      <c r="D123" s="3354" t="s">
        <v>2794</v>
      </c>
      <c r="E123" s="3355"/>
      <c r="F123" s="3267" t="s">
        <v>2800</v>
      </c>
      <c r="G123" s="3267"/>
      <c r="H123" s="3267" t="s">
        <v>2795</v>
      </c>
      <c r="I123" s="3353"/>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66"/>
      <c r="B124" s="3293"/>
      <c r="C124" s="3293"/>
      <c r="D124" s="2092" t="s">
        <v>2796</v>
      </c>
      <c r="E124" s="2092" t="s">
        <v>2801</v>
      </c>
      <c r="F124" s="2092" t="s">
        <v>2796</v>
      </c>
      <c r="G124" s="2092" t="s">
        <v>2797</v>
      </c>
      <c r="H124" s="2092" t="s">
        <v>2796</v>
      </c>
      <c r="I124" s="52" t="s">
        <v>2797</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2" t="str">
        <f>项目基本情况!I1</f>
        <v>北京市房地产</v>
      </c>
      <c r="B125" s="2092">
        <f>典型户型修正!B25</f>
        <v>346.86</v>
      </c>
      <c r="C125" s="1456"/>
      <c r="D125" s="2092">
        <f>C36</f>
        <v>0</v>
      </c>
      <c r="E125" s="2092">
        <f>ROUND(IF(H19="元",D125/B125,D125*10000/B125),0)</f>
        <v>0</v>
      </c>
      <c r="F125" s="2092">
        <f>C37</f>
        <v>0</v>
      </c>
      <c r="G125" s="2092">
        <f>ROUND(IF(H19="元",F125/B125,F125*10000/B125),0)</f>
        <v>0</v>
      </c>
      <c r="H125" s="2092">
        <f>C34</f>
        <v>0</v>
      </c>
      <c r="I125" s="52">
        <f>C35</f>
        <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66" t="s">
        <v>2798</v>
      </c>
      <c r="B126" s="3267"/>
      <c r="C126" s="3267"/>
      <c r="D126" s="3294" t="str">
        <f>IF(H19="元",NUMBERSTRING(INT(D125),2)&amp;"元整",NUMBERSTRING(INT(D125*10000),2)&amp;"元整")</f>
        <v>零元整</v>
      </c>
      <c r="E126" s="3337"/>
      <c r="F126" s="3294" t="str">
        <f>IF(H19="元",NUMBERSTRING(INT(F125),2)&amp;"元整",NUMBERSTRING(INT(F125*10000),2)&amp;"元整")</f>
        <v>零元整</v>
      </c>
      <c r="G126" s="3337"/>
      <c r="H126" s="3294" t="str">
        <f>IF(H19="元",NUMBERSTRING(INT(H125),2)&amp;"元整",NUMBERSTRING(INT(H125*10000),2)&amp;"元整")</f>
        <v>零元整</v>
      </c>
      <c r="I126" s="3295"/>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71" t="str">
        <f>IF(项目基本情况!D5="房地产市场价值","——",MID(A112,3,LEN(A112)-2))</f>
        <v>估价师所知悉的法定优先受偿款</v>
      </c>
      <c r="B127" s="3277"/>
      <c r="C127" s="3272"/>
      <c r="D127" s="3269">
        <f>I107</f>
        <v>0</v>
      </c>
      <c r="E127" s="3277"/>
      <c r="F127" s="3277"/>
      <c r="G127" s="3277"/>
      <c r="H127" s="3277"/>
      <c r="I127" s="3270"/>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38" t="s">
        <v>2798</v>
      </c>
      <c r="B128" s="3306"/>
      <c r="C128" s="3307"/>
      <c r="D128" s="3278">
        <f>H111</f>
        <v>0</v>
      </c>
      <c r="E128" s="3279"/>
      <c r="F128" s="3279"/>
      <c r="G128" s="3279"/>
      <c r="H128" s="3279"/>
      <c r="I128" s="328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81" t="str">
        <f>IF(项目基本情况!D5="房地产市场价值","——",MID(A116,3,LEN(A116)-2))</f>
        <v>房地产抵押价值</v>
      </c>
      <c r="B129" s="3282"/>
      <c r="C129" s="3282"/>
      <c r="D129" s="3269">
        <f>I112</f>
        <v>0</v>
      </c>
      <c r="E129" s="3277"/>
      <c r="F129" s="3277"/>
      <c r="G129" s="3277"/>
      <c r="H129" s="3277"/>
      <c r="I129" s="3270"/>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66" t="s">
        <v>2798</v>
      </c>
      <c r="B130" s="3267"/>
      <c r="C130" s="3267"/>
      <c r="D130" s="3278">
        <f>I113</f>
        <v>0</v>
      </c>
      <c r="E130" s="3279"/>
      <c r="F130" s="3279"/>
      <c r="G130" s="3279"/>
      <c r="H130" s="3279"/>
      <c r="I130" s="328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81" t="str">
        <f>IF(项目基本情况!D5="房地产市场价值","——",MID(A118,3,LEN(A118)-2))</f>
        <v/>
      </c>
      <c r="B131" s="3282"/>
      <c r="C131" s="3282"/>
      <c r="D131" s="3314" t="str">
        <f>I114</f>
        <v>——</v>
      </c>
      <c r="E131" s="3315"/>
      <c r="F131" s="3315"/>
      <c r="G131" s="3315"/>
      <c r="H131" s="3315"/>
      <c r="I131" s="3366"/>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66" t="s">
        <v>2798</v>
      </c>
      <c r="B132" s="3267"/>
      <c r="C132" s="3268"/>
      <c r="D132" s="3330" t="str">
        <f>I115</f>
        <v>——</v>
      </c>
      <c r="E132" s="3330"/>
      <c r="F132" s="3330"/>
      <c r="G132" s="3330"/>
      <c r="H132" s="3330"/>
      <c r="I132" s="3330"/>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81" t="str">
        <f>IF(项目基本情况!D5="房地产市场价值","——",MID(F116,3,LEN(F116)-2))</f>
        <v/>
      </c>
      <c r="B133" s="3282"/>
      <c r="C133" s="3269"/>
      <c r="D133" s="3285" t="str">
        <f>I116</f>
        <v>——</v>
      </c>
      <c r="E133" s="3285"/>
      <c r="F133" s="3285"/>
      <c r="G133" s="3285"/>
      <c r="H133" s="3285"/>
      <c r="I133" s="3285"/>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90" t="s">
        <v>2798</v>
      </c>
      <c r="B134" s="3291"/>
      <c r="C134" s="3291"/>
      <c r="D134" s="3296">
        <f>H118</f>
        <v>0</v>
      </c>
      <c r="E134" s="3297"/>
      <c r="F134" s="3297"/>
      <c r="G134" s="3297"/>
      <c r="H134" s="3297"/>
      <c r="I134" s="3298"/>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64" t="str">
        <f>IF(B33="总价","（以上估价结果中楼面单价为总价除以建筑面积得出）","（以上估价结果中总价为楼面单价乘以建筑面积得出）")</f>
        <v>（以上估价结果中总价为楼面单价乘以建筑面积得出）</v>
      </c>
      <c r="B136" s="3264"/>
      <c r="C136" s="3264"/>
      <c r="D136" s="3264"/>
      <c r="E136" s="3264"/>
      <c r="F136" s="3264"/>
      <c r="G136" s="3264"/>
      <c r="H136" s="3264"/>
      <c r="I136" s="326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927</v>
      </c>
      <c r="C2" s="1401" t="str">
        <f>'数据-取费表'!B3</f>
        <v>万元</v>
      </c>
      <c r="D2" s="924"/>
      <c r="E2" s="924"/>
      <c r="F2" s="924"/>
      <c r="G2" s="924"/>
      <c r="H2" s="924"/>
      <c r="I2" s="924"/>
      <c r="J2" s="924"/>
      <c r="K2" s="924"/>
    </row>
    <row r="3" spans="1:33" s="139" customFormat="1" ht="18" customHeight="1" thickBot="1">
      <c r="A3" s="83" t="s">
        <v>1288</v>
      </c>
      <c r="B3" s="84">
        <f ca="1">ROUND(C32/IF(C1="仅计算典型户型",'数据-取费表'!E5,'数据-取费表'!B5),0)</f>
        <v>26739</v>
      </c>
      <c r="C3" s="1401" t="s">
        <v>1289</v>
      </c>
      <c r="D3" s="924"/>
      <c r="E3" s="924"/>
      <c r="F3" s="924"/>
      <c r="G3" s="924"/>
      <c r="H3" s="924"/>
      <c r="I3" s="924"/>
      <c r="J3" s="924"/>
      <c r="K3" s="924"/>
    </row>
    <row r="4" spans="1:33" s="143" customFormat="1" ht="16.5" customHeight="1">
      <c r="A4" s="140" t="s">
        <v>1290</v>
      </c>
      <c r="B4" s="141"/>
      <c r="C4" s="1123">
        <f>SUM(C8:K8)</f>
        <v>12140100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346.86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12140100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971208</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29136</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13874</v>
      </c>
      <c r="D14" s="164">
        <f>IF(C1="仅计算典型户型",'数据-取费表'!E5,'数据-取费表'!B5)</f>
        <v>346.86</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14568</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1028786</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346.86</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69372</v>
      </c>
      <c r="D20" s="164">
        <f>IF('数据-取费表'!B10&lt;&gt;"住宅",IF(C1="仅计算典型户型",'数据-取费表'!E5,'数据-取费表'!B5),0)</f>
        <v>346.86</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1028786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20576</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48560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87834</v>
      </c>
      <c r="D28" s="183">
        <f>C29</f>
        <v>8.2299999999999998E-2</v>
      </c>
      <c r="E28" s="189" t="s">
        <v>12</v>
      </c>
      <c r="F28" s="200">
        <f>'数据-取费表'!E28</f>
        <v>0.08</v>
      </c>
      <c r="G28" s="185"/>
      <c r="H28" s="186"/>
      <c r="I28" s="186"/>
      <c r="J28" s="186"/>
      <c r="K28" s="187"/>
    </row>
    <row r="29" spans="1:33" s="204" customFormat="1" ht="13.5" customHeight="1">
      <c r="A29" s="996" t="s">
        <v>1341</v>
      </c>
      <c r="B29" s="202" t="s">
        <v>1342</v>
      </c>
      <c r="C29" s="193">
        <f>ROUND((1+C24)*F28,4)</f>
        <v>8.2299999999999998E-2</v>
      </c>
      <c r="D29" s="193"/>
      <c r="E29" s="194"/>
      <c r="F29" s="203"/>
      <c r="G29" s="147" t="s">
        <v>1343</v>
      </c>
      <c r="H29" s="170"/>
      <c r="I29" s="170"/>
      <c r="J29" s="170"/>
      <c r="K29" s="171"/>
    </row>
    <row r="30" spans="1:33" s="204" customFormat="1" ht="13.5" customHeight="1">
      <c r="A30" s="996" t="s">
        <v>1344</v>
      </c>
      <c r="B30" s="202" t="s">
        <v>1345</v>
      </c>
      <c r="C30" s="205">
        <f>ROUND((C21+C22+C23)*F28,0)</f>
        <v>87834</v>
      </c>
      <c r="D30" s="193"/>
      <c r="E30" s="206"/>
      <c r="F30" s="203"/>
      <c r="G30" s="147"/>
      <c r="H30" s="170"/>
      <c r="I30" s="170"/>
      <c r="J30" s="170"/>
      <c r="K30" s="171"/>
    </row>
    <row r="31" spans="1:33" s="182" customFormat="1" ht="13.5" customHeight="1" thickBot="1">
      <c r="A31" s="1403" t="s">
        <v>1346</v>
      </c>
      <c r="B31" s="177" t="s">
        <v>1347</v>
      </c>
      <c r="C31" s="207">
        <f>ROUND(C4*F31/(1+'数据-取费表'!F30),0)</f>
        <v>647472</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9274608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E45" sqref="E4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2747</v>
      </c>
      <c r="E1" s="1626" t="s">
        <v>1240</v>
      </c>
      <c r="F1" s="1627"/>
      <c r="G1" s="1628" t="e">
        <f>MATCH(C1,'数据-取费表'!A19:A19,0)+5</f>
        <v>#N/A</v>
      </c>
      <c r="H1" s="298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728</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20998</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410710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410197</v>
      </c>
      <c r="D6" s="36" t="s">
        <v>2701</v>
      </c>
      <c r="E6" s="235" t="s">
        <v>2015</v>
      </c>
      <c r="F6" s="236">
        <f>'数据-取费表'!B30</f>
        <v>3.6</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346.86</v>
      </c>
      <c r="G7" s="951"/>
      <c r="H7" s="237"/>
      <c r="I7" s="238"/>
      <c r="J7" s="239"/>
      <c r="K7" s="240"/>
      <c r="L7" s="235" t="s">
        <v>2016</v>
      </c>
      <c r="M7" s="236">
        <f>IF('数据-取费表'!B42="",IF(D1="仅计算典型户型",'数据-取费表'!E5,'数据-取费表'!B5),'数据-取费表'!B42)</f>
        <v>346.86</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513</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1054182</v>
      </c>
      <c r="D13" s="1094" t="s">
        <v>2030</v>
      </c>
      <c r="E13" s="1094" t="s">
        <v>2031</v>
      </c>
      <c r="F13" s="1095">
        <f>'数据-取费表'!E20</f>
        <v>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971208</v>
      </c>
      <c r="D14" s="1328" t="s">
        <v>2034</v>
      </c>
      <c r="E14" s="1329"/>
      <c r="F14" s="799"/>
      <c r="G14" s="952"/>
      <c r="H14" s="253" t="s">
        <v>2013</v>
      </c>
      <c r="I14" s="235" t="s">
        <v>2035</v>
      </c>
      <c r="J14" s="13">
        <f ca="1">C29</f>
        <v>1317728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29136</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19766</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69372</v>
      </c>
      <c r="D17" s="235" t="s">
        <v>2048</v>
      </c>
      <c r="E17" s="235" t="s">
        <v>2049</v>
      </c>
      <c r="F17" s="15">
        <f>'数据-取费表'!E23</f>
        <v>200</v>
      </c>
      <c r="G17" s="952"/>
      <c r="H17" s="253" t="s">
        <v>2050</v>
      </c>
      <c r="I17" s="235" t="s">
        <v>2051</v>
      </c>
      <c r="J17" s="2821">
        <f>ROUND(IF(AND(项目基本情况!B7="自然人",项目基本情况!B6="北京市"),J6*M17/(1+'数据-取费表'!F30),J18+J19+J20),0)</f>
        <v>0</v>
      </c>
      <c r="K17" s="1328" t="s">
        <v>2052</v>
      </c>
      <c r="L17" s="1331" t="s">
        <v>2053</v>
      </c>
      <c r="M17" s="2820">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14568</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5.6000000000000001E-2</v>
      </c>
    </row>
    <row r="19" spans="1:37" s="257" customFormat="1" ht="18" customHeight="1">
      <c r="A19" s="253" t="s">
        <v>2050</v>
      </c>
      <c r="B19" s="235" t="s">
        <v>2058</v>
      </c>
      <c r="C19" s="13">
        <f>SUM(C14:C18)</f>
        <v>1084284</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21686</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单利计息。建造成本、管理费用、销售费用产生的利息。</v>
      </c>
      <c r="E22" s="1333"/>
      <c r="F22" s="15"/>
      <c r="G22" s="951"/>
      <c r="H22" s="253" t="s">
        <v>2040</v>
      </c>
      <c r="I22" s="235" t="s">
        <v>2075</v>
      </c>
      <c r="J22" s="13">
        <f ca="1">ROUND(J14*M22,0)</f>
        <v>19766</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24055</v>
      </c>
      <c r="D23" s="1432" t="str">
        <f>IF(F23&lt;=1,"(建造成本+管理费用)×利率×(建设周期÷2)","(建造成本+管理费用)×((1+利率)^(建设周期÷2)-1)")</f>
        <v>(建造成本+管理费用)×利率×(建设周期÷2)</v>
      </c>
      <c r="E23" s="235" t="s">
        <v>2078</v>
      </c>
      <c r="F23" s="262">
        <f>'数据-取费表'!B22</f>
        <v>1</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销售费用×利率×(建设周期÷2)</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-19766</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88478</v>
      </c>
      <c r="D26" s="259" t="s">
        <v>2092</v>
      </c>
      <c r="E26" s="246" t="s">
        <v>2093</v>
      </c>
      <c r="F26" s="245">
        <f>'数据-取费表'!E28</f>
        <v>0.08</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1.6000000000000001E-3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1317728</v>
      </c>
      <c r="D29" s="1105"/>
      <c r="E29" s="1103"/>
      <c r="F29" s="1106"/>
      <c r="G29" s="652"/>
      <c r="H29" s="271" t="s">
        <v>24</v>
      </c>
      <c r="I29" s="272" t="s">
        <v>2108</v>
      </c>
      <c r="J29" s="273">
        <f ca="1">ROUND(J26/(1+F40)^F41,0)</f>
        <v>0</v>
      </c>
      <c r="K29" s="274" t="s">
        <v>2109</v>
      </c>
      <c r="L29" s="275"/>
      <c r="M29" s="276">
        <f>IF(D1="仅计算典型户型",'数据-取费表'!E5,'数据-取费表'!B5)</f>
        <v>346.86</v>
      </c>
    </row>
    <row r="30" spans="1:37" ht="18" customHeight="1" thickTop="1">
      <c r="A30" s="1092" t="s">
        <v>14</v>
      </c>
      <c r="B30" s="1093" t="s">
        <v>2110</v>
      </c>
      <c r="C30" s="243">
        <f ca="1">ROUND(C31+C36+C37+C38,0)</f>
        <v>54854</v>
      </c>
      <c r="D30" s="1099" t="s">
        <v>2111</v>
      </c>
      <c r="E30" s="1100"/>
      <c r="F30" s="1101"/>
      <c r="G30" s="652"/>
      <c r="H30" s="931"/>
      <c r="I30" s="932"/>
      <c r="J30" s="933"/>
      <c r="K30" s="934"/>
      <c r="L30" s="935"/>
      <c r="M30" s="936"/>
    </row>
    <row r="31" spans="1:37" ht="18" customHeight="1">
      <c r="A31" s="253" t="s">
        <v>2013</v>
      </c>
      <c r="B31" s="235" t="s">
        <v>2051</v>
      </c>
      <c r="C31" s="2821">
        <f>ROUND(IF(AND(项目基本情况!B7="自然人",项目基本情况!B6="北京市"),C6*F31/(1+'数据-取费表'!F30),C32+C33+C34),0)</f>
        <v>27346</v>
      </c>
      <c r="D31" s="1328" t="s">
        <v>2112</v>
      </c>
      <c r="E31" s="1331" t="s">
        <v>2113</v>
      </c>
      <c r="F31" s="2820">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3</v>
      </c>
      <c r="G34" s="652"/>
      <c r="H34" s="931"/>
      <c r="I34" s="280" t="s">
        <v>2117</v>
      </c>
      <c r="J34" s="281">
        <f ca="1">ROUND(C13*J35,0)</f>
        <v>68522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19766</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1581</v>
      </c>
      <c r="D37" s="1331" t="s">
        <v>2080</v>
      </c>
      <c r="E37" s="235" t="s">
        <v>2081</v>
      </c>
      <c r="F37" s="266">
        <f>'数据-取费表'!B46</f>
        <v>1.5E-3</v>
      </c>
      <c r="G37" s="652"/>
      <c r="H37" s="943"/>
      <c r="I37" s="132" t="s">
        <v>2122</v>
      </c>
      <c r="J37" s="286"/>
      <c r="K37" s="947"/>
      <c r="L37" s="943">
        <f>25000/365/F43</f>
        <v>0.19746627078628698</v>
      </c>
      <c r="M37" s="943"/>
    </row>
    <row r="38" spans="1:18" ht="18" customHeight="1" thickBot="1">
      <c r="A38" s="1102" t="s">
        <v>2073</v>
      </c>
      <c r="B38" s="1103" t="s">
        <v>2062</v>
      </c>
      <c r="C38" s="1104">
        <f ca="1">ROUND(C5*F38,0)</f>
        <v>6161</v>
      </c>
      <c r="D38" s="1105" t="s">
        <v>2085</v>
      </c>
      <c r="E38" s="1103" t="s">
        <v>2081</v>
      </c>
      <c r="F38" s="1098">
        <f>'数据-取费表'!B47</f>
        <v>1.4999999999999999E-2</v>
      </c>
      <c r="G38" s="652"/>
      <c r="H38" s="943"/>
      <c r="I38" s="280" t="s">
        <v>2123</v>
      </c>
      <c r="J38" s="136">
        <f ca="1">ROUND(J34/C39,3)</f>
        <v>0.193</v>
      </c>
      <c r="K38" s="948"/>
      <c r="L38" s="943">
        <f>25000/500000</f>
        <v>0.05</v>
      </c>
      <c r="M38" s="943"/>
    </row>
    <row r="39" spans="1:18" ht="18" customHeight="1" thickTop="1">
      <c r="A39" s="1092" t="s">
        <v>22</v>
      </c>
      <c r="B39" s="1107" t="s">
        <v>2124</v>
      </c>
      <c r="C39" s="243">
        <f ca="1">C5-C30</f>
        <v>355856</v>
      </c>
      <c r="D39" s="1108" t="s">
        <v>2125</v>
      </c>
      <c r="E39" s="1109"/>
      <c r="F39" s="1110"/>
      <c r="G39" s="652"/>
      <c r="H39" s="943"/>
      <c r="I39" s="280" t="s">
        <v>2126</v>
      </c>
      <c r="J39" s="136">
        <f ca="1">1-J38</f>
        <v>0.80699999999999994</v>
      </c>
      <c r="K39" s="948"/>
      <c r="L39" s="943"/>
      <c r="M39" s="943"/>
    </row>
    <row r="40" spans="1:18" s="652" customFormat="1" ht="18" customHeight="1">
      <c r="A40" s="232" t="s">
        <v>23</v>
      </c>
      <c r="B40" s="233" t="s">
        <v>2127</v>
      </c>
      <c r="C40" s="234">
        <f ca="1">ROUND(C39*(1-((1+F42)/(1+F40))^F41)/(F40-F42),0)</f>
        <v>7283512</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33</v>
      </c>
      <c r="H41" s="950"/>
      <c r="I41" s="135" t="s">
        <v>2001</v>
      </c>
      <c r="J41" s="136">
        <f ca="1">ROUND(C13/C40,3)</f>
        <v>0.14499999999999999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0.85499999999999998</v>
      </c>
      <c r="K42" s="947"/>
      <c r="L42" s="950"/>
      <c r="M42" s="950"/>
      <c r="Q42" s="656"/>
    </row>
    <row r="43" spans="1:18" s="652" customFormat="1" ht="18" customHeight="1" thickBot="1">
      <c r="A43" s="271" t="s">
        <v>24</v>
      </c>
      <c r="B43" s="272" t="s">
        <v>2130</v>
      </c>
      <c r="C43" s="273">
        <f ca="1">ROUND(C40/F43,0)</f>
        <v>20998</v>
      </c>
      <c r="D43" s="274" t="s">
        <v>2131</v>
      </c>
      <c r="E43" s="275" t="s">
        <v>2132</v>
      </c>
      <c r="F43" s="276">
        <f>IF(D1="仅计算典型户型",'数据-取费表'!E5,'数据-取费表'!B5)</f>
        <v>346.86</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7283512</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7" t="s">
        <v>2142</v>
      </c>
      <c r="C47" s="992">
        <f ca="1">IF(C2="元",C69-C40,ROUND((C69-C40)/10000,0))</f>
        <v>-761</v>
      </c>
      <c r="D47" s="1528" t="str">
        <f>C2</f>
        <v>万元</v>
      </c>
      <c r="E47" s="649"/>
      <c r="F47" s="649"/>
      <c r="I47" s="1529" t="s">
        <v>2143</v>
      </c>
      <c r="J47" s="1023"/>
      <c r="K47" s="1024"/>
      <c r="L47" s="1037" t="str">
        <f>IF(M48="住宅",0,IF(L49&gt;J52,L61,J61))</f>
        <v>0</v>
      </c>
      <c r="O47" s="1051" t="s">
        <v>951</v>
      </c>
      <c r="P47" s="1048" t="s">
        <v>2144</v>
      </c>
      <c r="Q47" s="1049">
        <f ca="1">C29</f>
        <v>1317728</v>
      </c>
      <c r="R47" s="1050" t="s">
        <v>2139</v>
      </c>
    </row>
    <row r="48" spans="1:18" s="652" customFormat="1" ht="16.2" thickBot="1">
      <c r="A48" s="228" t="s">
        <v>2145</v>
      </c>
      <c r="B48" s="229" t="s">
        <v>2146</v>
      </c>
      <c r="C48" s="229" t="s">
        <v>2147</v>
      </c>
      <c r="D48" s="229" t="s">
        <v>2148</v>
      </c>
      <c r="E48" s="986" t="s">
        <v>2149</v>
      </c>
      <c r="F48" s="987"/>
      <c r="I48" s="1530" t="s">
        <v>2150</v>
      </c>
      <c r="J48" s="1531" t="s">
        <v>2914</v>
      </c>
      <c r="K48" s="1532" t="s">
        <v>2151</v>
      </c>
      <c r="L48" s="1025">
        <f>'数据-取费表'!B11</f>
        <v>50</v>
      </c>
      <c r="M48" s="1038" t="str">
        <f>IF('数据-取费表'!B10="住宅","住宅","非住宅")</f>
        <v>非住宅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3" t="s">
        <v>2154</v>
      </c>
      <c r="J49" s="1534" t="s">
        <v>2923</v>
      </c>
      <c r="K49" s="1535" t="s">
        <v>2155</v>
      </c>
      <c r="L49" s="863">
        <f>'数据-取费表'!B13</f>
        <v>33</v>
      </c>
      <c r="O49" s="1051" t="s">
        <v>953</v>
      </c>
      <c r="P49" s="1048" t="s">
        <v>2156</v>
      </c>
      <c r="Q49" s="1052">
        <f>J53</f>
        <v>7.0000000000000007E-2</v>
      </c>
      <c r="R49" s="1050"/>
    </row>
    <row r="50" spans="1:18" s="652" customFormat="1" ht="16.2" thickBot="1">
      <c r="A50" s="260" t="s">
        <v>2013</v>
      </c>
      <c r="B50" s="1442" t="s">
        <v>2157</v>
      </c>
      <c r="C50" s="234">
        <f>ROUND(F50*F52*F51*(1-F53),0)</f>
        <v>0</v>
      </c>
      <c r="D50" s="42" t="s">
        <v>2702</v>
      </c>
      <c r="E50" s="1536" t="s">
        <v>2158</v>
      </c>
      <c r="F50" s="988"/>
      <c r="I50" s="1533" t="s">
        <v>2159</v>
      </c>
      <c r="J50" s="863">
        <f>'数据-取费表'!B27</f>
        <v>2006</v>
      </c>
      <c r="K50" s="1537" t="s">
        <v>2160</v>
      </c>
      <c r="L50" s="1026"/>
      <c r="O50" s="1051" t="s">
        <v>954</v>
      </c>
      <c r="P50" s="1048" t="s">
        <v>2161</v>
      </c>
      <c r="Q50" s="1049">
        <f>J54</f>
        <v>33</v>
      </c>
      <c r="R50" s="1050" t="s">
        <v>2162</v>
      </c>
    </row>
    <row r="51" spans="1:18" s="652" customFormat="1" ht="16.2" thickBot="1">
      <c r="A51" s="237"/>
      <c r="B51" s="238"/>
      <c r="C51" s="239"/>
      <c r="D51" s="240"/>
      <c r="E51" s="255" t="s">
        <v>2016</v>
      </c>
      <c r="F51" s="985">
        <f>F7</f>
        <v>346.86</v>
      </c>
      <c r="I51" s="1533" t="s">
        <v>2163</v>
      </c>
      <c r="J51" s="1027">
        <f>SUMPRODUCT((I64:I66=J48)*(J63:L63=J49)*(J64:L66))</f>
        <v>60</v>
      </c>
      <c r="K51" s="1537" t="s">
        <v>2164</v>
      </c>
      <c r="L51" s="1026"/>
      <c r="O51" s="1047" t="s">
        <v>955</v>
      </c>
      <c r="P51" s="1048" t="str">
        <f>IF(C2="元","收益价值(元)","收益价值(万元)")</f>
        <v>收益价值(万元)</v>
      </c>
      <c r="Q51" s="1049">
        <f ca="1">ROUND(IF(C2="元",Q45+Q46,(Q45+Q46)/10000),0)</f>
        <v>728</v>
      </c>
      <c r="R51" s="1050" t="s">
        <v>956</v>
      </c>
    </row>
    <row r="52" spans="1:18" s="652" customFormat="1" ht="16.2" thickBot="1">
      <c r="A52" s="237"/>
      <c r="B52" s="238"/>
      <c r="C52" s="239"/>
      <c r="D52" s="240"/>
      <c r="E52" s="235" t="s">
        <v>2018</v>
      </c>
      <c r="F52" s="236">
        <f>F8</f>
        <v>365</v>
      </c>
      <c r="I52" s="1538" t="s">
        <v>2165</v>
      </c>
      <c r="J52" s="1028">
        <f>IF(J50="",J51,J50+J51-YEAR('数据-取费表'!B2))</f>
        <v>45</v>
      </c>
      <c r="K52" s="1539" t="s">
        <v>2166</v>
      </c>
      <c r="L52" s="1029">
        <f ca="1">ROUND(-PV('数据-取费表'!B15,J52,(C40-C13*J35)),0)</f>
        <v>128239739</v>
      </c>
      <c r="O52" s="1041" t="s">
        <v>2167</v>
      </c>
      <c r="P52" s="1042"/>
      <c r="Q52" s="1038"/>
      <c r="R52" s="1042"/>
    </row>
    <row r="53" spans="1:18" s="652" customFormat="1" ht="16.2" thickBot="1">
      <c r="A53" s="241"/>
      <c r="B53" s="242"/>
      <c r="C53" s="243"/>
      <c r="D53" s="244"/>
      <c r="E53" s="235" t="s">
        <v>2019</v>
      </c>
      <c r="F53" s="1036"/>
      <c r="I53" s="1540" t="s">
        <v>2168</v>
      </c>
      <c r="J53" s="1030">
        <f>'数据-取费表'!B17</f>
        <v>7.0000000000000007E-2</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33</v>
      </c>
      <c r="K54" s="3403" t="s">
        <v>2700</v>
      </c>
      <c r="L54" s="3404"/>
      <c r="O54" s="1047" t="s">
        <v>949</v>
      </c>
      <c r="P54" s="1048" t="s">
        <v>2138</v>
      </c>
      <c r="Q54" s="1049">
        <f ca="1">C40+J29</f>
        <v>7283512</v>
      </c>
      <c r="R54" s="1050" t="s">
        <v>2139</v>
      </c>
    </row>
    <row r="55" spans="1:18" s="652" customFormat="1" ht="19.2"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2170</v>
      </c>
      <c r="Q55" s="1049">
        <f>L61</f>
        <v>0</v>
      </c>
      <c r="R55" s="1050" t="s">
        <v>2171</v>
      </c>
    </row>
    <row r="56" spans="1:18" s="652" customFormat="1" ht="19.2"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1054182</v>
      </c>
      <c r="D57" s="983"/>
      <c r="E57" s="984"/>
      <c r="F57" s="991"/>
      <c r="I57" s="1547" t="s">
        <v>2175</v>
      </c>
      <c r="J57" s="1035" t="s">
        <v>2924</v>
      </c>
      <c r="K57" s="1533" t="s">
        <v>2176</v>
      </c>
      <c r="L57" s="863" t="str">
        <f>IF(L49&lt;J52,"——",L49-J52)</f>
        <v>——</v>
      </c>
      <c r="O57" s="1051" t="s">
        <v>952</v>
      </c>
      <c r="P57" s="1048" t="s">
        <v>2177</v>
      </c>
      <c r="Q57" s="1052">
        <f>L53</f>
        <v>0</v>
      </c>
      <c r="R57" s="1050"/>
    </row>
    <row r="58" spans="1:18" s="652" customFormat="1" ht="31.8" thickBot="1">
      <c r="A58" s="990"/>
      <c r="B58" s="235" t="s">
        <v>2107</v>
      </c>
      <c r="C58" s="104">
        <f ca="1">C29</f>
        <v>1317728</v>
      </c>
      <c r="D58" s="983"/>
      <c r="E58" s="984"/>
      <c r="F58" s="991"/>
      <c r="I58" s="1548" t="s">
        <v>2178</v>
      </c>
      <c r="J58" s="1034" t="str">
        <f>IF(OR(M48="住宅",J52&lt;L49,J57="是"),"——",J52-L49)</f>
        <v>——</v>
      </c>
      <c r="K58" s="1533" t="s">
        <v>2179</v>
      </c>
      <c r="L58" s="863" t="str">
        <f>IF(L49&lt;J52,"——",IF(L56="比较法",L50,IF(L56="基准地价",L51,L52)))</f>
        <v>——</v>
      </c>
      <c r="O58" s="1051" t="s">
        <v>953</v>
      </c>
      <c r="P58" s="1048" t="s">
        <v>2180</v>
      </c>
      <c r="Q58" s="1049" t="e">
        <f>L59</f>
        <v>#DIV/0!</v>
      </c>
      <c r="R58" s="1050" t="s">
        <v>2181</v>
      </c>
    </row>
    <row r="59" spans="1:18" s="652" customFormat="1" ht="31.8" thickBot="1">
      <c r="A59" s="248" t="s">
        <v>14</v>
      </c>
      <c r="B59" s="249" t="s">
        <v>2110</v>
      </c>
      <c r="C59" s="250">
        <f ca="1">ROUND(C60+C65+C66+C67,0)</f>
        <v>21347</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1">
        <f>ROUND(IF(AND(项目基本情况!B7="自然人",项目基本情况!B6="北京市"),C50*F60/(1+'数据-取费表'!F30),C61+C62+C63),0)</f>
        <v>0</v>
      </c>
      <c r="D60" s="1328" t="s">
        <v>2112</v>
      </c>
      <c r="E60" s="1331" t="s">
        <v>2113</v>
      </c>
      <c r="F60" s="2820">
        <f>IF(项目基本情况!B7="企业","——",IF('数据-取费表'!B10="住宅",IF(F50*F51*F52/12/(1+'数据-取费表'!F30)&gt;100000,4%,2.5%),IF(F50*F51*F52/12/(1+'数据-取费表'!F30)&gt;100000,12%,7%)))</f>
        <v>7.0000000000000007E-2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728</v>
      </c>
      <c r="R60" s="1050" t="s">
        <v>956</v>
      </c>
    </row>
    <row r="61" spans="1:18" s="652" customFormat="1" ht="16.2"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6.2"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t="str">
        <f>IF(项目基本情况!B7="自然人","——",ROUND(F63*F64,0))</f>
        <v>——</v>
      </c>
      <c r="D63" s="261" t="s">
        <v>2191</v>
      </c>
      <c r="E63" s="235" t="s">
        <v>2192</v>
      </c>
      <c r="F63" s="262">
        <f t="shared" si="0"/>
        <v>3</v>
      </c>
      <c r="I63" s="1551" t="s">
        <v>2193</v>
      </c>
      <c r="J63" s="1323" t="s">
        <v>2194</v>
      </c>
      <c r="K63" s="1323" t="s">
        <v>2195</v>
      </c>
      <c r="L63" s="1323" t="s">
        <v>2196</v>
      </c>
      <c r="M63" s="1322" t="s">
        <v>2197</v>
      </c>
      <c r="O63" s="1047" t="s">
        <v>949</v>
      </c>
      <c r="P63" s="1048" t="s">
        <v>2138</v>
      </c>
      <c r="Q63" s="1049">
        <f ca="1">C40+J29</f>
        <v>7283512</v>
      </c>
      <c r="R63" s="1050" t="s">
        <v>2139</v>
      </c>
    </row>
    <row r="64" spans="1:18" s="652" customFormat="1" ht="19.2"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19766</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128239739</v>
      </c>
      <c r="R65" s="1054" t="s">
        <v>2201</v>
      </c>
    </row>
    <row r="66" spans="1:18" s="652" customFormat="1" ht="19.2" thickBot="1">
      <c r="A66" s="253" t="s">
        <v>20</v>
      </c>
      <c r="B66" s="235" t="s">
        <v>2079</v>
      </c>
      <c r="C66" s="13">
        <f ca="1">ROUND(C57*F66,0)</f>
        <v>1581</v>
      </c>
      <c r="D66" s="1331" t="s">
        <v>2080</v>
      </c>
      <c r="E66" s="235" t="s">
        <v>2081</v>
      </c>
      <c r="F66" s="266">
        <f t="shared" si="0"/>
        <v>1.5E-3</v>
      </c>
      <c r="I66" s="1551" t="s">
        <v>2202</v>
      </c>
      <c r="J66" s="1323">
        <v>40</v>
      </c>
      <c r="K66" s="1323">
        <v>30</v>
      </c>
      <c r="L66" s="1323">
        <v>50</v>
      </c>
      <c r="M66" s="1321">
        <v>0.02</v>
      </c>
      <c r="O66" s="1051" t="s">
        <v>952</v>
      </c>
      <c r="P66" s="1055" t="s">
        <v>2203</v>
      </c>
      <c r="Q66" s="1049">
        <f ca="1">ROUND(Q67-Q68*Q69,0)</f>
        <v>287334</v>
      </c>
      <c r="R66" s="1050"/>
    </row>
    <row r="67" spans="1:18" s="652" customFormat="1" ht="16.2" thickBot="1">
      <c r="A67" s="253" t="s">
        <v>21</v>
      </c>
      <c r="B67" s="235" t="s">
        <v>2062</v>
      </c>
      <c r="C67" s="13">
        <f ca="1">ROUND(C49*F67,0)</f>
        <v>0</v>
      </c>
      <c r="D67" s="1331" t="s">
        <v>2085</v>
      </c>
      <c r="E67" s="235" t="s">
        <v>2081</v>
      </c>
      <c r="F67" s="245">
        <f t="shared" si="0"/>
        <v>1.4999999999999999E-2</v>
      </c>
      <c r="O67" s="1051" t="s">
        <v>957</v>
      </c>
      <c r="P67" s="1055" t="s">
        <v>2204</v>
      </c>
      <c r="Q67" s="1049">
        <f ca="1">C39</f>
        <v>355856</v>
      </c>
      <c r="R67" s="1050" t="s">
        <v>2139</v>
      </c>
    </row>
    <row r="68" spans="1:18" ht="24.6" thickBot="1">
      <c r="A68" s="248" t="s">
        <v>22</v>
      </c>
      <c r="B68" s="41" t="s">
        <v>2089</v>
      </c>
      <c r="C68" s="250">
        <f ca="1">C49-C59</f>
        <v>-21347</v>
      </c>
      <c r="D68" s="1328" t="s">
        <v>2090</v>
      </c>
      <c r="E68" s="1330"/>
      <c r="F68" s="268"/>
      <c r="H68" s="652"/>
      <c r="I68" s="652"/>
      <c r="J68" s="652"/>
      <c r="K68" s="652"/>
      <c r="L68" s="652"/>
      <c r="M68" s="652"/>
      <c r="O68" s="1051" t="s">
        <v>958</v>
      </c>
      <c r="P68" s="1055" t="s">
        <v>2205</v>
      </c>
      <c r="Q68" s="1049">
        <f ca="1">C13</f>
        <v>1054182</v>
      </c>
      <c r="R68" s="1050" t="s">
        <v>2139</v>
      </c>
    </row>
    <row r="69" spans="1:18" ht="16.2" thickBot="1">
      <c r="A69" s="232" t="s">
        <v>23</v>
      </c>
      <c r="B69" s="233" t="s">
        <v>2127</v>
      </c>
      <c r="C69" s="234">
        <f ca="1">ROUND(C68*(1-((1+F71)/(1+F69))^F70)/(F69-F71),0)</f>
        <v>-321808</v>
      </c>
      <c r="D69" s="261" t="s">
        <v>2095</v>
      </c>
      <c r="E69" s="235" t="s">
        <v>2096</v>
      </c>
      <c r="F69" s="245">
        <f>F40</f>
        <v>5.5E-2</v>
      </c>
      <c r="H69" s="652"/>
      <c r="I69" s="652"/>
      <c r="J69" s="652"/>
      <c r="K69" s="652"/>
      <c r="L69" s="652"/>
      <c r="M69" s="652"/>
      <c r="O69" s="1051" t="s">
        <v>959</v>
      </c>
      <c r="P69" s="1055" t="s">
        <v>2206</v>
      </c>
      <c r="Q69" s="1052">
        <f>J35</f>
        <v>6.5000000000000002E-2</v>
      </c>
      <c r="R69" s="1050"/>
    </row>
    <row r="70" spans="1:18" ht="16.2" thickBot="1">
      <c r="A70" s="237"/>
      <c r="B70" s="238"/>
      <c r="C70" s="239"/>
      <c r="D70" s="269" t="s">
        <v>2129</v>
      </c>
      <c r="E70" s="235" t="s">
        <v>2101</v>
      </c>
      <c r="F70" s="270">
        <f>F41</f>
        <v>33</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-928</v>
      </c>
      <c r="D72" s="274" t="s">
        <v>2131</v>
      </c>
      <c r="E72" s="275" t="s">
        <v>2132</v>
      </c>
      <c r="F72" s="276">
        <f>F43</f>
        <v>346.86</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收益价值(万元)</v>
      </c>
      <c r="Q73" s="1049">
        <f ca="1">ROUND(IF(C2="元",Q63+Q64,(Q63+Q64)/10000),0)</f>
        <v>728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21" t="s">
        <v>1013</v>
      </c>
      <c r="B1" s="3422"/>
      <c r="C1" s="3423"/>
      <c r="D1" s="3424">
        <f>SUM(I10,I15,I20,I21,I23)</f>
        <v>0</v>
      </c>
      <c r="E1" s="3424"/>
      <c r="F1" s="3424"/>
      <c r="G1" s="3424"/>
      <c r="H1" s="3424"/>
      <c r="I1" s="3425"/>
    </row>
    <row r="2" spans="1:9">
      <c r="A2" s="3411" t="s">
        <v>1014</v>
      </c>
      <c r="B2" s="3412" t="s">
        <v>963</v>
      </c>
      <c r="C2" s="3412"/>
      <c r="D2" s="1062" t="s">
        <v>964</v>
      </c>
      <c r="E2" s="1062" t="s">
        <v>965</v>
      </c>
      <c r="F2" s="1062" t="s">
        <v>966</v>
      </c>
      <c r="G2" s="1062" t="s">
        <v>967</v>
      </c>
      <c r="H2" s="1062" t="s">
        <v>968</v>
      </c>
      <c r="I2" s="1063" t="s">
        <v>969</v>
      </c>
    </row>
    <row r="3" spans="1:9">
      <c r="A3" s="3411"/>
      <c r="B3" s="3412" t="s">
        <v>970</v>
      </c>
      <c r="C3" s="3412"/>
      <c r="D3" s="1064"/>
      <c r="E3" s="1062"/>
      <c r="F3" s="1065"/>
      <c r="G3" s="1065"/>
      <c r="H3" s="1066"/>
      <c r="I3" s="1067">
        <f>ROUND(D3*E3*F3*G3*H3/10000,0)</f>
        <v>0</v>
      </c>
    </row>
    <row r="4" spans="1:9">
      <c r="A4" s="3411"/>
      <c r="B4" s="3412" t="s">
        <v>971</v>
      </c>
      <c r="C4" s="3412"/>
      <c r="D4" s="1064"/>
      <c r="E4" s="1062"/>
      <c r="F4" s="1065"/>
      <c r="G4" s="1065"/>
      <c r="H4" s="1066"/>
      <c r="I4" s="1067">
        <f t="shared" ref="I4:I9" si="0">ROUND(D4*E4*F4*G4*H4/10000,0)</f>
        <v>0</v>
      </c>
    </row>
    <row r="5" spans="1:9">
      <c r="A5" s="3411"/>
      <c r="B5" s="3412" t="s">
        <v>972</v>
      </c>
      <c r="C5" s="3412"/>
      <c r="D5" s="1064"/>
      <c r="E5" s="1062"/>
      <c r="F5" s="1065"/>
      <c r="G5" s="1065"/>
      <c r="H5" s="1066"/>
      <c r="I5" s="1067">
        <f t="shared" si="0"/>
        <v>0</v>
      </c>
    </row>
    <row r="6" spans="1:9">
      <c r="A6" s="3411"/>
      <c r="B6" s="3412" t="s">
        <v>973</v>
      </c>
      <c r="C6" s="3412"/>
      <c r="D6" s="1064"/>
      <c r="E6" s="1062"/>
      <c r="F6" s="1065"/>
      <c r="G6" s="1065"/>
      <c r="H6" s="1066"/>
      <c r="I6" s="1067">
        <f t="shared" si="0"/>
        <v>0</v>
      </c>
    </row>
    <row r="7" spans="1:9">
      <c r="A7" s="3411"/>
      <c r="B7" s="3412" t="s">
        <v>974</v>
      </c>
      <c r="C7" s="3412"/>
      <c r="D7" s="1064"/>
      <c r="E7" s="1062"/>
      <c r="F7" s="1065"/>
      <c r="G7" s="1065"/>
      <c r="H7" s="1066"/>
      <c r="I7" s="1067">
        <f t="shared" si="0"/>
        <v>0</v>
      </c>
    </row>
    <row r="8" spans="1:9">
      <c r="A8" s="3411"/>
      <c r="B8" s="3412" t="s">
        <v>975</v>
      </c>
      <c r="C8" s="3412"/>
      <c r="D8" s="1064"/>
      <c r="E8" s="1062"/>
      <c r="F8" s="1065"/>
      <c r="G8" s="1065"/>
      <c r="H8" s="1066"/>
      <c r="I8" s="1067">
        <f t="shared" si="0"/>
        <v>0</v>
      </c>
    </row>
    <row r="9" spans="1:9">
      <c r="A9" s="3411"/>
      <c r="B9" s="3412" t="s">
        <v>976</v>
      </c>
      <c r="C9" s="3412"/>
      <c r="D9" s="1064"/>
      <c r="E9" s="1062"/>
      <c r="F9" s="1065"/>
      <c r="G9" s="1065"/>
      <c r="H9" s="1066"/>
      <c r="I9" s="1067">
        <f t="shared" si="0"/>
        <v>0</v>
      </c>
    </row>
    <row r="10" spans="1:9">
      <c r="A10" s="3411"/>
      <c r="B10" s="3413" t="s">
        <v>977</v>
      </c>
      <c r="C10" s="3413"/>
      <c r="D10" s="1068">
        <v>527</v>
      </c>
      <c r="E10" s="1068" t="e">
        <f>ROUND(D1*10000/D10/H9,0)</f>
        <v>#DIV/0!</v>
      </c>
      <c r="F10" s="1069"/>
      <c r="G10" s="1069"/>
      <c r="H10" s="1070"/>
      <c r="I10" s="1071">
        <f>SUM(I3:I9)</f>
        <v>0</v>
      </c>
    </row>
    <row r="11" spans="1:9" ht="15.6">
      <c r="A11" s="3411" t="s">
        <v>1015</v>
      </c>
      <c r="B11" s="3412" t="s">
        <v>978</v>
      </c>
      <c r="C11" s="3412"/>
      <c r="D11" s="1064" t="s">
        <v>979</v>
      </c>
      <c r="E11" s="1064" t="s">
        <v>980</v>
      </c>
      <c r="F11" s="1065" t="s">
        <v>981</v>
      </c>
      <c r="G11" s="1065" t="s">
        <v>968</v>
      </c>
      <c r="H11" s="1072" t="s">
        <v>982</v>
      </c>
      <c r="I11" s="1063" t="s">
        <v>969</v>
      </c>
    </row>
    <row r="12" spans="1:9">
      <c r="A12" s="3411"/>
      <c r="B12" s="3412" t="s">
        <v>983</v>
      </c>
      <c r="C12" s="3412"/>
      <c r="D12" s="1064"/>
      <c r="E12" s="1064"/>
      <c r="F12" s="1065"/>
      <c r="G12" s="1066"/>
      <c r="H12" s="1073"/>
      <c r="I12" s="1063">
        <f>ROUND(D12*E12*F12*G12/10000,0)</f>
        <v>0</v>
      </c>
    </row>
    <row r="13" spans="1:9">
      <c r="A13" s="3411"/>
      <c r="B13" s="3412" t="s">
        <v>984</v>
      </c>
      <c r="C13" s="3412"/>
      <c r="D13" s="1064"/>
      <c r="E13" s="1064"/>
      <c r="F13" s="1065"/>
      <c r="G13" s="1066"/>
      <c r="H13" s="1073"/>
      <c r="I13" s="1063">
        <f>ROUND(D13*E13*F13*G13/10000,0)</f>
        <v>0</v>
      </c>
    </row>
    <row r="14" spans="1:9">
      <c r="A14" s="3411"/>
      <c r="B14" s="3412" t="s">
        <v>985</v>
      </c>
      <c r="C14" s="3412"/>
      <c r="D14" s="1064"/>
      <c r="E14" s="1064"/>
      <c r="F14" s="1065"/>
      <c r="G14" s="1066"/>
      <c r="H14" s="1073"/>
      <c r="I14" s="1063">
        <f>ROUND(D14*E14*F14*G14/10000,0)</f>
        <v>0</v>
      </c>
    </row>
    <row r="15" spans="1:9">
      <c r="A15" s="3411"/>
      <c r="B15" s="3413" t="s">
        <v>977</v>
      </c>
      <c r="C15" s="3413"/>
      <c r="D15" s="1068"/>
      <c r="E15" s="1068">
        <f>SUM(E12:E14)</f>
        <v>0</v>
      </c>
      <c r="F15" s="1069"/>
      <c r="G15" s="1066"/>
      <c r="H15" s="1073"/>
      <c r="I15" s="1074">
        <f>SUM(I12:I14)</f>
        <v>0</v>
      </c>
    </row>
    <row r="16" spans="1:9" ht="24">
      <c r="A16" s="3411" t="s">
        <v>1016</v>
      </c>
      <c r="B16" s="3412" t="s">
        <v>986</v>
      </c>
      <c r="C16" s="3412"/>
      <c r="D16" s="1064" t="s">
        <v>964</v>
      </c>
      <c r="E16" s="1075" t="s">
        <v>987</v>
      </c>
      <c r="F16" s="1065" t="s">
        <v>988</v>
      </c>
      <c r="G16" s="1066" t="s">
        <v>968</v>
      </c>
      <c r="H16" s="1072" t="s">
        <v>982</v>
      </c>
      <c r="I16" s="1063" t="s">
        <v>969</v>
      </c>
    </row>
    <row r="17" spans="1:9" ht="15.6">
      <c r="A17" s="3411"/>
      <c r="B17" s="3412" t="s">
        <v>989</v>
      </c>
      <c r="C17" s="3412"/>
      <c r="D17" s="1064"/>
      <c r="E17" s="1064"/>
      <c r="F17" s="1065"/>
      <c r="G17" s="1066"/>
      <c r="H17" s="1076"/>
      <c r="I17" s="1077">
        <f>ROUND(D17*E17*F17*G17/10000,0)</f>
        <v>0</v>
      </c>
    </row>
    <row r="18" spans="1:9" ht="15.6">
      <c r="A18" s="3411"/>
      <c r="B18" s="3412" t="s">
        <v>990</v>
      </c>
      <c r="C18" s="3412"/>
      <c r="D18" s="1064"/>
      <c r="E18" s="1064"/>
      <c r="F18" s="1065"/>
      <c r="G18" s="1066"/>
      <c r="H18" s="1076"/>
      <c r="I18" s="1077">
        <f>ROUND(D18*E18*F18*G18/10000,0)</f>
        <v>0</v>
      </c>
    </row>
    <row r="19" spans="1:9" ht="15.6">
      <c r="A19" s="3411"/>
      <c r="B19" s="3412" t="s">
        <v>991</v>
      </c>
      <c r="C19" s="3412"/>
      <c r="D19" s="1064"/>
      <c r="E19" s="1064"/>
      <c r="F19" s="1065"/>
      <c r="G19" s="1066"/>
      <c r="H19" s="1076"/>
      <c r="I19" s="1077">
        <f>ROUND(D19*E19*F19*G19/10000,0)</f>
        <v>0</v>
      </c>
    </row>
    <row r="20" spans="1:9">
      <c r="A20" s="3411"/>
      <c r="B20" s="3413" t="s">
        <v>977</v>
      </c>
      <c r="C20" s="3413"/>
      <c r="D20" s="1068">
        <f>SUM(D17:D19)</f>
        <v>0</v>
      </c>
      <c r="E20" s="1068"/>
      <c r="F20" s="1069"/>
      <c r="G20" s="1066"/>
      <c r="H20" s="1073"/>
      <c r="I20" s="1074">
        <f>SUM(I17:I19)</f>
        <v>0</v>
      </c>
    </row>
    <row r="21" spans="1:9">
      <c r="A21" s="3411" t="s">
        <v>1017</v>
      </c>
      <c r="B21" s="3414"/>
      <c r="C21" s="3414"/>
      <c r="D21" s="3414"/>
      <c r="E21" s="3414"/>
      <c r="F21" s="3414"/>
      <c r="G21" s="3414"/>
      <c r="H21" s="1078">
        <v>0.1</v>
      </c>
      <c r="I21" s="1071">
        <f>ROUND(I10*H21,0)</f>
        <v>0</v>
      </c>
    </row>
    <row r="22" spans="1:9" ht="15.6">
      <c r="A22" s="3415" t="s">
        <v>1018</v>
      </c>
      <c r="B22" s="3416"/>
      <c r="C22" s="3417"/>
      <c r="D22" s="1079" t="s">
        <v>992</v>
      </c>
      <c r="E22" s="1079" t="s">
        <v>993</v>
      </c>
      <c r="F22" s="1080" t="s">
        <v>968</v>
      </c>
      <c r="G22" s="1080" t="s">
        <v>994</v>
      </c>
      <c r="H22" s="1072" t="s">
        <v>982</v>
      </c>
      <c r="I22" s="1063" t="s">
        <v>969</v>
      </c>
    </row>
    <row r="23" spans="1:9" ht="15" thickBot="1">
      <c r="A23" s="3418"/>
      <c r="B23" s="3419"/>
      <c r="C23" s="3420"/>
      <c r="D23" s="1081"/>
      <c r="E23" s="1081"/>
      <c r="F23" s="1081"/>
      <c r="G23" s="1082"/>
      <c r="H23" s="1083"/>
      <c r="I23" s="1084">
        <f>ROUND(E23*D23*F23*(1-G23)/10000,0)</f>
        <v>0</v>
      </c>
    </row>
    <row r="26" spans="1:9">
      <c r="A26" s="1085" t="s">
        <v>995</v>
      </c>
      <c r="B26" s="1085"/>
      <c r="C26" s="1085"/>
      <c r="D26" s="1085"/>
      <c r="E26" s="3408">
        <f>C27-C30-C31-C32</f>
        <v>0</v>
      </c>
      <c r="F26" s="3408"/>
      <c r="G26" s="3408"/>
      <c r="H26" s="1304" t="s">
        <v>1206</v>
      </c>
    </row>
    <row r="27" spans="1:9">
      <c r="A27" s="1086">
        <v>1</v>
      </c>
      <c r="B27" s="1087" t="s">
        <v>996</v>
      </c>
      <c r="C27" s="1087">
        <f>C28+C29</f>
        <v>0</v>
      </c>
      <c r="D27" s="1087"/>
      <c r="E27" s="3409"/>
      <c r="F27" s="3409"/>
      <c r="G27" s="3409"/>
    </row>
    <row r="28" spans="1:9">
      <c r="A28" s="1088" t="s">
        <v>997</v>
      </c>
      <c r="B28" s="1087" t="s">
        <v>998</v>
      </c>
      <c r="C28" s="1087"/>
      <c r="D28" s="1087"/>
      <c r="E28" s="3409"/>
      <c r="F28" s="3409"/>
      <c r="G28" s="340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0"/>
      <c r="F32" s="3410"/>
      <c r="G32" s="3410"/>
    </row>
    <row r="33" spans="1:7" hidden="1">
      <c r="A33" s="3405" t="s">
        <v>1007</v>
      </c>
      <c r="B33" s="3406"/>
      <c r="C33" s="3406"/>
      <c r="D33" s="3407"/>
      <c r="E33" s="3408"/>
      <c r="F33" s="3408"/>
      <c r="G33" s="3408"/>
    </row>
    <row r="34" spans="1:7" hidden="1">
      <c r="A34" s="1090">
        <v>1</v>
      </c>
      <c r="B34" s="1087" t="s">
        <v>1008</v>
      </c>
      <c r="C34" s="1087"/>
      <c r="D34" s="1087"/>
      <c r="E34" s="3409"/>
      <c r="F34" s="3409"/>
      <c r="G34" s="3409"/>
    </row>
    <row r="35" spans="1:7" hidden="1">
      <c r="A35" s="1090">
        <v>2</v>
      </c>
      <c r="B35" s="1087" t="s">
        <v>1009</v>
      </c>
      <c r="C35" s="1087"/>
      <c r="D35" s="1087"/>
      <c r="E35" s="3409"/>
      <c r="F35" s="3409"/>
      <c r="G35" s="3409"/>
    </row>
    <row r="36" spans="1:7" hidden="1">
      <c r="A36" s="1090">
        <v>3</v>
      </c>
      <c r="B36" s="1087" t="s">
        <v>1010</v>
      </c>
      <c r="C36" s="1087"/>
      <c r="D36" s="1087"/>
      <c r="E36" s="3409"/>
      <c r="F36" s="3409"/>
      <c r="G36" s="3409"/>
    </row>
    <row r="37" spans="1:7" hidden="1">
      <c r="A37" s="1090">
        <v>4</v>
      </c>
      <c r="B37" s="1087" t="s">
        <v>1011</v>
      </c>
      <c r="C37" s="1087"/>
      <c r="D37" s="1087"/>
      <c r="E37" s="3409"/>
      <c r="F37" s="3409"/>
      <c r="G37" s="3409"/>
    </row>
    <row r="38" spans="1:7" hidden="1">
      <c r="A38" s="3405" t="s">
        <v>1012</v>
      </c>
      <c r="B38" s="3406"/>
      <c r="C38" s="3406"/>
      <c r="D38" s="3407"/>
      <c r="E38" s="3408"/>
      <c r="F38" s="3408"/>
      <c r="G38" s="340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f>B24</f>
        <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29" t="s">
        <v>2212</v>
      </c>
      <c r="D4" s="3430"/>
      <c r="E4" s="3430"/>
      <c r="F4" s="3430"/>
      <c r="G4" s="3430"/>
      <c r="H4" s="3430"/>
      <c r="I4" s="3430"/>
      <c r="J4" s="3430"/>
      <c r="K4" s="3430"/>
      <c r="L4" s="3430"/>
      <c r="M4" s="3430"/>
      <c r="N4" s="3430"/>
      <c r="O4" s="3430"/>
      <c r="P4" s="3430"/>
      <c r="Q4" s="3430"/>
      <c r="R4" s="3430"/>
      <c r="S4" s="3431"/>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6">
      <c r="A24" s="1555" t="s">
        <v>2225</v>
      </c>
      <c r="B24" s="224">
        <f>ROUND(B23*10000/B25,0)</f>
        <v>0</v>
      </c>
      <c r="C24" s="864"/>
      <c r="D24" s="37"/>
      <c r="E24" s="37"/>
      <c r="F24" s="37"/>
      <c r="G24" s="37"/>
      <c r="H24" s="37"/>
      <c r="I24" s="37"/>
      <c r="J24" s="37"/>
      <c r="K24" s="37"/>
      <c r="L24" s="37"/>
      <c r="M24" s="37"/>
      <c r="N24" s="37"/>
      <c r="O24" s="37"/>
      <c r="P24" s="37"/>
      <c r="Q24" s="37"/>
      <c r="R24" s="645"/>
      <c r="S24" s="13" t="s">
        <v>2226</v>
      </c>
      <c r="T24" s="1332" t="s">
        <v>2227</v>
      </c>
      <c r="U24" s="2245" t="s">
        <v>2228</v>
      </c>
      <c r="V24" s="2981"/>
      <c r="W24" s="2982" t="s">
        <v>2229</v>
      </c>
      <c r="X24" s="2245" t="s">
        <v>2230</v>
      </c>
      <c r="Y24" s="2981"/>
      <c r="Z24" s="2983" t="s">
        <v>2229</v>
      </c>
    </row>
    <row r="25" spans="1:45">
      <c r="A25" s="250" t="s">
        <v>2231</v>
      </c>
      <c r="B25" s="13">
        <f>SUM(B27:B10000)</f>
        <v>346.86</v>
      </c>
      <c r="C25" s="3426" t="s">
        <v>45</v>
      </c>
      <c r="D25" s="3427"/>
      <c r="E25" s="3427"/>
      <c r="F25" s="3427"/>
      <c r="G25" s="3427"/>
      <c r="H25" s="3427"/>
      <c r="I25" s="3427"/>
      <c r="J25" s="3427"/>
      <c r="K25" s="3427"/>
      <c r="L25" s="3427"/>
      <c r="M25" s="3427"/>
      <c r="N25" s="3427"/>
      <c r="O25" s="3427"/>
      <c r="P25" s="3427"/>
      <c r="Q25" s="3428"/>
      <c r="R25" s="597">
        <f>IF(C23="万元",ROUND(T25*10000/B25,0),ROUND(S25/B25,0))</f>
        <v>0</v>
      </c>
      <c r="S25" s="13">
        <f>SUM(S27:S10000)</f>
        <v>0</v>
      </c>
      <c r="T25" s="13">
        <f>SUM(T27:T10000)</f>
        <v>0</v>
      </c>
      <c r="U25" s="17">
        <f>SUM(U27:U10000)</f>
        <v>0</v>
      </c>
      <c r="V25" s="17">
        <f>SUM(V27:V10000)</f>
        <v>0</v>
      </c>
      <c r="W25" s="2985"/>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346.86</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4">
        <f>ROUND(W27*B27,0)</f>
        <v>0</v>
      </c>
      <c r="V27" s="2984">
        <f>ROUND(W27*B27/10000,0)</f>
        <v>0</v>
      </c>
      <c r="W27" s="997"/>
      <c r="X27" s="2984">
        <f>ROUND(Z27*B27,0)</f>
        <v>0</v>
      </c>
      <c r="Y27" s="298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4">
        <f t="shared" ref="U28:U91" si="22">ROUND(W28*B28,0)</f>
        <v>0</v>
      </c>
      <c r="V28" s="2984">
        <f t="shared" ref="V28:V91" si="23">ROUND(W28*B28/10000,0)</f>
        <v>0</v>
      </c>
      <c r="W28" s="998"/>
      <c r="X28" s="2984">
        <f t="shared" ref="X28:X91" si="24">ROUND(Z28*B28,0)</f>
        <v>0</v>
      </c>
      <c r="Y28" s="298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4">
        <f t="shared" si="22"/>
        <v>0</v>
      </c>
      <c r="V29" s="2984">
        <f t="shared" si="23"/>
        <v>0</v>
      </c>
      <c r="W29" s="998"/>
      <c r="X29" s="2984">
        <f t="shared" si="24"/>
        <v>0</v>
      </c>
      <c r="Y29" s="298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4">
        <f t="shared" si="22"/>
        <v>0</v>
      </c>
      <c r="V30" s="2984">
        <f t="shared" si="23"/>
        <v>0</v>
      </c>
      <c r="W30" s="998"/>
      <c r="X30" s="2984">
        <f t="shared" si="24"/>
        <v>0</v>
      </c>
      <c r="Y30" s="298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4">
        <f t="shared" si="22"/>
        <v>0</v>
      </c>
      <c r="V31" s="2984">
        <f t="shared" si="23"/>
        <v>0</v>
      </c>
      <c r="W31" s="998"/>
      <c r="X31" s="2984">
        <f t="shared" si="24"/>
        <v>0</v>
      </c>
      <c r="Y31" s="298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4">
        <f t="shared" si="22"/>
        <v>0</v>
      </c>
      <c r="V32" s="2984">
        <f t="shared" si="23"/>
        <v>0</v>
      </c>
      <c r="W32" s="998"/>
      <c r="X32" s="2984">
        <f t="shared" si="24"/>
        <v>0</v>
      </c>
      <c r="Y32" s="298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4">
        <f t="shared" si="22"/>
        <v>0</v>
      </c>
      <c r="V33" s="2984">
        <f t="shared" si="23"/>
        <v>0</v>
      </c>
      <c r="W33" s="998"/>
      <c r="X33" s="2984">
        <f t="shared" si="24"/>
        <v>0</v>
      </c>
      <c r="Y33" s="298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4">
        <f t="shared" si="22"/>
        <v>0</v>
      </c>
      <c r="V34" s="2984">
        <f t="shared" si="23"/>
        <v>0</v>
      </c>
      <c r="W34" s="998"/>
      <c r="X34" s="2984">
        <f t="shared" si="24"/>
        <v>0</v>
      </c>
      <c r="Y34" s="298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4">
        <f t="shared" si="22"/>
        <v>0</v>
      </c>
      <c r="V35" s="2984">
        <f t="shared" si="23"/>
        <v>0</v>
      </c>
      <c r="W35" s="998"/>
      <c r="X35" s="2984">
        <f t="shared" si="24"/>
        <v>0</v>
      </c>
      <c r="Y35" s="298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4">
        <f t="shared" si="22"/>
        <v>0</v>
      </c>
      <c r="V36" s="2984">
        <f t="shared" si="23"/>
        <v>0</v>
      </c>
      <c r="W36" s="998"/>
      <c r="X36" s="2984">
        <f t="shared" si="24"/>
        <v>0</v>
      </c>
      <c r="Y36" s="298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4">
        <f t="shared" si="22"/>
        <v>0</v>
      </c>
      <c r="V37" s="2984">
        <f t="shared" si="23"/>
        <v>0</v>
      </c>
      <c r="W37" s="998"/>
      <c r="X37" s="2984">
        <f t="shared" si="24"/>
        <v>0</v>
      </c>
      <c r="Y37" s="298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4">
        <f t="shared" si="22"/>
        <v>0</v>
      </c>
      <c r="V38" s="2984">
        <f t="shared" si="23"/>
        <v>0</v>
      </c>
      <c r="W38" s="998"/>
      <c r="X38" s="2984">
        <f t="shared" si="24"/>
        <v>0</v>
      </c>
      <c r="Y38" s="298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4">
        <f t="shared" si="22"/>
        <v>0</v>
      </c>
      <c r="V39" s="2984">
        <f t="shared" si="23"/>
        <v>0</v>
      </c>
      <c r="W39" s="998"/>
      <c r="X39" s="2984">
        <f t="shared" si="24"/>
        <v>0</v>
      </c>
      <c r="Y39" s="298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4">
        <f t="shared" si="22"/>
        <v>0</v>
      </c>
      <c r="V40" s="2984">
        <f t="shared" si="23"/>
        <v>0</v>
      </c>
      <c r="W40" s="998"/>
      <c r="X40" s="2984">
        <f t="shared" si="24"/>
        <v>0</v>
      </c>
      <c r="Y40" s="298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4">
        <f t="shared" si="22"/>
        <v>0</v>
      </c>
      <c r="V41" s="2984">
        <f t="shared" si="23"/>
        <v>0</v>
      </c>
      <c r="W41" s="998"/>
      <c r="X41" s="2984">
        <f t="shared" si="24"/>
        <v>0</v>
      </c>
      <c r="Y41" s="298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4">
        <f t="shared" si="22"/>
        <v>0</v>
      </c>
      <c r="V42" s="2984">
        <f t="shared" si="23"/>
        <v>0</v>
      </c>
      <c r="W42" s="998"/>
      <c r="X42" s="2984">
        <f t="shared" si="24"/>
        <v>0</v>
      </c>
      <c r="Y42" s="298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4">
        <f t="shared" si="22"/>
        <v>0</v>
      </c>
      <c r="V43" s="2984">
        <f t="shared" si="23"/>
        <v>0</v>
      </c>
      <c r="W43" s="998"/>
      <c r="X43" s="2984">
        <f t="shared" si="24"/>
        <v>0</v>
      </c>
      <c r="Y43" s="298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4">
        <f t="shared" si="22"/>
        <v>0</v>
      </c>
      <c r="V44" s="2984">
        <f t="shared" si="23"/>
        <v>0</v>
      </c>
      <c r="W44" s="998"/>
      <c r="X44" s="2984">
        <f t="shared" si="24"/>
        <v>0</v>
      </c>
      <c r="Y44" s="298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4">
        <f t="shared" si="22"/>
        <v>0</v>
      </c>
      <c r="V45" s="2984">
        <f t="shared" si="23"/>
        <v>0</v>
      </c>
      <c r="W45" s="998"/>
      <c r="X45" s="2984">
        <f t="shared" si="24"/>
        <v>0</v>
      </c>
      <c r="Y45" s="298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4">
        <f t="shared" si="22"/>
        <v>0</v>
      </c>
      <c r="V46" s="2984">
        <f t="shared" si="23"/>
        <v>0</v>
      </c>
      <c r="W46" s="998"/>
      <c r="X46" s="2984">
        <f t="shared" si="24"/>
        <v>0</v>
      </c>
      <c r="Y46" s="298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4">
        <f t="shared" si="22"/>
        <v>0</v>
      </c>
      <c r="V47" s="2984">
        <f t="shared" si="23"/>
        <v>0</v>
      </c>
      <c r="W47" s="998"/>
      <c r="X47" s="2984">
        <f t="shared" si="24"/>
        <v>0</v>
      </c>
      <c r="Y47" s="298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4">
        <f t="shared" si="22"/>
        <v>0</v>
      </c>
      <c r="V48" s="2984">
        <f t="shared" si="23"/>
        <v>0</v>
      </c>
      <c r="W48" s="998"/>
      <c r="X48" s="2984">
        <f t="shared" si="24"/>
        <v>0</v>
      </c>
      <c r="Y48" s="298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4">
        <f t="shared" si="22"/>
        <v>0</v>
      </c>
      <c r="V49" s="2984">
        <f t="shared" si="23"/>
        <v>0</v>
      </c>
      <c r="W49" s="998"/>
      <c r="X49" s="2984">
        <f t="shared" si="24"/>
        <v>0</v>
      </c>
      <c r="Y49" s="298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4">
        <f t="shared" si="22"/>
        <v>0</v>
      </c>
      <c r="V50" s="2984">
        <f t="shared" si="23"/>
        <v>0</v>
      </c>
      <c r="W50" s="998"/>
      <c r="X50" s="2984">
        <f t="shared" si="24"/>
        <v>0</v>
      </c>
      <c r="Y50" s="298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4">
        <f t="shared" si="22"/>
        <v>0</v>
      </c>
      <c r="V51" s="2984">
        <f t="shared" si="23"/>
        <v>0</v>
      </c>
      <c r="W51" s="998"/>
      <c r="X51" s="2984">
        <f t="shared" si="24"/>
        <v>0</v>
      </c>
      <c r="Y51" s="298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4">
        <f t="shared" si="22"/>
        <v>0</v>
      </c>
      <c r="V52" s="2984">
        <f t="shared" si="23"/>
        <v>0</v>
      </c>
      <c r="W52" s="998"/>
      <c r="X52" s="2984">
        <f t="shared" si="24"/>
        <v>0</v>
      </c>
      <c r="Y52" s="298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4">
        <f t="shared" si="22"/>
        <v>0</v>
      </c>
      <c r="V53" s="2984">
        <f t="shared" si="23"/>
        <v>0</v>
      </c>
      <c r="W53" s="998"/>
      <c r="X53" s="2984">
        <f t="shared" si="24"/>
        <v>0</v>
      </c>
      <c r="Y53" s="298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4">
        <f t="shared" si="22"/>
        <v>0</v>
      </c>
      <c r="V54" s="2984">
        <f t="shared" si="23"/>
        <v>0</v>
      </c>
      <c r="W54" s="998"/>
      <c r="X54" s="2984">
        <f t="shared" si="24"/>
        <v>0</v>
      </c>
      <c r="Y54" s="298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4">
        <f t="shared" si="22"/>
        <v>0</v>
      </c>
      <c r="V55" s="2984">
        <f t="shared" si="23"/>
        <v>0</v>
      </c>
      <c r="W55" s="998"/>
      <c r="X55" s="2984">
        <f t="shared" si="24"/>
        <v>0</v>
      </c>
      <c r="Y55" s="298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4">
        <f t="shared" si="22"/>
        <v>0</v>
      </c>
      <c r="V56" s="2984">
        <f t="shared" si="23"/>
        <v>0</v>
      </c>
      <c r="W56" s="998"/>
      <c r="X56" s="2984">
        <f t="shared" si="24"/>
        <v>0</v>
      </c>
      <c r="Y56" s="298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4">
        <f t="shared" si="22"/>
        <v>0</v>
      </c>
      <c r="V57" s="2984">
        <f t="shared" si="23"/>
        <v>0</v>
      </c>
      <c r="W57" s="998"/>
      <c r="X57" s="2984">
        <f t="shared" si="24"/>
        <v>0</v>
      </c>
      <c r="Y57" s="298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4">
        <f t="shared" si="22"/>
        <v>0</v>
      </c>
      <c r="V58" s="2984">
        <f t="shared" si="23"/>
        <v>0</v>
      </c>
      <c r="W58" s="998"/>
      <c r="X58" s="2984">
        <f t="shared" si="24"/>
        <v>0</v>
      </c>
      <c r="Y58" s="298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4">
        <f t="shared" si="22"/>
        <v>0</v>
      </c>
      <c r="V59" s="2984">
        <f t="shared" si="23"/>
        <v>0</v>
      </c>
      <c r="W59" s="998"/>
      <c r="X59" s="2984">
        <f t="shared" si="24"/>
        <v>0</v>
      </c>
      <c r="Y59" s="298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4">
        <f t="shared" si="22"/>
        <v>0</v>
      </c>
      <c r="V60" s="2984">
        <f t="shared" si="23"/>
        <v>0</v>
      </c>
      <c r="W60" s="998"/>
      <c r="X60" s="2984">
        <f t="shared" si="24"/>
        <v>0</v>
      </c>
      <c r="Y60" s="298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4">
        <f t="shared" si="22"/>
        <v>0</v>
      </c>
      <c r="V61" s="2984">
        <f t="shared" si="23"/>
        <v>0</v>
      </c>
      <c r="W61" s="998"/>
      <c r="X61" s="2984">
        <f t="shared" si="24"/>
        <v>0</v>
      </c>
      <c r="Y61" s="298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4">
        <f t="shared" si="22"/>
        <v>0</v>
      </c>
      <c r="V62" s="2984">
        <f t="shared" si="23"/>
        <v>0</v>
      </c>
      <c r="W62" s="998"/>
      <c r="X62" s="2984">
        <f t="shared" si="24"/>
        <v>0</v>
      </c>
      <c r="Y62" s="298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4">
        <f t="shared" si="22"/>
        <v>0</v>
      </c>
      <c r="V63" s="2984">
        <f t="shared" si="23"/>
        <v>0</v>
      </c>
      <c r="W63" s="998"/>
      <c r="X63" s="2984">
        <f t="shared" si="24"/>
        <v>0</v>
      </c>
      <c r="Y63" s="298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4">
        <f t="shared" si="22"/>
        <v>0</v>
      </c>
      <c r="V64" s="2984">
        <f t="shared" si="23"/>
        <v>0</v>
      </c>
      <c r="W64" s="998"/>
      <c r="X64" s="2984">
        <f t="shared" si="24"/>
        <v>0</v>
      </c>
      <c r="Y64" s="298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4">
        <f t="shared" si="22"/>
        <v>0</v>
      </c>
      <c r="V65" s="2984">
        <f t="shared" si="23"/>
        <v>0</v>
      </c>
      <c r="W65" s="998"/>
      <c r="X65" s="2984">
        <f t="shared" si="24"/>
        <v>0</v>
      </c>
      <c r="Y65" s="298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4">
        <f t="shared" si="22"/>
        <v>0</v>
      </c>
      <c r="V66" s="2984">
        <f t="shared" si="23"/>
        <v>0</v>
      </c>
      <c r="W66" s="998"/>
      <c r="X66" s="2984">
        <f t="shared" si="24"/>
        <v>0</v>
      </c>
      <c r="Y66" s="298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4">
        <f t="shared" si="22"/>
        <v>0</v>
      </c>
      <c r="V67" s="2984">
        <f t="shared" si="23"/>
        <v>0</v>
      </c>
      <c r="W67" s="998"/>
      <c r="X67" s="2984">
        <f t="shared" si="24"/>
        <v>0</v>
      </c>
      <c r="Y67" s="298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4">
        <f t="shared" si="22"/>
        <v>0</v>
      </c>
      <c r="V68" s="2984">
        <f t="shared" si="23"/>
        <v>0</v>
      </c>
      <c r="W68" s="998"/>
      <c r="X68" s="2984">
        <f t="shared" si="24"/>
        <v>0</v>
      </c>
      <c r="Y68" s="298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4">
        <f t="shared" si="22"/>
        <v>0</v>
      </c>
      <c r="V69" s="2984">
        <f t="shared" si="23"/>
        <v>0</v>
      </c>
      <c r="W69" s="998"/>
      <c r="X69" s="2984">
        <f t="shared" si="24"/>
        <v>0</v>
      </c>
      <c r="Y69" s="298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4">
        <f t="shared" si="22"/>
        <v>0</v>
      </c>
      <c r="V70" s="2984">
        <f t="shared" si="23"/>
        <v>0</v>
      </c>
      <c r="W70" s="998"/>
      <c r="X70" s="2984">
        <f t="shared" si="24"/>
        <v>0</v>
      </c>
      <c r="Y70" s="298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4">
        <f t="shared" si="22"/>
        <v>0</v>
      </c>
      <c r="V71" s="2984">
        <f t="shared" si="23"/>
        <v>0</v>
      </c>
      <c r="W71" s="998"/>
      <c r="X71" s="2984">
        <f t="shared" si="24"/>
        <v>0</v>
      </c>
      <c r="Y71" s="298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4">
        <f t="shared" si="22"/>
        <v>0</v>
      </c>
      <c r="V72" s="2984">
        <f t="shared" si="23"/>
        <v>0</v>
      </c>
      <c r="W72" s="998"/>
      <c r="X72" s="2984">
        <f t="shared" si="24"/>
        <v>0</v>
      </c>
      <c r="Y72" s="298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4">
        <f t="shared" si="22"/>
        <v>0</v>
      </c>
      <c r="V73" s="2984">
        <f t="shared" si="23"/>
        <v>0</v>
      </c>
      <c r="W73" s="998"/>
      <c r="X73" s="2984">
        <f t="shared" si="24"/>
        <v>0</v>
      </c>
      <c r="Y73" s="298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4">
        <f t="shared" si="22"/>
        <v>0</v>
      </c>
      <c r="V74" s="2984">
        <f t="shared" si="23"/>
        <v>0</v>
      </c>
      <c r="W74" s="998"/>
      <c r="X74" s="2984">
        <f t="shared" si="24"/>
        <v>0</v>
      </c>
      <c r="Y74" s="298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4">
        <f t="shared" si="22"/>
        <v>0</v>
      </c>
      <c r="V75" s="2984">
        <f t="shared" si="23"/>
        <v>0</v>
      </c>
      <c r="W75" s="998"/>
      <c r="X75" s="2984">
        <f t="shared" si="24"/>
        <v>0</v>
      </c>
      <c r="Y75" s="298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4">
        <f t="shared" si="22"/>
        <v>0</v>
      </c>
      <c r="V76" s="2984">
        <f t="shared" si="23"/>
        <v>0</v>
      </c>
      <c r="W76" s="998"/>
      <c r="X76" s="2984">
        <f t="shared" si="24"/>
        <v>0</v>
      </c>
      <c r="Y76" s="298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4">
        <f t="shared" si="22"/>
        <v>0</v>
      </c>
      <c r="V77" s="2984">
        <f t="shared" si="23"/>
        <v>0</v>
      </c>
      <c r="W77" s="998"/>
      <c r="X77" s="2984">
        <f t="shared" si="24"/>
        <v>0</v>
      </c>
      <c r="Y77" s="298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4">
        <f t="shared" si="22"/>
        <v>0</v>
      </c>
      <c r="V78" s="2984">
        <f t="shared" si="23"/>
        <v>0</v>
      </c>
      <c r="W78" s="998"/>
      <c r="X78" s="2984">
        <f t="shared" si="24"/>
        <v>0</v>
      </c>
      <c r="Y78" s="298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4">
        <f t="shared" si="22"/>
        <v>0</v>
      </c>
      <c r="V79" s="2984">
        <f t="shared" si="23"/>
        <v>0</v>
      </c>
      <c r="W79" s="998"/>
      <c r="X79" s="2984">
        <f t="shared" si="24"/>
        <v>0</v>
      </c>
      <c r="Y79" s="298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4">
        <f t="shared" si="22"/>
        <v>0</v>
      </c>
      <c r="V80" s="2984">
        <f t="shared" si="23"/>
        <v>0</v>
      </c>
      <c r="W80" s="998"/>
      <c r="X80" s="2984">
        <f t="shared" si="24"/>
        <v>0</v>
      </c>
      <c r="Y80" s="298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4">
        <f t="shared" si="22"/>
        <v>0</v>
      </c>
      <c r="V81" s="2984">
        <f t="shared" si="23"/>
        <v>0</v>
      </c>
      <c r="W81" s="998"/>
      <c r="X81" s="2984">
        <f t="shared" si="24"/>
        <v>0</v>
      </c>
      <c r="Y81" s="298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4">
        <f t="shared" si="22"/>
        <v>0</v>
      </c>
      <c r="V82" s="2984">
        <f t="shared" si="23"/>
        <v>0</v>
      </c>
      <c r="W82" s="998"/>
      <c r="X82" s="2984">
        <f t="shared" si="24"/>
        <v>0</v>
      </c>
      <c r="Y82" s="298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4">
        <f t="shared" si="22"/>
        <v>0</v>
      </c>
      <c r="V83" s="2984">
        <f t="shared" si="23"/>
        <v>0</v>
      </c>
      <c r="W83" s="998"/>
      <c r="X83" s="2984">
        <f t="shared" si="24"/>
        <v>0</v>
      </c>
      <c r="Y83" s="298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4">
        <f t="shared" si="22"/>
        <v>0</v>
      </c>
      <c r="V84" s="2984">
        <f t="shared" si="23"/>
        <v>0</v>
      </c>
      <c r="W84" s="998"/>
      <c r="X84" s="2984">
        <f t="shared" si="24"/>
        <v>0</v>
      </c>
      <c r="Y84" s="298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4">
        <f t="shared" si="22"/>
        <v>0</v>
      </c>
      <c r="V85" s="2984">
        <f t="shared" si="23"/>
        <v>0</v>
      </c>
      <c r="W85" s="998"/>
      <c r="X85" s="2984">
        <f t="shared" si="24"/>
        <v>0</v>
      </c>
      <c r="Y85" s="298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4">
        <f t="shared" si="22"/>
        <v>0</v>
      </c>
      <c r="V86" s="2984">
        <f t="shared" si="23"/>
        <v>0</v>
      </c>
      <c r="W86" s="998"/>
      <c r="X86" s="2984">
        <f t="shared" si="24"/>
        <v>0</v>
      </c>
      <c r="Y86" s="298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4">
        <f t="shared" si="22"/>
        <v>0</v>
      </c>
      <c r="V87" s="2984">
        <f t="shared" si="23"/>
        <v>0</v>
      </c>
      <c r="W87" s="998"/>
      <c r="X87" s="2984">
        <f t="shared" si="24"/>
        <v>0</v>
      </c>
      <c r="Y87" s="298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4">
        <f t="shared" si="22"/>
        <v>0</v>
      </c>
      <c r="V88" s="2984">
        <f t="shared" si="23"/>
        <v>0</v>
      </c>
      <c r="W88" s="998"/>
      <c r="X88" s="2984">
        <f t="shared" si="24"/>
        <v>0</v>
      </c>
      <c r="Y88" s="298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4">
        <f t="shared" si="22"/>
        <v>0</v>
      </c>
      <c r="V89" s="2984">
        <f t="shared" si="23"/>
        <v>0</v>
      </c>
      <c r="W89" s="998"/>
      <c r="X89" s="2984">
        <f t="shared" si="24"/>
        <v>0</v>
      </c>
      <c r="Y89" s="298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4">
        <f t="shared" si="22"/>
        <v>0</v>
      </c>
      <c r="V90" s="2984">
        <f t="shared" si="23"/>
        <v>0</v>
      </c>
      <c r="W90" s="998"/>
      <c r="X90" s="2984">
        <f t="shared" si="24"/>
        <v>0</v>
      </c>
      <c r="Y90" s="298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4">
        <f t="shared" si="22"/>
        <v>0</v>
      </c>
      <c r="V91" s="2984">
        <f t="shared" si="23"/>
        <v>0</v>
      </c>
      <c r="W91" s="998"/>
      <c r="X91" s="2984">
        <f t="shared" si="24"/>
        <v>0</v>
      </c>
      <c r="Y91" s="298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4">
        <f t="shared" ref="U92:U155" si="37">ROUND(W92*B92,0)</f>
        <v>0</v>
      </c>
      <c r="V92" s="2984">
        <f t="shared" ref="V92:V155" si="38">ROUND(W92*B92/10000,0)</f>
        <v>0</v>
      </c>
      <c r="W92" s="998"/>
      <c r="X92" s="2984">
        <f t="shared" ref="X92:X155" si="39">ROUND(Z92*B92,0)</f>
        <v>0</v>
      </c>
      <c r="Y92" s="298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4">
        <f t="shared" si="37"/>
        <v>0</v>
      </c>
      <c r="V93" s="2984">
        <f t="shared" si="38"/>
        <v>0</v>
      </c>
      <c r="W93" s="998"/>
      <c r="X93" s="2984">
        <f t="shared" si="39"/>
        <v>0</v>
      </c>
      <c r="Y93" s="298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4">
        <f t="shared" si="37"/>
        <v>0</v>
      </c>
      <c r="V94" s="2984">
        <f t="shared" si="38"/>
        <v>0</v>
      </c>
      <c r="W94" s="998"/>
      <c r="X94" s="2984">
        <f t="shared" si="39"/>
        <v>0</v>
      </c>
      <c r="Y94" s="298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4">
        <f t="shared" si="37"/>
        <v>0</v>
      </c>
      <c r="V95" s="2984">
        <f t="shared" si="38"/>
        <v>0</v>
      </c>
      <c r="W95" s="998"/>
      <c r="X95" s="2984">
        <f t="shared" si="39"/>
        <v>0</v>
      </c>
      <c r="Y95" s="298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4">
        <f t="shared" si="37"/>
        <v>0</v>
      </c>
      <c r="V96" s="2984">
        <f t="shared" si="38"/>
        <v>0</v>
      </c>
      <c r="W96" s="998"/>
      <c r="X96" s="2984">
        <f t="shared" si="39"/>
        <v>0</v>
      </c>
      <c r="Y96" s="298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4">
        <f t="shared" si="37"/>
        <v>0</v>
      </c>
      <c r="V97" s="2984">
        <f t="shared" si="38"/>
        <v>0</v>
      </c>
      <c r="W97" s="998"/>
      <c r="X97" s="2984">
        <f t="shared" si="39"/>
        <v>0</v>
      </c>
      <c r="Y97" s="298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4">
        <f t="shared" si="37"/>
        <v>0</v>
      </c>
      <c r="V98" s="2984">
        <f t="shared" si="38"/>
        <v>0</v>
      </c>
      <c r="W98" s="998"/>
      <c r="X98" s="2984">
        <f t="shared" si="39"/>
        <v>0</v>
      </c>
      <c r="Y98" s="298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4">
        <f t="shared" si="37"/>
        <v>0</v>
      </c>
      <c r="V99" s="2984">
        <f t="shared" si="38"/>
        <v>0</v>
      </c>
      <c r="W99" s="998"/>
      <c r="X99" s="2984">
        <f t="shared" si="39"/>
        <v>0</v>
      </c>
      <c r="Y99" s="298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4">
        <f t="shared" si="37"/>
        <v>0</v>
      </c>
      <c r="V100" s="2984">
        <f t="shared" si="38"/>
        <v>0</v>
      </c>
      <c r="W100" s="998"/>
      <c r="X100" s="2984">
        <f t="shared" si="39"/>
        <v>0</v>
      </c>
      <c r="Y100" s="298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4">
        <f t="shared" si="37"/>
        <v>0</v>
      </c>
      <c r="V101" s="2984">
        <f t="shared" si="38"/>
        <v>0</v>
      </c>
      <c r="W101" s="998"/>
      <c r="X101" s="2984">
        <f t="shared" si="39"/>
        <v>0</v>
      </c>
      <c r="Y101" s="298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4">
        <f t="shared" si="37"/>
        <v>0</v>
      </c>
      <c r="V102" s="2984">
        <f t="shared" si="38"/>
        <v>0</v>
      </c>
      <c r="W102" s="998"/>
      <c r="X102" s="2984">
        <f t="shared" si="39"/>
        <v>0</v>
      </c>
      <c r="Y102" s="298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4">
        <f t="shared" si="37"/>
        <v>0</v>
      </c>
      <c r="V103" s="2984">
        <f t="shared" si="38"/>
        <v>0</v>
      </c>
      <c r="W103" s="998"/>
      <c r="X103" s="2984">
        <f t="shared" si="39"/>
        <v>0</v>
      </c>
      <c r="Y103" s="298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4">
        <f t="shared" si="37"/>
        <v>0</v>
      </c>
      <c r="V104" s="2984">
        <f t="shared" si="38"/>
        <v>0</v>
      </c>
      <c r="W104" s="998"/>
      <c r="X104" s="2984">
        <f t="shared" si="39"/>
        <v>0</v>
      </c>
      <c r="Y104" s="298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4">
        <f t="shared" si="37"/>
        <v>0</v>
      </c>
      <c r="V105" s="2984">
        <f t="shared" si="38"/>
        <v>0</v>
      </c>
      <c r="W105" s="998"/>
      <c r="X105" s="2984">
        <f t="shared" si="39"/>
        <v>0</v>
      </c>
      <c r="Y105" s="298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4">
        <f t="shared" si="37"/>
        <v>0</v>
      </c>
      <c r="V106" s="2984">
        <f t="shared" si="38"/>
        <v>0</v>
      </c>
      <c r="W106" s="998"/>
      <c r="X106" s="2984">
        <f t="shared" si="39"/>
        <v>0</v>
      </c>
      <c r="Y106" s="298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4">
        <f t="shared" si="37"/>
        <v>0</v>
      </c>
      <c r="V107" s="2984">
        <f t="shared" si="38"/>
        <v>0</v>
      </c>
      <c r="W107" s="998"/>
      <c r="X107" s="2984">
        <f t="shared" si="39"/>
        <v>0</v>
      </c>
      <c r="Y107" s="298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4">
        <f t="shared" si="37"/>
        <v>0</v>
      </c>
      <c r="V108" s="2984">
        <f t="shared" si="38"/>
        <v>0</v>
      </c>
      <c r="W108" s="998"/>
      <c r="X108" s="2984">
        <f t="shared" si="39"/>
        <v>0</v>
      </c>
      <c r="Y108" s="298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4">
        <f t="shared" si="37"/>
        <v>0</v>
      </c>
      <c r="V109" s="2984">
        <f t="shared" si="38"/>
        <v>0</v>
      </c>
      <c r="W109" s="998"/>
      <c r="X109" s="2984">
        <f t="shared" si="39"/>
        <v>0</v>
      </c>
      <c r="Y109" s="298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4">
        <f t="shared" si="37"/>
        <v>0</v>
      </c>
      <c r="V110" s="2984">
        <f t="shared" si="38"/>
        <v>0</v>
      </c>
      <c r="W110" s="998"/>
      <c r="X110" s="2984">
        <f t="shared" si="39"/>
        <v>0</v>
      </c>
      <c r="Y110" s="298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4">
        <f t="shared" si="37"/>
        <v>0</v>
      </c>
      <c r="V111" s="2984">
        <f t="shared" si="38"/>
        <v>0</v>
      </c>
      <c r="W111" s="998"/>
      <c r="X111" s="2984">
        <f t="shared" si="39"/>
        <v>0</v>
      </c>
      <c r="Y111" s="298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4">
        <f t="shared" si="37"/>
        <v>0</v>
      </c>
      <c r="V112" s="2984">
        <f t="shared" si="38"/>
        <v>0</v>
      </c>
      <c r="W112" s="998"/>
      <c r="X112" s="2984">
        <f t="shared" si="39"/>
        <v>0</v>
      </c>
      <c r="Y112" s="298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4">
        <f t="shared" si="37"/>
        <v>0</v>
      </c>
      <c r="V113" s="2984">
        <f t="shared" si="38"/>
        <v>0</v>
      </c>
      <c r="W113" s="998"/>
      <c r="X113" s="2984">
        <f t="shared" si="39"/>
        <v>0</v>
      </c>
      <c r="Y113" s="298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4">
        <f t="shared" si="37"/>
        <v>0</v>
      </c>
      <c r="V114" s="2984">
        <f t="shared" si="38"/>
        <v>0</v>
      </c>
      <c r="W114" s="998"/>
      <c r="X114" s="2984">
        <f t="shared" si="39"/>
        <v>0</v>
      </c>
      <c r="Y114" s="298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4">
        <f t="shared" si="37"/>
        <v>0</v>
      </c>
      <c r="V115" s="2984">
        <f t="shared" si="38"/>
        <v>0</v>
      </c>
      <c r="W115" s="998"/>
      <c r="X115" s="2984">
        <f t="shared" si="39"/>
        <v>0</v>
      </c>
      <c r="Y115" s="298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4">
        <f t="shared" si="37"/>
        <v>0</v>
      </c>
      <c r="V116" s="2984">
        <f t="shared" si="38"/>
        <v>0</v>
      </c>
      <c r="W116" s="998"/>
      <c r="X116" s="2984">
        <f t="shared" si="39"/>
        <v>0</v>
      </c>
      <c r="Y116" s="298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4">
        <f t="shared" si="37"/>
        <v>0</v>
      </c>
      <c r="V117" s="2984">
        <f t="shared" si="38"/>
        <v>0</v>
      </c>
      <c r="W117" s="998"/>
      <c r="X117" s="2984">
        <f t="shared" si="39"/>
        <v>0</v>
      </c>
      <c r="Y117" s="298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4">
        <f t="shared" si="37"/>
        <v>0</v>
      </c>
      <c r="V118" s="2984">
        <f t="shared" si="38"/>
        <v>0</v>
      </c>
      <c r="W118" s="998"/>
      <c r="X118" s="2984">
        <f t="shared" si="39"/>
        <v>0</v>
      </c>
      <c r="Y118" s="298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4">
        <f t="shared" si="37"/>
        <v>0</v>
      </c>
      <c r="V119" s="2984">
        <f t="shared" si="38"/>
        <v>0</v>
      </c>
      <c r="W119" s="998"/>
      <c r="X119" s="2984">
        <f t="shared" si="39"/>
        <v>0</v>
      </c>
      <c r="Y119" s="298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4">
        <f t="shared" si="37"/>
        <v>0</v>
      </c>
      <c r="V120" s="2984">
        <f t="shared" si="38"/>
        <v>0</v>
      </c>
      <c r="W120" s="998"/>
      <c r="X120" s="2984">
        <f t="shared" si="39"/>
        <v>0</v>
      </c>
      <c r="Y120" s="298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4">
        <f t="shared" si="37"/>
        <v>0</v>
      </c>
      <c r="V121" s="2984">
        <f t="shared" si="38"/>
        <v>0</v>
      </c>
      <c r="W121" s="998"/>
      <c r="X121" s="2984">
        <f t="shared" si="39"/>
        <v>0</v>
      </c>
      <c r="Y121" s="298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4">
        <f t="shared" si="37"/>
        <v>0</v>
      </c>
      <c r="V122" s="2984">
        <f t="shared" si="38"/>
        <v>0</v>
      </c>
      <c r="W122" s="998"/>
      <c r="X122" s="2984">
        <f t="shared" si="39"/>
        <v>0</v>
      </c>
      <c r="Y122" s="298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4">
        <f t="shared" si="37"/>
        <v>0</v>
      </c>
      <c r="V123" s="2984">
        <f t="shared" si="38"/>
        <v>0</v>
      </c>
      <c r="W123" s="998"/>
      <c r="X123" s="2984">
        <f t="shared" si="39"/>
        <v>0</v>
      </c>
      <c r="Y123" s="298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4">
        <f t="shared" si="37"/>
        <v>0</v>
      </c>
      <c r="V124" s="2984">
        <f t="shared" si="38"/>
        <v>0</v>
      </c>
      <c r="W124" s="998"/>
      <c r="X124" s="2984">
        <f t="shared" si="39"/>
        <v>0</v>
      </c>
      <c r="Y124" s="298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4">
        <f t="shared" si="37"/>
        <v>0</v>
      </c>
      <c r="V125" s="2984">
        <f t="shared" si="38"/>
        <v>0</v>
      </c>
      <c r="W125" s="998"/>
      <c r="X125" s="2984">
        <f t="shared" si="39"/>
        <v>0</v>
      </c>
      <c r="Y125" s="298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4">
        <f t="shared" si="37"/>
        <v>0</v>
      </c>
      <c r="V126" s="2984">
        <f t="shared" si="38"/>
        <v>0</v>
      </c>
      <c r="W126" s="998"/>
      <c r="X126" s="2984">
        <f t="shared" si="39"/>
        <v>0</v>
      </c>
      <c r="Y126" s="298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4">
        <f t="shared" si="37"/>
        <v>0</v>
      </c>
      <c r="V127" s="2984">
        <f t="shared" si="38"/>
        <v>0</v>
      </c>
      <c r="W127" s="998"/>
      <c r="X127" s="2984">
        <f t="shared" si="39"/>
        <v>0</v>
      </c>
      <c r="Y127" s="298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4">
        <f t="shared" si="37"/>
        <v>0</v>
      </c>
      <c r="V128" s="2984">
        <f t="shared" si="38"/>
        <v>0</v>
      </c>
      <c r="W128" s="998"/>
      <c r="X128" s="2984">
        <f t="shared" si="39"/>
        <v>0</v>
      </c>
      <c r="Y128" s="298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4">
        <f t="shared" si="37"/>
        <v>0</v>
      </c>
      <c r="V129" s="2984">
        <f t="shared" si="38"/>
        <v>0</v>
      </c>
      <c r="W129" s="998"/>
      <c r="X129" s="2984">
        <f t="shared" si="39"/>
        <v>0</v>
      </c>
      <c r="Y129" s="298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4">
        <f t="shared" si="37"/>
        <v>0</v>
      </c>
      <c r="V130" s="2984">
        <f t="shared" si="38"/>
        <v>0</v>
      </c>
      <c r="W130" s="998"/>
      <c r="X130" s="2984">
        <f t="shared" si="39"/>
        <v>0</v>
      </c>
      <c r="Y130" s="298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4">
        <f t="shared" si="37"/>
        <v>0</v>
      </c>
      <c r="V131" s="2984">
        <f t="shared" si="38"/>
        <v>0</v>
      </c>
      <c r="W131" s="998"/>
      <c r="X131" s="2984">
        <f t="shared" si="39"/>
        <v>0</v>
      </c>
      <c r="Y131" s="298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4">
        <f t="shared" si="37"/>
        <v>0</v>
      </c>
      <c r="V132" s="2984">
        <f t="shared" si="38"/>
        <v>0</v>
      </c>
      <c r="W132" s="998"/>
      <c r="X132" s="2984">
        <f t="shared" si="39"/>
        <v>0</v>
      </c>
      <c r="Y132" s="298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4">
        <f t="shared" si="37"/>
        <v>0</v>
      </c>
      <c r="V133" s="2984">
        <f t="shared" si="38"/>
        <v>0</v>
      </c>
      <c r="W133" s="998"/>
      <c r="X133" s="2984">
        <f t="shared" si="39"/>
        <v>0</v>
      </c>
      <c r="Y133" s="298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4">
        <f t="shared" si="37"/>
        <v>0</v>
      </c>
      <c r="V134" s="2984">
        <f t="shared" si="38"/>
        <v>0</v>
      </c>
      <c r="W134" s="998"/>
      <c r="X134" s="2984">
        <f t="shared" si="39"/>
        <v>0</v>
      </c>
      <c r="Y134" s="298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4">
        <f t="shared" si="37"/>
        <v>0</v>
      </c>
      <c r="V135" s="2984">
        <f t="shared" si="38"/>
        <v>0</v>
      </c>
      <c r="W135" s="998"/>
      <c r="X135" s="2984">
        <f t="shared" si="39"/>
        <v>0</v>
      </c>
      <c r="Y135" s="298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4">
        <f t="shared" si="37"/>
        <v>0</v>
      </c>
      <c r="V136" s="2984">
        <f t="shared" si="38"/>
        <v>0</v>
      </c>
      <c r="W136" s="998"/>
      <c r="X136" s="2984">
        <f t="shared" si="39"/>
        <v>0</v>
      </c>
      <c r="Y136" s="298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4">
        <f t="shared" si="37"/>
        <v>0</v>
      </c>
      <c r="V137" s="2984">
        <f t="shared" si="38"/>
        <v>0</v>
      </c>
      <c r="W137" s="998"/>
      <c r="X137" s="2984">
        <f t="shared" si="39"/>
        <v>0</v>
      </c>
      <c r="Y137" s="298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4">
        <f t="shared" si="37"/>
        <v>0</v>
      </c>
      <c r="V138" s="2984">
        <f t="shared" si="38"/>
        <v>0</v>
      </c>
      <c r="W138" s="998"/>
      <c r="X138" s="2984">
        <f t="shared" si="39"/>
        <v>0</v>
      </c>
      <c r="Y138" s="298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4">
        <f t="shared" si="37"/>
        <v>0</v>
      </c>
      <c r="V139" s="2984">
        <f t="shared" si="38"/>
        <v>0</v>
      </c>
      <c r="W139" s="998"/>
      <c r="X139" s="2984">
        <f t="shared" si="39"/>
        <v>0</v>
      </c>
      <c r="Y139" s="298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4">
        <f t="shared" si="37"/>
        <v>0</v>
      </c>
      <c r="V140" s="2984">
        <f t="shared" si="38"/>
        <v>0</v>
      </c>
      <c r="W140" s="998"/>
      <c r="X140" s="2984">
        <f t="shared" si="39"/>
        <v>0</v>
      </c>
      <c r="Y140" s="298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4">
        <f t="shared" si="37"/>
        <v>0</v>
      </c>
      <c r="V141" s="2984">
        <f t="shared" si="38"/>
        <v>0</v>
      </c>
      <c r="W141" s="998"/>
      <c r="X141" s="2984">
        <f t="shared" si="39"/>
        <v>0</v>
      </c>
      <c r="Y141" s="298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4">
        <f t="shared" si="37"/>
        <v>0</v>
      </c>
      <c r="V142" s="2984">
        <f t="shared" si="38"/>
        <v>0</v>
      </c>
      <c r="W142" s="998"/>
      <c r="X142" s="2984">
        <f t="shared" si="39"/>
        <v>0</v>
      </c>
      <c r="Y142" s="298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4">
        <f t="shared" si="37"/>
        <v>0</v>
      </c>
      <c r="V143" s="2984">
        <f t="shared" si="38"/>
        <v>0</v>
      </c>
      <c r="W143" s="998"/>
      <c r="X143" s="2984">
        <f t="shared" si="39"/>
        <v>0</v>
      </c>
      <c r="Y143" s="298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4">
        <f t="shared" si="37"/>
        <v>0</v>
      </c>
      <c r="V144" s="2984">
        <f t="shared" si="38"/>
        <v>0</v>
      </c>
      <c r="W144" s="998"/>
      <c r="X144" s="2984">
        <f t="shared" si="39"/>
        <v>0</v>
      </c>
      <c r="Y144" s="298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4">
        <f t="shared" si="37"/>
        <v>0</v>
      </c>
      <c r="V145" s="2984">
        <f t="shared" si="38"/>
        <v>0</v>
      </c>
      <c r="W145" s="998"/>
      <c r="X145" s="2984">
        <f t="shared" si="39"/>
        <v>0</v>
      </c>
      <c r="Y145" s="298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4">
        <f t="shared" si="37"/>
        <v>0</v>
      </c>
      <c r="V146" s="2984">
        <f t="shared" si="38"/>
        <v>0</v>
      </c>
      <c r="W146" s="998"/>
      <c r="X146" s="2984">
        <f t="shared" si="39"/>
        <v>0</v>
      </c>
      <c r="Y146" s="298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4">
        <f t="shared" si="37"/>
        <v>0</v>
      </c>
      <c r="V147" s="2984">
        <f t="shared" si="38"/>
        <v>0</v>
      </c>
      <c r="W147" s="998"/>
      <c r="X147" s="2984">
        <f t="shared" si="39"/>
        <v>0</v>
      </c>
      <c r="Y147" s="298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4">
        <f t="shared" si="37"/>
        <v>0</v>
      </c>
      <c r="V148" s="2984">
        <f t="shared" si="38"/>
        <v>0</v>
      </c>
      <c r="W148" s="998"/>
      <c r="X148" s="2984">
        <f t="shared" si="39"/>
        <v>0</v>
      </c>
      <c r="Y148" s="298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4">
        <f t="shared" si="37"/>
        <v>0</v>
      </c>
      <c r="V149" s="2984">
        <f t="shared" si="38"/>
        <v>0</v>
      </c>
      <c r="W149" s="998"/>
      <c r="X149" s="2984">
        <f t="shared" si="39"/>
        <v>0</v>
      </c>
      <c r="Y149" s="298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4">
        <f t="shared" si="37"/>
        <v>0</v>
      </c>
      <c r="V150" s="2984">
        <f t="shared" si="38"/>
        <v>0</v>
      </c>
      <c r="W150" s="998"/>
      <c r="X150" s="2984">
        <f t="shared" si="39"/>
        <v>0</v>
      </c>
      <c r="Y150" s="298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4">
        <f t="shared" si="37"/>
        <v>0</v>
      </c>
      <c r="V151" s="2984">
        <f t="shared" si="38"/>
        <v>0</v>
      </c>
      <c r="W151" s="998"/>
      <c r="X151" s="2984">
        <f t="shared" si="39"/>
        <v>0</v>
      </c>
      <c r="Y151" s="298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4">
        <f t="shared" si="37"/>
        <v>0</v>
      </c>
      <c r="V152" s="2984">
        <f t="shared" si="38"/>
        <v>0</v>
      </c>
      <c r="W152" s="998"/>
      <c r="X152" s="2984">
        <f t="shared" si="39"/>
        <v>0</v>
      </c>
      <c r="Y152" s="298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4">
        <f t="shared" si="37"/>
        <v>0</v>
      </c>
      <c r="V153" s="2984">
        <f t="shared" si="38"/>
        <v>0</v>
      </c>
      <c r="W153" s="998"/>
      <c r="X153" s="2984">
        <f t="shared" si="39"/>
        <v>0</v>
      </c>
      <c r="Y153" s="298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4">
        <f t="shared" si="37"/>
        <v>0</v>
      </c>
      <c r="V154" s="2984">
        <f t="shared" si="38"/>
        <v>0</v>
      </c>
      <c r="W154" s="998"/>
      <c r="X154" s="2984">
        <f t="shared" si="39"/>
        <v>0</v>
      </c>
      <c r="Y154" s="298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4">
        <f t="shared" si="37"/>
        <v>0</v>
      </c>
      <c r="V155" s="2984">
        <f t="shared" si="38"/>
        <v>0</v>
      </c>
      <c r="W155" s="998"/>
      <c r="X155" s="2984">
        <f t="shared" si="39"/>
        <v>0</v>
      </c>
      <c r="Y155" s="298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4">
        <f t="shared" ref="U156:U219" si="52">ROUND(W156*B156,0)</f>
        <v>0</v>
      </c>
      <c r="V156" s="2984">
        <f t="shared" ref="V156:V219" si="53">ROUND(W156*B156/10000,0)</f>
        <v>0</v>
      </c>
      <c r="W156" s="998"/>
      <c r="X156" s="2984">
        <f t="shared" ref="X156:X219" si="54">ROUND(Z156*B156,0)</f>
        <v>0</v>
      </c>
      <c r="Y156" s="298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4">
        <f t="shared" si="52"/>
        <v>0</v>
      </c>
      <c r="V157" s="2984">
        <f t="shared" si="53"/>
        <v>0</v>
      </c>
      <c r="W157" s="998"/>
      <c r="X157" s="2984">
        <f t="shared" si="54"/>
        <v>0</v>
      </c>
      <c r="Y157" s="298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4">
        <f t="shared" si="52"/>
        <v>0</v>
      </c>
      <c r="V158" s="2984">
        <f t="shared" si="53"/>
        <v>0</v>
      </c>
      <c r="W158" s="998"/>
      <c r="X158" s="2984">
        <f t="shared" si="54"/>
        <v>0</v>
      </c>
      <c r="Y158" s="298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4">
        <f t="shared" si="52"/>
        <v>0</v>
      </c>
      <c r="V159" s="2984">
        <f t="shared" si="53"/>
        <v>0</v>
      </c>
      <c r="W159" s="998"/>
      <c r="X159" s="2984">
        <f t="shared" si="54"/>
        <v>0</v>
      </c>
      <c r="Y159" s="298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4">
        <f t="shared" si="52"/>
        <v>0</v>
      </c>
      <c r="V160" s="2984">
        <f t="shared" si="53"/>
        <v>0</v>
      </c>
      <c r="W160" s="998"/>
      <c r="X160" s="2984">
        <f t="shared" si="54"/>
        <v>0</v>
      </c>
      <c r="Y160" s="298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4">
        <f t="shared" si="52"/>
        <v>0</v>
      </c>
      <c r="V161" s="2984">
        <f t="shared" si="53"/>
        <v>0</v>
      </c>
      <c r="W161" s="998"/>
      <c r="X161" s="2984">
        <f t="shared" si="54"/>
        <v>0</v>
      </c>
      <c r="Y161" s="298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4">
        <f t="shared" si="52"/>
        <v>0</v>
      </c>
      <c r="V162" s="2984">
        <f t="shared" si="53"/>
        <v>0</v>
      </c>
      <c r="W162" s="998"/>
      <c r="X162" s="2984">
        <f t="shared" si="54"/>
        <v>0</v>
      </c>
      <c r="Y162" s="298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4">
        <f t="shared" si="52"/>
        <v>0</v>
      </c>
      <c r="V163" s="2984">
        <f t="shared" si="53"/>
        <v>0</v>
      </c>
      <c r="W163" s="998"/>
      <c r="X163" s="2984">
        <f t="shared" si="54"/>
        <v>0</v>
      </c>
      <c r="Y163" s="298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4">
        <f t="shared" si="52"/>
        <v>0</v>
      </c>
      <c r="V164" s="2984">
        <f t="shared" si="53"/>
        <v>0</v>
      </c>
      <c r="W164" s="998"/>
      <c r="X164" s="2984">
        <f t="shared" si="54"/>
        <v>0</v>
      </c>
      <c r="Y164" s="298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4">
        <f t="shared" si="52"/>
        <v>0</v>
      </c>
      <c r="V165" s="2984">
        <f t="shared" si="53"/>
        <v>0</v>
      </c>
      <c r="W165" s="998"/>
      <c r="X165" s="2984">
        <f t="shared" si="54"/>
        <v>0</v>
      </c>
      <c r="Y165" s="298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4">
        <f t="shared" si="52"/>
        <v>0</v>
      </c>
      <c r="V166" s="2984">
        <f t="shared" si="53"/>
        <v>0</v>
      </c>
      <c r="W166" s="998"/>
      <c r="X166" s="2984">
        <f t="shared" si="54"/>
        <v>0</v>
      </c>
      <c r="Y166" s="298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4">
        <f t="shared" si="52"/>
        <v>0</v>
      </c>
      <c r="V167" s="2984">
        <f t="shared" si="53"/>
        <v>0</v>
      </c>
      <c r="W167" s="998"/>
      <c r="X167" s="2984">
        <f t="shared" si="54"/>
        <v>0</v>
      </c>
      <c r="Y167" s="298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4">
        <f t="shared" si="52"/>
        <v>0</v>
      </c>
      <c r="V168" s="2984">
        <f t="shared" si="53"/>
        <v>0</v>
      </c>
      <c r="W168" s="998"/>
      <c r="X168" s="2984">
        <f t="shared" si="54"/>
        <v>0</v>
      </c>
      <c r="Y168" s="298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4">
        <f t="shared" si="52"/>
        <v>0</v>
      </c>
      <c r="V169" s="2984">
        <f t="shared" si="53"/>
        <v>0</v>
      </c>
      <c r="W169" s="998"/>
      <c r="X169" s="2984">
        <f t="shared" si="54"/>
        <v>0</v>
      </c>
      <c r="Y169" s="298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4">
        <f t="shared" si="52"/>
        <v>0</v>
      </c>
      <c r="V170" s="2984">
        <f t="shared" si="53"/>
        <v>0</v>
      </c>
      <c r="W170" s="998"/>
      <c r="X170" s="2984">
        <f t="shared" si="54"/>
        <v>0</v>
      </c>
      <c r="Y170" s="298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4">
        <f t="shared" si="52"/>
        <v>0</v>
      </c>
      <c r="V171" s="2984">
        <f t="shared" si="53"/>
        <v>0</v>
      </c>
      <c r="W171" s="998"/>
      <c r="X171" s="2984">
        <f t="shared" si="54"/>
        <v>0</v>
      </c>
      <c r="Y171" s="298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4">
        <f t="shared" si="52"/>
        <v>0</v>
      </c>
      <c r="V172" s="2984">
        <f t="shared" si="53"/>
        <v>0</v>
      </c>
      <c r="W172" s="998"/>
      <c r="X172" s="2984">
        <f t="shared" si="54"/>
        <v>0</v>
      </c>
      <c r="Y172" s="298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4">
        <f t="shared" si="52"/>
        <v>0</v>
      </c>
      <c r="V173" s="2984">
        <f t="shared" si="53"/>
        <v>0</v>
      </c>
      <c r="W173" s="998"/>
      <c r="X173" s="2984">
        <f t="shared" si="54"/>
        <v>0</v>
      </c>
      <c r="Y173" s="298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4">
        <f t="shared" si="52"/>
        <v>0</v>
      </c>
      <c r="V174" s="2984">
        <f t="shared" si="53"/>
        <v>0</v>
      </c>
      <c r="W174" s="998"/>
      <c r="X174" s="2984">
        <f t="shared" si="54"/>
        <v>0</v>
      </c>
      <c r="Y174" s="298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4">
        <f t="shared" si="52"/>
        <v>0</v>
      </c>
      <c r="V175" s="2984">
        <f t="shared" si="53"/>
        <v>0</v>
      </c>
      <c r="W175" s="998"/>
      <c r="X175" s="2984">
        <f t="shared" si="54"/>
        <v>0</v>
      </c>
      <c r="Y175" s="298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4">
        <f t="shared" si="52"/>
        <v>0</v>
      </c>
      <c r="V176" s="2984">
        <f t="shared" si="53"/>
        <v>0</v>
      </c>
      <c r="W176" s="998"/>
      <c r="X176" s="2984">
        <f t="shared" si="54"/>
        <v>0</v>
      </c>
      <c r="Y176" s="298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4">
        <f t="shared" si="52"/>
        <v>0</v>
      </c>
      <c r="V177" s="2984">
        <f t="shared" si="53"/>
        <v>0</v>
      </c>
      <c r="W177" s="998"/>
      <c r="X177" s="2984">
        <f t="shared" si="54"/>
        <v>0</v>
      </c>
      <c r="Y177" s="298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4">
        <f t="shared" si="52"/>
        <v>0</v>
      </c>
      <c r="V178" s="2984">
        <f t="shared" si="53"/>
        <v>0</v>
      </c>
      <c r="W178" s="998"/>
      <c r="X178" s="2984">
        <f t="shared" si="54"/>
        <v>0</v>
      </c>
      <c r="Y178" s="298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4">
        <f t="shared" si="52"/>
        <v>0</v>
      </c>
      <c r="V179" s="2984">
        <f t="shared" si="53"/>
        <v>0</v>
      </c>
      <c r="W179" s="998"/>
      <c r="X179" s="2984">
        <f t="shared" si="54"/>
        <v>0</v>
      </c>
      <c r="Y179" s="298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4">
        <f t="shared" si="52"/>
        <v>0</v>
      </c>
      <c r="V180" s="2984">
        <f t="shared" si="53"/>
        <v>0</v>
      </c>
      <c r="W180" s="998"/>
      <c r="X180" s="2984">
        <f t="shared" si="54"/>
        <v>0</v>
      </c>
      <c r="Y180" s="298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4">
        <f t="shared" si="52"/>
        <v>0</v>
      </c>
      <c r="V181" s="2984">
        <f t="shared" si="53"/>
        <v>0</v>
      </c>
      <c r="W181" s="998"/>
      <c r="X181" s="2984">
        <f t="shared" si="54"/>
        <v>0</v>
      </c>
      <c r="Y181" s="298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4">
        <f t="shared" si="52"/>
        <v>0</v>
      </c>
      <c r="V182" s="2984">
        <f t="shared" si="53"/>
        <v>0</v>
      </c>
      <c r="W182" s="998"/>
      <c r="X182" s="2984">
        <f t="shared" si="54"/>
        <v>0</v>
      </c>
      <c r="Y182" s="298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4">
        <f t="shared" si="52"/>
        <v>0</v>
      </c>
      <c r="V183" s="2984">
        <f t="shared" si="53"/>
        <v>0</v>
      </c>
      <c r="W183" s="998"/>
      <c r="X183" s="2984">
        <f t="shared" si="54"/>
        <v>0</v>
      </c>
      <c r="Y183" s="298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4">
        <f t="shared" si="52"/>
        <v>0</v>
      </c>
      <c r="V184" s="2984">
        <f t="shared" si="53"/>
        <v>0</v>
      </c>
      <c r="W184" s="998"/>
      <c r="X184" s="2984">
        <f t="shared" si="54"/>
        <v>0</v>
      </c>
      <c r="Y184" s="298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4">
        <f t="shared" si="52"/>
        <v>0</v>
      </c>
      <c r="V185" s="2984">
        <f t="shared" si="53"/>
        <v>0</v>
      </c>
      <c r="W185" s="998"/>
      <c r="X185" s="2984">
        <f t="shared" si="54"/>
        <v>0</v>
      </c>
      <c r="Y185" s="298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4">
        <f t="shared" si="52"/>
        <v>0</v>
      </c>
      <c r="V186" s="2984">
        <f t="shared" si="53"/>
        <v>0</v>
      </c>
      <c r="W186" s="998"/>
      <c r="X186" s="2984">
        <f t="shared" si="54"/>
        <v>0</v>
      </c>
      <c r="Y186" s="298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4">
        <f t="shared" si="52"/>
        <v>0</v>
      </c>
      <c r="V187" s="2984">
        <f t="shared" si="53"/>
        <v>0</v>
      </c>
      <c r="W187" s="998"/>
      <c r="X187" s="2984">
        <f t="shared" si="54"/>
        <v>0</v>
      </c>
      <c r="Y187" s="298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4">
        <f t="shared" si="52"/>
        <v>0</v>
      </c>
      <c r="V188" s="2984">
        <f t="shared" si="53"/>
        <v>0</v>
      </c>
      <c r="W188" s="998"/>
      <c r="X188" s="2984">
        <f t="shared" si="54"/>
        <v>0</v>
      </c>
      <c r="Y188" s="298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4">
        <f t="shared" si="52"/>
        <v>0</v>
      </c>
      <c r="V189" s="2984">
        <f t="shared" si="53"/>
        <v>0</v>
      </c>
      <c r="W189" s="998"/>
      <c r="X189" s="2984">
        <f t="shared" si="54"/>
        <v>0</v>
      </c>
      <c r="Y189" s="298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4">
        <f t="shared" si="52"/>
        <v>0</v>
      </c>
      <c r="V190" s="2984">
        <f t="shared" si="53"/>
        <v>0</v>
      </c>
      <c r="W190" s="998"/>
      <c r="X190" s="2984">
        <f t="shared" si="54"/>
        <v>0</v>
      </c>
      <c r="Y190" s="298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4">
        <f t="shared" si="52"/>
        <v>0</v>
      </c>
      <c r="V191" s="2984">
        <f t="shared" si="53"/>
        <v>0</v>
      </c>
      <c r="W191" s="998"/>
      <c r="X191" s="2984">
        <f t="shared" si="54"/>
        <v>0</v>
      </c>
      <c r="Y191" s="298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4">
        <f t="shared" si="52"/>
        <v>0</v>
      </c>
      <c r="V192" s="2984">
        <f t="shared" si="53"/>
        <v>0</v>
      </c>
      <c r="W192" s="998"/>
      <c r="X192" s="2984">
        <f t="shared" si="54"/>
        <v>0</v>
      </c>
      <c r="Y192" s="298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4">
        <f t="shared" si="52"/>
        <v>0</v>
      </c>
      <c r="V193" s="2984">
        <f t="shared" si="53"/>
        <v>0</v>
      </c>
      <c r="W193" s="998"/>
      <c r="X193" s="2984">
        <f t="shared" si="54"/>
        <v>0</v>
      </c>
      <c r="Y193" s="298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4">
        <f t="shared" si="52"/>
        <v>0</v>
      </c>
      <c r="V194" s="2984">
        <f t="shared" si="53"/>
        <v>0</v>
      </c>
      <c r="W194" s="998"/>
      <c r="X194" s="2984">
        <f t="shared" si="54"/>
        <v>0</v>
      </c>
      <c r="Y194" s="298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4">
        <f t="shared" si="52"/>
        <v>0</v>
      </c>
      <c r="V195" s="2984">
        <f t="shared" si="53"/>
        <v>0</v>
      </c>
      <c r="W195" s="998"/>
      <c r="X195" s="2984">
        <f t="shared" si="54"/>
        <v>0</v>
      </c>
      <c r="Y195" s="298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4">
        <f t="shared" si="52"/>
        <v>0</v>
      </c>
      <c r="V196" s="2984">
        <f t="shared" si="53"/>
        <v>0</v>
      </c>
      <c r="W196" s="998"/>
      <c r="X196" s="2984">
        <f t="shared" si="54"/>
        <v>0</v>
      </c>
      <c r="Y196" s="298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4">
        <f t="shared" si="52"/>
        <v>0</v>
      </c>
      <c r="V197" s="2984">
        <f t="shared" si="53"/>
        <v>0</v>
      </c>
      <c r="W197" s="998"/>
      <c r="X197" s="2984">
        <f t="shared" si="54"/>
        <v>0</v>
      </c>
      <c r="Y197" s="298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4">
        <f t="shared" si="52"/>
        <v>0</v>
      </c>
      <c r="V198" s="2984">
        <f t="shared" si="53"/>
        <v>0</v>
      </c>
      <c r="W198" s="998"/>
      <c r="X198" s="2984">
        <f t="shared" si="54"/>
        <v>0</v>
      </c>
      <c r="Y198" s="298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4">
        <f t="shared" si="52"/>
        <v>0</v>
      </c>
      <c r="V199" s="2984">
        <f t="shared" si="53"/>
        <v>0</v>
      </c>
      <c r="W199" s="998"/>
      <c r="X199" s="2984">
        <f t="shared" si="54"/>
        <v>0</v>
      </c>
      <c r="Y199" s="298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4">
        <f t="shared" si="52"/>
        <v>0</v>
      </c>
      <c r="V200" s="2984">
        <f t="shared" si="53"/>
        <v>0</v>
      </c>
      <c r="W200" s="998"/>
      <c r="X200" s="2984">
        <f t="shared" si="54"/>
        <v>0</v>
      </c>
      <c r="Y200" s="298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4">
        <f t="shared" si="52"/>
        <v>0</v>
      </c>
      <c r="V201" s="2984">
        <f t="shared" si="53"/>
        <v>0</v>
      </c>
      <c r="W201" s="998"/>
      <c r="X201" s="2984">
        <f t="shared" si="54"/>
        <v>0</v>
      </c>
      <c r="Y201" s="298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4">
        <f t="shared" si="52"/>
        <v>0</v>
      </c>
      <c r="V202" s="2984">
        <f t="shared" si="53"/>
        <v>0</v>
      </c>
      <c r="W202" s="998"/>
      <c r="X202" s="2984">
        <f t="shared" si="54"/>
        <v>0</v>
      </c>
      <c r="Y202" s="298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4">
        <f t="shared" si="52"/>
        <v>0</v>
      </c>
      <c r="V203" s="2984">
        <f t="shared" si="53"/>
        <v>0</v>
      </c>
      <c r="W203" s="998"/>
      <c r="X203" s="2984">
        <f t="shared" si="54"/>
        <v>0</v>
      </c>
      <c r="Y203" s="298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4">
        <f t="shared" si="52"/>
        <v>0</v>
      </c>
      <c r="V204" s="2984">
        <f t="shared" si="53"/>
        <v>0</v>
      </c>
      <c r="W204" s="998"/>
      <c r="X204" s="2984">
        <f t="shared" si="54"/>
        <v>0</v>
      </c>
      <c r="Y204" s="298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4">
        <f t="shared" si="52"/>
        <v>0</v>
      </c>
      <c r="V205" s="2984">
        <f t="shared" si="53"/>
        <v>0</v>
      </c>
      <c r="W205" s="998"/>
      <c r="X205" s="2984">
        <f t="shared" si="54"/>
        <v>0</v>
      </c>
      <c r="Y205" s="298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4">
        <f t="shared" si="52"/>
        <v>0</v>
      </c>
      <c r="V206" s="2984">
        <f t="shared" si="53"/>
        <v>0</v>
      </c>
      <c r="W206" s="998"/>
      <c r="X206" s="2984">
        <f t="shared" si="54"/>
        <v>0</v>
      </c>
      <c r="Y206" s="298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4">
        <f t="shared" si="52"/>
        <v>0</v>
      </c>
      <c r="V207" s="2984">
        <f t="shared" si="53"/>
        <v>0</v>
      </c>
      <c r="W207" s="998"/>
      <c r="X207" s="2984">
        <f t="shared" si="54"/>
        <v>0</v>
      </c>
      <c r="Y207" s="298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4">
        <f t="shared" si="52"/>
        <v>0</v>
      </c>
      <c r="V208" s="2984">
        <f t="shared" si="53"/>
        <v>0</v>
      </c>
      <c r="W208" s="998"/>
      <c r="X208" s="2984">
        <f t="shared" si="54"/>
        <v>0</v>
      </c>
      <c r="Y208" s="298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4">
        <f t="shared" si="52"/>
        <v>0</v>
      </c>
      <c r="V209" s="2984">
        <f t="shared" si="53"/>
        <v>0</v>
      </c>
      <c r="W209" s="998"/>
      <c r="X209" s="2984">
        <f t="shared" si="54"/>
        <v>0</v>
      </c>
      <c r="Y209" s="298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4">
        <f t="shared" si="52"/>
        <v>0</v>
      </c>
      <c r="V210" s="2984">
        <f t="shared" si="53"/>
        <v>0</v>
      </c>
      <c r="W210" s="998"/>
      <c r="X210" s="2984">
        <f t="shared" si="54"/>
        <v>0</v>
      </c>
      <c r="Y210" s="298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4">
        <f t="shared" si="52"/>
        <v>0</v>
      </c>
      <c r="V211" s="2984">
        <f t="shared" si="53"/>
        <v>0</v>
      </c>
      <c r="W211" s="998"/>
      <c r="X211" s="2984">
        <f t="shared" si="54"/>
        <v>0</v>
      </c>
      <c r="Y211" s="298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4">
        <f t="shared" si="52"/>
        <v>0</v>
      </c>
      <c r="V212" s="2984">
        <f t="shared" si="53"/>
        <v>0</v>
      </c>
      <c r="W212" s="998"/>
      <c r="X212" s="2984">
        <f t="shared" si="54"/>
        <v>0</v>
      </c>
      <c r="Y212" s="298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4">
        <f t="shared" si="52"/>
        <v>0</v>
      </c>
      <c r="V213" s="2984">
        <f t="shared" si="53"/>
        <v>0</v>
      </c>
      <c r="W213" s="998"/>
      <c r="X213" s="2984">
        <f t="shared" si="54"/>
        <v>0</v>
      </c>
      <c r="Y213" s="298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4">
        <f t="shared" si="52"/>
        <v>0</v>
      </c>
      <c r="V214" s="2984">
        <f t="shared" si="53"/>
        <v>0</v>
      </c>
      <c r="W214" s="998"/>
      <c r="X214" s="2984">
        <f t="shared" si="54"/>
        <v>0</v>
      </c>
      <c r="Y214" s="298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4">
        <f t="shared" si="52"/>
        <v>0</v>
      </c>
      <c r="V215" s="2984">
        <f t="shared" si="53"/>
        <v>0</v>
      </c>
      <c r="W215" s="998"/>
      <c r="X215" s="2984">
        <f t="shared" si="54"/>
        <v>0</v>
      </c>
      <c r="Y215" s="298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4">
        <f t="shared" si="52"/>
        <v>0</v>
      </c>
      <c r="V216" s="2984">
        <f t="shared" si="53"/>
        <v>0</v>
      </c>
      <c r="W216" s="998"/>
      <c r="X216" s="2984">
        <f t="shared" si="54"/>
        <v>0</v>
      </c>
      <c r="Y216" s="298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4">
        <f t="shared" si="52"/>
        <v>0</v>
      </c>
      <c r="V217" s="2984">
        <f t="shared" si="53"/>
        <v>0</v>
      </c>
      <c r="W217" s="998"/>
      <c r="X217" s="2984">
        <f t="shared" si="54"/>
        <v>0</v>
      </c>
      <c r="Y217" s="298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4">
        <f t="shared" si="52"/>
        <v>0</v>
      </c>
      <c r="V218" s="2984">
        <f t="shared" si="53"/>
        <v>0</v>
      </c>
      <c r="W218" s="998"/>
      <c r="X218" s="2984">
        <f t="shared" si="54"/>
        <v>0</v>
      </c>
      <c r="Y218" s="298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4">
        <f t="shared" si="52"/>
        <v>0</v>
      </c>
      <c r="V219" s="2984">
        <f t="shared" si="53"/>
        <v>0</v>
      </c>
      <c r="W219" s="998"/>
      <c r="X219" s="2984">
        <f t="shared" si="54"/>
        <v>0</v>
      </c>
      <c r="Y219" s="298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4">
        <f t="shared" ref="U220:U283" si="67">ROUND(W220*B220,0)</f>
        <v>0</v>
      </c>
      <c r="V220" s="2984">
        <f t="shared" ref="V220:V283" si="68">ROUND(W220*B220/10000,0)</f>
        <v>0</v>
      </c>
      <c r="W220" s="998"/>
      <c r="X220" s="2984">
        <f t="shared" ref="X220:X283" si="69">ROUND(Z220*B220,0)</f>
        <v>0</v>
      </c>
      <c r="Y220" s="298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4">
        <f t="shared" si="67"/>
        <v>0</v>
      </c>
      <c r="V221" s="2984">
        <f t="shared" si="68"/>
        <v>0</v>
      </c>
      <c r="W221" s="998"/>
      <c r="X221" s="2984">
        <f t="shared" si="69"/>
        <v>0</v>
      </c>
      <c r="Y221" s="298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4">
        <f t="shared" si="67"/>
        <v>0</v>
      </c>
      <c r="V222" s="2984">
        <f t="shared" si="68"/>
        <v>0</v>
      </c>
      <c r="W222" s="998"/>
      <c r="X222" s="2984">
        <f t="shared" si="69"/>
        <v>0</v>
      </c>
      <c r="Y222" s="298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4">
        <f t="shared" si="67"/>
        <v>0</v>
      </c>
      <c r="V223" s="2984">
        <f t="shared" si="68"/>
        <v>0</v>
      </c>
      <c r="W223" s="998"/>
      <c r="X223" s="2984">
        <f t="shared" si="69"/>
        <v>0</v>
      </c>
      <c r="Y223" s="298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4">
        <f t="shared" si="67"/>
        <v>0</v>
      </c>
      <c r="V224" s="2984">
        <f t="shared" si="68"/>
        <v>0</v>
      </c>
      <c r="W224" s="998"/>
      <c r="X224" s="2984">
        <f t="shared" si="69"/>
        <v>0</v>
      </c>
      <c r="Y224" s="298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4">
        <f t="shared" si="67"/>
        <v>0</v>
      </c>
      <c r="V225" s="2984">
        <f t="shared" si="68"/>
        <v>0</v>
      </c>
      <c r="W225" s="998"/>
      <c r="X225" s="2984">
        <f t="shared" si="69"/>
        <v>0</v>
      </c>
      <c r="Y225" s="298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4">
        <f t="shared" si="67"/>
        <v>0</v>
      </c>
      <c r="V226" s="2984">
        <f t="shared" si="68"/>
        <v>0</v>
      </c>
      <c r="W226" s="998"/>
      <c r="X226" s="2984">
        <f t="shared" si="69"/>
        <v>0</v>
      </c>
      <c r="Y226" s="298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4">
        <f t="shared" si="67"/>
        <v>0</v>
      </c>
      <c r="V227" s="2984">
        <f t="shared" si="68"/>
        <v>0</v>
      </c>
      <c r="W227" s="998"/>
      <c r="X227" s="2984">
        <f t="shared" si="69"/>
        <v>0</v>
      </c>
      <c r="Y227" s="298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4">
        <f t="shared" si="67"/>
        <v>0</v>
      </c>
      <c r="V228" s="2984">
        <f t="shared" si="68"/>
        <v>0</v>
      </c>
      <c r="W228" s="998"/>
      <c r="X228" s="2984">
        <f t="shared" si="69"/>
        <v>0</v>
      </c>
      <c r="Y228" s="298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4">
        <f t="shared" si="67"/>
        <v>0</v>
      </c>
      <c r="V229" s="2984">
        <f t="shared" si="68"/>
        <v>0</v>
      </c>
      <c r="W229" s="998"/>
      <c r="X229" s="2984">
        <f t="shared" si="69"/>
        <v>0</v>
      </c>
      <c r="Y229" s="298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4">
        <f t="shared" si="67"/>
        <v>0</v>
      </c>
      <c r="V230" s="2984">
        <f t="shared" si="68"/>
        <v>0</v>
      </c>
      <c r="W230" s="998"/>
      <c r="X230" s="2984">
        <f t="shared" si="69"/>
        <v>0</v>
      </c>
      <c r="Y230" s="298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4">
        <f t="shared" si="67"/>
        <v>0</v>
      </c>
      <c r="V231" s="2984">
        <f t="shared" si="68"/>
        <v>0</v>
      </c>
      <c r="W231" s="998"/>
      <c r="X231" s="2984">
        <f t="shared" si="69"/>
        <v>0</v>
      </c>
      <c r="Y231" s="298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4">
        <f t="shared" si="67"/>
        <v>0</v>
      </c>
      <c r="V232" s="2984">
        <f t="shared" si="68"/>
        <v>0</v>
      </c>
      <c r="W232" s="998"/>
      <c r="X232" s="2984">
        <f t="shared" si="69"/>
        <v>0</v>
      </c>
      <c r="Y232" s="298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4">
        <f t="shared" si="67"/>
        <v>0</v>
      </c>
      <c r="V233" s="2984">
        <f t="shared" si="68"/>
        <v>0</v>
      </c>
      <c r="W233" s="998"/>
      <c r="X233" s="2984">
        <f t="shared" si="69"/>
        <v>0</v>
      </c>
      <c r="Y233" s="298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4">
        <f t="shared" si="67"/>
        <v>0</v>
      </c>
      <c r="V234" s="2984">
        <f t="shared" si="68"/>
        <v>0</v>
      </c>
      <c r="W234" s="998"/>
      <c r="X234" s="2984">
        <f t="shared" si="69"/>
        <v>0</v>
      </c>
      <c r="Y234" s="298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4">
        <f t="shared" si="67"/>
        <v>0</v>
      </c>
      <c r="V235" s="2984">
        <f t="shared" si="68"/>
        <v>0</v>
      </c>
      <c r="W235" s="998"/>
      <c r="X235" s="2984">
        <f t="shared" si="69"/>
        <v>0</v>
      </c>
      <c r="Y235" s="298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4">
        <f t="shared" si="67"/>
        <v>0</v>
      </c>
      <c r="V236" s="2984">
        <f t="shared" si="68"/>
        <v>0</v>
      </c>
      <c r="W236" s="998"/>
      <c r="X236" s="2984">
        <f t="shared" si="69"/>
        <v>0</v>
      </c>
      <c r="Y236" s="298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4">
        <f t="shared" si="67"/>
        <v>0</v>
      </c>
      <c r="V237" s="2984">
        <f t="shared" si="68"/>
        <v>0</v>
      </c>
      <c r="W237" s="998"/>
      <c r="X237" s="2984">
        <f t="shared" si="69"/>
        <v>0</v>
      </c>
      <c r="Y237" s="298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4">
        <f t="shared" si="67"/>
        <v>0</v>
      </c>
      <c r="V238" s="2984">
        <f t="shared" si="68"/>
        <v>0</v>
      </c>
      <c r="W238" s="998"/>
      <c r="X238" s="2984">
        <f t="shared" si="69"/>
        <v>0</v>
      </c>
      <c r="Y238" s="298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4">
        <f t="shared" si="67"/>
        <v>0</v>
      </c>
      <c r="V239" s="2984">
        <f t="shared" si="68"/>
        <v>0</v>
      </c>
      <c r="W239" s="998"/>
      <c r="X239" s="2984">
        <f t="shared" si="69"/>
        <v>0</v>
      </c>
      <c r="Y239" s="298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4">
        <f t="shared" si="67"/>
        <v>0</v>
      </c>
      <c r="V240" s="2984">
        <f t="shared" si="68"/>
        <v>0</v>
      </c>
      <c r="W240" s="998"/>
      <c r="X240" s="2984">
        <f t="shared" si="69"/>
        <v>0</v>
      </c>
      <c r="Y240" s="298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4">
        <f t="shared" si="67"/>
        <v>0</v>
      </c>
      <c r="V241" s="2984">
        <f t="shared" si="68"/>
        <v>0</v>
      </c>
      <c r="W241" s="998"/>
      <c r="X241" s="2984">
        <f t="shared" si="69"/>
        <v>0</v>
      </c>
      <c r="Y241" s="298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4">
        <f t="shared" si="67"/>
        <v>0</v>
      </c>
      <c r="V242" s="2984">
        <f t="shared" si="68"/>
        <v>0</v>
      </c>
      <c r="W242" s="998"/>
      <c r="X242" s="2984">
        <f t="shared" si="69"/>
        <v>0</v>
      </c>
      <c r="Y242" s="298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4">
        <f t="shared" si="67"/>
        <v>0</v>
      </c>
      <c r="V243" s="2984">
        <f t="shared" si="68"/>
        <v>0</v>
      </c>
      <c r="W243" s="998"/>
      <c r="X243" s="2984">
        <f t="shared" si="69"/>
        <v>0</v>
      </c>
      <c r="Y243" s="298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4">
        <f t="shared" si="67"/>
        <v>0</v>
      </c>
      <c r="V244" s="2984">
        <f t="shared" si="68"/>
        <v>0</v>
      </c>
      <c r="W244" s="998"/>
      <c r="X244" s="2984">
        <f t="shared" si="69"/>
        <v>0</v>
      </c>
      <c r="Y244" s="298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4">
        <f t="shared" si="67"/>
        <v>0</v>
      </c>
      <c r="V245" s="2984">
        <f t="shared" si="68"/>
        <v>0</v>
      </c>
      <c r="W245" s="998"/>
      <c r="X245" s="2984">
        <f t="shared" si="69"/>
        <v>0</v>
      </c>
      <c r="Y245" s="298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4">
        <f t="shared" si="67"/>
        <v>0</v>
      </c>
      <c r="V246" s="2984">
        <f t="shared" si="68"/>
        <v>0</v>
      </c>
      <c r="W246" s="998"/>
      <c r="X246" s="2984">
        <f t="shared" si="69"/>
        <v>0</v>
      </c>
      <c r="Y246" s="298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4">
        <f t="shared" si="67"/>
        <v>0</v>
      </c>
      <c r="V247" s="2984">
        <f t="shared" si="68"/>
        <v>0</v>
      </c>
      <c r="W247" s="998"/>
      <c r="X247" s="2984">
        <f t="shared" si="69"/>
        <v>0</v>
      </c>
      <c r="Y247" s="298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4">
        <f t="shared" si="67"/>
        <v>0</v>
      </c>
      <c r="V248" s="2984">
        <f t="shared" si="68"/>
        <v>0</v>
      </c>
      <c r="W248" s="998"/>
      <c r="X248" s="2984">
        <f t="shared" si="69"/>
        <v>0</v>
      </c>
      <c r="Y248" s="298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4">
        <f t="shared" si="67"/>
        <v>0</v>
      </c>
      <c r="V249" s="2984">
        <f t="shared" si="68"/>
        <v>0</v>
      </c>
      <c r="W249" s="998"/>
      <c r="X249" s="2984">
        <f t="shared" si="69"/>
        <v>0</v>
      </c>
      <c r="Y249" s="298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4">
        <f t="shared" si="67"/>
        <v>0</v>
      </c>
      <c r="V250" s="2984">
        <f t="shared" si="68"/>
        <v>0</v>
      </c>
      <c r="W250" s="998"/>
      <c r="X250" s="2984">
        <f t="shared" si="69"/>
        <v>0</v>
      </c>
      <c r="Y250" s="298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4">
        <f t="shared" si="67"/>
        <v>0</v>
      </c>
      <c r="V251" s="2984">
        <f t="shared" si="68"/>
        <v>0</v>
      </c>
      <c r="W251" s="998"/>
      <c r="X251" s="2984">
        <f t="shared" si="69"/>
        <v>0</v>
      </c>
      <c r="Y251" s="298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4">
        <f t="shared" si="67"/>
        <v>0</v>
      </c>
      <c r="V252" s="2984">
        <f t="shared" si="68"/>
        <v>0</v>
      </c>
      <c r="W252" s="998"/>
      <c r="X252" s="2984">
        <f t="shared" si="69"/>
        <v>0</v>
      </c>
      <c r="Y252" s="298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4">
        <f t="shared" si="67"/>
        <v>0</v>
      </c>
      <c r="V253" s="2984">
        <f t="shared" si="68"/>
        <v>0</v>
      </c>
      <c r="W253" s="998"/>
      <c r="X253" s="2984">
        <f t="shared" si="69"/>
        <v>0</v>
      </c>
      <c r="Y253" s="298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4">
        <f t="shared" si="67"/>
        <v>0</v>
      </c>
      <c r="V254" s="2984">
        <f t="shared" si="68"/>
        <v>0</v>
      </c>
      <c r="W254" s="998"/>
      <c r="X254" s="2984">
        <f t="shared" si="69"/>
        <v>0</v>
      </c>
      <c r="Y254" s="298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4">
        <f t="shared" si="67"/>
        <v>0</v>
      </c>
      <c r="V255" s="2984">
        <f t="shared" si="68"/>
        <v>0</v>
      </c>
      <c r="W255" s="998"/>
      <c r="X255" s="2984">
        <f t="shared" si="69"/>
        <v>0</v>
      </c>
      <c r="Y255" s="298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4">
        <f t="shared" si="67"/>
        <v>0</v>
      </c>
      <c r="V256" s="2984">
        <f t="shared" si="68"/>
        <v>0</v>
      </c>
      <c r="W256" s="998"/>
      <c r="X256" s="2984">
        <f t="shared" si="69"/>
        <v>0</v>
      </c>
      <c r="Y256" s="298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4">
        <f t="shared" si="67"/>
        <v>0</v>
      </c>
      <c r="V257" s="2984">
        <f t="shared" si="68"/>
        <v>0</v>
      </c>
      <c r="W257" s="998"/>
      <c r="X257" s="2984">
        <f t="shared" si="69"/>
        <v>0</v>
      </c>
      <c r="Y257" s="298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4">
        <f t="shared" si="67"/>
        <v>0</v>
      </c>
      <c r="V258" s="2984">
        <f t="shared" si="68"/>
        <v>0</v>
      </c>
      <c r="W258" s="998"/>
      <c r="X258" s="2984">
        <f t="shared" si="69"/>
        <v>0</v>
      </c>
      <c r="Y258" s="298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4">
        <f t="shared" si="67"/>
        <v>0</v>
      </c>
      <c r="V259" s="2984">
        <f t="shared" si="68"/>
        <v>0</v>
      </c>
      <c r="W259" s="998"/>
      <c r="X259" s="2984">
        <f t="shared" si="69"/>
        <v>0</v>
      </c>
      <c r="Y259" s="298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4">
        <f t="shared" si="67"/>
        <v>0</v>
      </c>
      <c r="V260" s="2984">
        <f t="shared" si="68"/>
        <v>0</v>
      </c>
      <c r="W260" s="998"/>
      <c r="X260" s="2984">
        <f t="shared" si="69"/>
        <v>0</v>
      </c>
      <c r="Y260" s="298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4">
        <f t="shared" si="67"/>
        <v>0</v>
      </c>
      <c r="V261" s="2984">
        <f t="shared" si="68"/>
        <v>0</v>
      </c>
      <c r="W261" s="998"/>
      <c r="X261" s="2984">
        <f t="shared" si="69"/>
        <v>0</v>
      </c>
      <c r="Y261" s="298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4">
        <f t="shared" si="67"/>
        <v>0</v>
      </c>
      <c r="V262" s="2984">
        <f t="shared" si="68"/>
        <v>0</v>
      </c>
      <c r="W262" s="998"/>
      <c r="X262" s="2984">
        <f t="shared" si="69"/>
        <v>0</v>
      </c>
      <c r="Y262" s="298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4">
        <f t="shared" si="67"/>
        <v>0</v>
      </c>
      <c r="V263" s="2984">
        <f t="shared" si="68"/>
        <v>0</v>
      </c>
      <c r="W263" s="998"/>
      <c r="X263" s="2984">
        <f t="shared" si="69"/>
        <v>0</v>
      </c>
      <c r="Y263" s="298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4">
        <f t="shared" si="67"/>
        <v>0</v>
      </c>
      <c r="V264" s="2984">
        <f t="shared" si="68"/>
        <v>0</v>
      </c>
      <c r="W264" s="998"/>
      <c r="X264" s="2984">
        <f t="shared" si="69"/>
        <v>0</v>
      </c>
      <c r="Y264" s="298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4">
        <f t="shared" si="67"/>
        <v>0</v>
      </c>
      <c r="V265" s="2984">
        <f t="shared" si="68"/>
        <v>0</v>
      </c>
      <c r="W265" s="998"/>
      <c r="X265" s="2984">
        <f t="shared" si="69"/>
        <v>0</v>
      </c>
      <c r="Y265" s="298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4">
        <f t="shared" si="67"/>
        <v>0</v>
      </c>
      <c r="V266" s="2984">
        <f t="shared" si="68"/>
        <v>0</v>
      </c>
      <c r="W266" s="998"/>
      <c r="X266" s="2984">
        <f t="shared" si="69"/>
        <v>0</v>
      </c>
      <c r="Y266" s="298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4">
        <f t="shared" si="67"/>
        <v>0</v>
      </c>
      <c r="V267" s="2984">
        <f t="shared" si="68"/>
        <v>0</v>
      </c>
      <c r="W267" s="998"/>
      <c r="X267" s="2984">
        <f t="shared" si="69"/>
        <v>0</v>
      </c>
      <c r="Y267" s="298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4">
        <f t="shared" si="67"/>
        <v>0</v>
      </c>
      <c r="V268" s="2984">
        <f t="shared" si="68"/>
        <v>0</v>
      </c>
      <c r="W268" s="998"/>
      <c r="X268" s="2984">
        <f t="shared" si="69"/>
        <v>0</v>
      </c>
      <c r="Y268" s="298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4">
        <f t="shared" si="67"/>
        <v>0</v>
      </c>
      <c r="V269" s="2984">
        <f t="shared" si="68"/>
        <v>0</v>
      </c>
      <c r="W269" s="998"/>
      <c r="X269" s="2984">
        <f t="shared" si="69"/>
        <v>0</v>
      </c>
      <c r="Y269" s="298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4">
        <f t="shared" si="67"/>
        <v>0</v>
      </c>
      <c r="V270" s="2984">
        <f t="shared" si="68"/>
        <v>0</v>
      </c>
      <c r="W270" s="998"/>
      <c r="X270" s="2984">
        <f t="shared" si="69"/>
        <v>0</v>
      </c>
      <c r="Y270" s="298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4">
        <f t="shared" si="67"/>
        <v>0</v>
      </c>
      <c r="V271" s="2984">
        <f t="shared" si="68"/>
        <v>0</v>
      </c>
      <c r="W271" s="998"/>
      <c r="X271" s="2984">
        <f t="shared" si="69"/>
        <v>0</v>
      </c>
      <c r="Y271" s="298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4">
        <f t="shared" si="67"/>
        <v>0</v>
      </c>
      <c r="V272" s="2984">
        <f t="shared" si="68"/>
        <v>0</v>
      </c>
      <c r="W272" s="998"/>
      <c r="X272" s="2984">
        <f t="shared" si="69"/>
        <v>0</v>
      </c>
      <c r="Y272" s="298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4">
        <f t="shared" si="67"/>
        <v>0</v>
      </c>
      <c r="V273" s="2984">
        <f t="shared" si="68"/>
        <v>0</v>
      </c>
      <c r="W273" s="998"/>
      <c r="X273" s="2984">
        <f t="shared" si="69"/>
        <v>0</v>
      </c>
      <c r="Y273" s="298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4">
        <f t="shared" si="67"/>
        <v>0</v>
      </c>
      <c r="V274" s="2984">
        <f t="shared" si="68"/>
        <v>0</v>
      </c>
      <c r="W274" s="998"/>
      <c r="X274" s="2984">
        <f t="shared" si="69"/>
        <v>0</v>
      </c>
      <c r="Y274" s="298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4">
        <f t="shared" si="67"/>
        <v>0</v>
      </c>
      <c r="V275" s="2984">
        <f t="shared" si="68"/>
        <v>0</v>
      </c>
      <c r="W275" s="998"/>
      <c r="X275" s="2984">
        <f t="shared" si="69"/>
        <v>0</v>
      </c>
      <c r="Y275" s="298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4">
        <f t="shared" si="67"/>
        <v>0</v>
      </c>
      <c r="V276" s="2984">
        <f t="shared" si="68"/>
        <v>0</v>
      </c>
      <c r="W276" s="998"/>
      <c r="X276" s="2984">
        <f t="shared" si="69"/>
        <v>0</v>
      </c>
      <c r="Y276" s="298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4">
        <f t="shared" si="67"/>
        <v>0</v>
      </c>
      <c r="V277" s="2984">
        <f t="shared" si="68"/>
        <v>0</v>
      </c>
      <c r="W277" s="998"/>
      <c r="X277" s="2984">
        <f t="shared" si="69"/>
        <v>0</v>
      </c>
      <c r="Y277" s="298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4">
        <f t="shared" si="67"/>
        <v>0</v>
      </c>
      <c r="V278" s="2984">
        <f t="shared" si="68"/>
        <v>0</v>
      </c>
      <c r="W278" s="998"/>
      <c r="X278" s="2984">
        <f t="shared" si="69"/>
        <v>0</v>
      </c>
      <c r="Y278" s="298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4">
        <f t="shared" si="67"/>
        <v>0</v>
      </c>
      <c r="V279" s="2984">
        <f t="shared" si="68"/>
        <v>0</v>
      </c>
      <c r="W279" s="998"/>
      <c r="X279" s="2984">
        <f t="shared" si="69"/>
        <v>0</v>
      </c>
      <c r="Y279" s="298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4">
        <f t="shared" si="67"/>
        <v>0</v>
      </c>
      <c r="V280" s="2984">
        <f t="shared" si="68"/>
        <v>0</v>
      </c>
      <c r="W280" s="998"/>
      <c r="X280" s="2984">
        <f t="shared" si="69"/>
        <v>0</v>
      </c>
      <c r="Y280" s="298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4">
        <f t="shared" si="67"/>
        <v>0</v>
      </c>
      <c r="V281" s="2984">
        <f t="shared" si="68"/>
        <v>0</v>
      </c>
      <c r="W281" s="998"/>
      <c r="X281" s="2984">
        <f t="shared" si="69"/>
        <v>0</v>
      </c>
      <c r="Y281" s="298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4">
        <f t="shared" si="67"/>
        <v>0</v>
      </c>
      <c r="V282" s="2984">
        <f t="shared" si="68"/>
        <v>0</v>
      </c>
      <c r="W282" s="998"/>
      <c r="X282" s="2984">
        <f t="shared" si="69"/>
        <v>0</v>
      </c>
      <c r="Y282" s="298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4">
        <f t="shared" si="67"/>
        <v>0</v>
      </c>
      <c r="V283" s="2984">
        <f t="shared" si="68"/>
        <v>0</v>
      </c>
      <c r="W283" s="998"/>
      <c r="X283" s="2984">
        <f t="shared" si="69"/>
        <v>0</v>
      </c>
      <c r="Y283" s="298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4">
        <f t="shared" ref="U284:U347" si="82">ROUND(W284*B284,0)</f>
        <v>0</v>
      </c>
      <c r="V284" s="2984">
        <f t="shared" ref="V284:V347" si="83">ROUND(W284*B284/10000,0)</f>
        <v>0</v>
      </c>
      <c r="W284" s="998"/>
      <c r="X284" s="2984">
        <f t="shared" ref="X284:X347" si="84">ROUND(Z284*B284,0)</f>
        <v>0</v>
      </c>
      <c r="Y284" s="298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4">
        <f t="shared" si="82"/>
        <v>0</v>
      </c>
      <c r="V285" s="2984">
        <f t="shared" si="83"/>
        <v>0</v>
      </c>
      <c r="W285" s="998"/>
      <c r="X285" s="2984">
        <f t="shared" si="84"/>
        <v>0</v>
      </c>
      <c r="Y285" s="298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4">
        <f t="shared" si="82"/>
        <v>0</v>
      </c>
      <c r="V286" s="2984">
        <f t="shared" si="83"/>
        <v>0</v>
      </c>
      <c r="W286" s="998"/>
      <c r="X286" s="2984">
        <f t="shared" si="84"/>
        <v>0</v>
      </c>
      <c r="Y286" s="298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4">
        <f t="shared" si="82"/>
        <v>0</v>
      </c>
      <c r="V287" s="2984">
        <f t="shared" si="83"/>
        <v>0</v>
      </c>
      <c r="W287" s="998"/>
      <c r="X287" s="2984">
        <f t="shared" si="84"/>
        <v>0</v>
      </c>
      <c r="Y287" s="298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4">
        <f t="shared" si="82"/>
        <v>0</v>
      </c>
      <c r="V288" s="2984">
        <f t="shared" si="83"/>
        <v>0</v>
      </c>
      <c r="W288" s="998"/>
      <c r="X288" s="2984">
        <f t="shared" si="84"/>
        <v>0</v>
      </c>
      <c r="Y288" s="298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4">
        <f t="shared" si="82"/>
        <v>0</v>
      </c>
      <c r="V289" s="2984">
        <f t="shared" si="83"/>
        <v>0</v>
      </c>
      <c r="W289" s="998"/>
      <c r="X289" s="2984">
        <f t="shared" si="84"/>
        <v>0</v>
      </c>
      <c r="Y289" s="298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4">
        <f t="shared" si="82"/>
        <v>0</v>
      </c>
      <c r="V290" s="2984">
        <f t="shared" si="83"/>
        <v>0</v>
      </c>
      <c r="W290" s="998"/>
      <c r="X290" s="2984">
        <f t="shared" si="84"/>
        <v>0</v>
      </c>
      <c r="Y290" s="298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4">
        <f t="shared" si="82"/>
        <v>0</v>
      </c>
      <c r="V291" s="2984">
        <f t="shared" si="83"/>
        <v>0</v>
      </c>
      <c r="W291" s="998"/>
      <c r="X291" s="2984">
        <f t="shared" si="84"/>
        <v>0</v>
      </c>
      <c r="Y291" s="298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4">
        <f t="shared" si="82"/>
        <v>0</v>
      </c>
      <c r="V292" s="2984">
        <f t="shared" si="83"/>
        <v>0</v>
      </c>
      <c r="W292" s="998"/>
      <c r="X292" s="2984">
        <f t="shared" si="84"/>
        <v>0</v>
      </c>
      <c r="Y292" s="298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4">
        <f t="shared" si="82"/>
        <v>0</v>
      </c>
      <c r="V293" s="2984">
        <f t="shared" si="83"/>
        <v>0</v>
      </c>
      <c r="W293" s="998"/>
      <c r="X293" s="2984">
        <f t="shared" si="84"/>
        <v>0</v>
      </c>
      <c r="Y293" s="298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4">
        <f t="shared" si="82"/>
        <v>0</v>
      </c>
      <c r="V294" s="2984">
        <f t="shared" si="83"/>
        <v>0</v>
      </c>
      <c r="W294" s="998"/>
      <c r="X294" s="2984">
        <f t="shared" si="84"/>
        <v>0</v>
      </c>
      <c r="Y294" s="298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4">
        <f t="shared" si="82"/>
        <v>0</v>
      </c>
      <c r="V295" s="2984">
        <f t="shared" si="83"/>
        <v>0</v>
      </c>
      <c r="W295" s="998"/>
      <c r="X295" s="2984">
        <f t="shared" si="84"/>
        <v>0</v>
      </c>
      <c r="Y295" s="298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4">
        <f t="shared" si="82"/>
        <v>0</v>
      </c>
      <c r="V296" s="2984">
        <f t="shared" si="83"/>
        <v>0</v>
      </c>
      <c r="W296" s="998"/>
      <c r="X296" s="2984">
        <f t="shared" si="84"/>
        <v>0</v>
      </c>
      <c r="Y296" s="298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4">
        <f t="shared" si="82"/>
        <v>0</v>
      </c>
      <c r="V297" s="2984">
        <f t="shared" si="83"/>
        <v>0</v>
      </c>
      <c r="W297" s="998"/>
      <c r="X297" s="2984">
        <f t="shared" si="84"/>
        <v>0</v>
      </c>
      <c r="Y297" s="298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4">
        <f t="shared" si="82"/>
        <v>0</v>
      </c>
      <c r="V298" s="2984">
        <f t="shared" si="83"/>
        <v>0</v>
      </c>
      <c r="W298" s="998"/>
      <c r="X298" s="2984">
        <f t="shared" si="84"/>
        <v>0</v>
      </c>
      <c r="Y298" s="298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4">
        <f t="shared" si="82"/>
        <v>0</v>
      </c>
      <c r="V299" s="2984">
        <f t="shared" si="83"/>
        <v>0</v>
      </c>
      <c r="W299" s="998"/>
      <c r="X299" s="2984">
        <f t="shared" si="84"/>
        <v>0</v>
      </c>
      <c r="Y299" s="298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4">
        <f t="shared" si="82"/>
        <v>0</v>
      </c>
      <c r="V300" s="2984">
        <f t="shared" si="83"/>
        <v>0</v>
      </c>
      <c r="W300" s="998"/>
      <c r="X300" s="2984">
        <f t="shared" si="84"/>
        <v>0</v>
      </c>
      <c r="Y300" s="298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4">
        <f t="shared" si="82"/>
        <v>0</v>
      </c>
      <c r="V301" s="2984">
        <f t="shared" si="83"/>
        <v>0</v>
      </c>
      <c r="W301" s="998"/>
      <c r="X301" s="2984">
        <f t="shared" si="84"/>
        <v>0</v>
      </c>
      <c r="Y301" s="298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4">
        <f t="shared" si="82"/>
        <v>0</v>
      </c>
      <c r="V302" s="2984">
        <f t="shared" si="83"/>
        <v>0</v>
      </c>
      <c r="W302" s="998"/>
      <c r="X302" s="2984">
        <f t="shared" si="84"/>
        <v>0</v>
      </c>
      <c r="Y302" s="298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4">
        <f t="shared" si="82"/>
        <v>0</v>
      </c>
      <c r="V303" s="2984">
        <f t="shared" si="83"/>
        <v>0</v>
      </c>
      <c r="W303" s="998"/>
      <c r="X303" s="2984">
        <f t="shared" si="84"/>
        <v>0</v>
      </c>
      <c r="Y303" s="298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4">
        <f t="shared" si="82"/>
        <v>0</v>
      </c>
      <c r="V304" s="2984">
        <f t="shared" si="83"/>
        <v>0</v>
      </c>
      <c r="W304" s="998"/>
      <c r="X304" s="2984">
        <f t="shared" si="84"/>
        <v>0</v>
      </c>
      <c r="Y304" s="298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4">
        <f t="shared" si="82"/>
        <v>0</v>
      </c>
      <c r="V305" s="2984">
        <f t="shared" si="83"/>
        <v>0</v>
      </c>
      <c r="W305" s="998"/>
      <c r="X305" s="2984">
        <f t="shared" si="84"/>
        <v>0</v>
      </c>
      <c r="Y305" s="298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4">
        <f t="shared" si="82"/>
        <v>0</v>
      </c>
      <c r="V306" s="2984">
        <f t="shared" si="83"/>
        <v>0</v>
      </c>
      <c r="W306" s="998"/>
      <c r="X306" s="2984">
        <f t="shared" si="84"/>
        <v>0</v>
      </c>
      <c r="Y306" s="298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4">
        <f t="shared" si="82"/>
        <v>0</v>
      </c>
      <c r="V307" s="2984">
        <f t="shared" si="83"/>
        <v>0</v>
      </c>
      <c r="W307" s="998"/>
      <c r="X307" s="2984">
        <f t="shared" si="84"/>
        <v>0</v>
      </c>
      <c r="Y307" s="298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4">
        <f t="shared" si="82"/>
        <v>0</v>
      </c>
      <c r="V308" s="2984">
        <f t="shared" si="83"/>
        <v>0</v>
      </c>
      <c r="W308" s="998"/>
      <c r="X308" s="2984">
        <f t="shared" si="84"/>
        <v>0</v>
      </c>
      <c r="Y308" s="298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4">
        <f t="shared" si="82"/>
        <v>0</v>
      </c>
      <c r="V309" s="2984">
        <f t="shared" si="83"/>
        <v>0</v>
      </c>
      <c r="W309" s="998"/>
      <c r="X309" s="2984">
        <f t="shared" si="84"/>
        <v>0</v>
      </c>
      <c r="Y309" s="298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4">
        <f t="shared" si="82"/>
        <v>0</v>
      </c>
      <c r="V310" s="2984">
        <f t="shared" si="83"/>
        <v>0</v>
      </c>
      <c r="W310" s="998"/>
      <c r="X310" s="2984">
        <f t="shared" si="84"/>
        <v>0</v>
      </c>
      <c r="Y310" s="298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4">
        <f t="shared" si="82"/>
        <v>0</v>
      </c>
      <c r="V311" s="2984">
        <f t="shared" si="83"/>
        <v>0</v>
      </c>
      <c r="W311" s="998"/>
      <c r="X311" s="2984">
        <f t="shared" si="84"/>
        <v>0</v>
      </c>
      <c r="Y311" s="298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4">
        <f t="shared" si="82"/>
        <v>0</v>
      </c>
      <c r="V312" s="2984">
        <f t="shared" si="83"/>
        <v>0</v>
      </c>
      <c r="W312" s="998"/>
      <c r="X312" s="2984">
        <f t="shared" si="84"/>
        <v>0</v>
      </c>
      <c r="Y312" s="298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4">
        <f t="shared" si="82"/>
        <v>0</v>
      </c>
      <c r="V313" s="2984">
        <f t="shared" si="83"/>
        <v>0</v>
      </c>
      <c r="W313" s="998"/>
      <c r="X313" s="2984">
        <f t="shared" si="84"/>
        <v>0</v>
      </c>
      <c r="Y313" s="298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4">
        <f t="shared" si="82"/>
        <v>0</v>
      </c>
      <c r="V314" s="2984">
        <f t="shared" si="83"/>
        <v>0</v>
      </c>
      <c r="W314" s="998"/>
      <c r="X314" s="2984">
        <f t="shared" si="84"/>
        <v>0</v>
      </c>
      <c r="Y314" s="298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4">
        <f t="shared" si="82"/>
        <v>0</v>
      </c>
      <c r="V315" s="2984">
        <f t="shared" si="83"/>
        <v>0</v>
      </c>
      <c r="W315" s="998"/>
      <c r="X315" s="2984">
        <f t="shared" si="84"/>
        <v>0</v>
      </c>
      <c r="Y315" s="298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4">
        <f t="shared" si="82"/>
        <v>0</v>
      </c>
      <c r="V316" s="2984">
        <f t="shared" si="83"/>
        <v>0</v>
      </c>
      <c r="W316" s="998"/>
      <c r="X316" s="2984">
        <f t="shared" si="84"/>
        <v>0</v>
      </c>
      <c r="Y316" s="298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4">
        <f t="shared" si="82"/>
        <v>0</v>
      </c>
      <c r="V317" s="2984">
        <f t="shared" si="83"/>
        <v>0</v>
      </c>
      <c r="W317" s="998"/>
      <c r="X317" s="2984">
        <f t="shared" si="84"/>
        <v>0</v>
      </c>
      <c r="Y317" s="298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4">
        <f t="shared" si="82"/>
        <v>0</v>
      </c>
      <c r="V318" s="2984">
        <f t="shared" si="83"/>
        <v>0</v>
      </c>
      <c r="W318" s="998"/>
      <c r="X318" s="2984">
        <f t="shared" si="84"/>
        <v>0</v>
      </c>
      <c r="Y318" s="298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4">
        <f t="shared" si="82"/>
        <v>0</v>
      </c>
      <c r="V319" s="2984">
        <f t="shared" si="83"/>
        <v>0</v>
      </c>
      <c r="W319" s="998"/>
      <c r="X319" s="2984">
        <f t="shared" si="84"/>
        <v>0</v>
      </c>
      <c r="Y319" s="298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4">
        <f t="shared" si="82"/>
        <v>0</v>
      </c>
      <c r="V320" s="2984">
        <f t="shared" si="83"/>
        <v>0</v>
      </c>
      <c r="W320" s="998"/>
      <c r="X320" s="2984">
        <f t="shared" si="84"/>
        <v>0</v>
      </c>
      <c r="Y320" s="298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4">
        <f t="shared" si="82"/>
        <v>0</v>
      </c>
      <c r="V321" s="2984">
        <f t="shared" si="83"/>
        <v>0</v>
      </c>
      <c r="W321" s="998"/>
      <c r="X321" s="2984">
        <f t="shared" si="84"/>
        <v>0</v>
      </c>
      <c r="Y321" s="298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4">
        <f t="shared" si="82"/>
        <v>0</v>
      </c>
      <c r="V322" s="2984">
        <f t="shared" si="83"/>
        <v>0</v>
      </c>
      <c r="W322" s="998"/>
      <c r="X322" s="2984">
        <f t="shared" si="84"/>
        <v>0</v>
      </c>
      <c r="Y322" s="298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4">
        <f t="shared" si="82"/>
        <v>0</v>
      </c>
      <c r="V323" s="2984">
        <f t="shared" si="83"/>
        <v>0</v>
      </c>
      <c r="W323" s="998"/>
      <c r="X323" s="2984">
        <f t="shared" si="84"/>
        <v>0</v>
      </c>
      <c r="Y323" s="298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4">
        <f t="shared" si="82"/>
        <v>0</v>
      </c>
      <c r="V324" s="2984">
        <f t="shared" si="83"/>
        <v>0</v>
      </c>
      <c r="W324" s="998"/>
      <c r="X324" s="2984">
        <f t="shared" si="84"/>
        <v>0</v>
      </c>
      <c r="Y324" s="298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4">
        <f t="shared" si="82"/>
        <v>0</v>
      </c>
      <c r="V325" s="2984">
        <f t="shared" si="83"/>
        <v>0</v>
      </c>
      <c r="W325" s="998"/>
      <c r="X325" s="2984">
        <f t="shared" si="84"/>
        <v>0</v>
      </c>
      <c r="Y325" s="298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4">
        <f t="shared" si="82"/>
        <v>0</v>
      </c>
      <c r="V326" s="2984">
        <f t="shared" si="83"/>
        <v>0</v>
      </c>
      <c r="W326" s="998"/>
      <c r="X326" s="2984">
        <f t="shared" si="84"/>
        <v>0</v>
      </c>
      <c r="Y326" s="298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4">
        <f t="shared" si="82"/>
        <v>0</v>
      </c>
      <c r="V327" s="2984">
        <f t="shared" si="83"/>
        <v>0</v>
      </c>
      <c r="W327" s="998"/>
      <c r="X327" s="2984">
        <f t="shared" si="84"/>
        <v>0</v>
      </c>
      <c r="Y327" s="298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4">
        <f t="shared" si="82"/>
        <v>0</v>
      </c>
      <c r="V328" s="2984">
        <f t="shared" si="83"/>
        <v>0</v>
      </c>
      <c r="W328" s="998"/>
      <c r="X328" s="2984">
        <f t="shared" si="84"/>
        <v>0</v>
      </c>
      <c r="Y328" s="298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4">
        <f t="shared" si="82"/>
        <v>0</v>
      </c>
      <c r="V329" s="2984">
        <f t="shared" si="83"/>
        <v>0</v>
      </c>
      <c r="W329" s="998"/>
      <c r="X329" s="2984">
        <f t="shared" si="84"/>
        <v>0</v>
      </c>
      <c r="Y329" s="298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4">
        <f t="shared" si="82"/>
        <v>0</v>
      </c>
      <c r="V330" s="2984">
        <f t="shared" si="83"/>
        <v>0</v>
      </c>
      <c r="W330" s="998"/>
      <c r="X330" s="2984">
        <f t="shared" si="84"/>
        <v>0</v>
      </c>
      <c r="Y330" s="298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4">
        <f t="shared" si="82"/>
        <v>0</v>
      </c>
      <c r="V331" s="2984">
        <f t="shared" si="83"/>
        <v>0</v>
      </c>
      <c r="W331" s="998"/>
      <c r="X331" s="2984">
        <f t="shared" si="84"/>
        <v>0</v>
      </c>
      <c r="Y331" s="298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4">
        <f t="shared" si="82"/>
        <v>0</v>
      </c>
      <c r="V332" s="2984">
        <f t="shared" si="83"/>
        <v>0</v>
      </c>
      <c r="W332" s="998"/>
      <c r="X332" s="2984">
        <f t="shared" si="84"/>
        <v>0</v>
      </c>
      <c r="Y332" s="298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4">
        <f t="shared" si="82"/>
        <v>0</v>
      </c>
      <c r="V333" s="2984">
        <f t="shared" si="83"/>
        <v>0</v>
      </c>
      <c r="W333" s="998"/>
      <c r="X333" s="2984">
        <f t="shared" si="84"/>
        <v>0</v>
      </c>
      <c r="Y333" s="298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4">
        <f t="shared" si="82"/>
        <v>0</v>
      </c>
      <c r="V334" s="2984">
        <f t="shared" si="83"/>
        <v>0</v>
      </c>
      <c r="W334" s="998"/>
      <c r="X334" s="2984">
        <f t="shared" si="84"/>
        <v>0</v>
      </c>
      <c r="Y334" s="298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4">
        <f t="shared" si="82"/>
        <v>0</v>
      </c>
      <c r="V335" s="2984">
        <f t="shared" si="83"/>
        <v>0</v>
      </c>
      <c r="W335" s="998"/>
      <c r="X335" s="2984">
        <f t="shared" si="84"/>
        <v>0</v>
      </c>
      <c r="Y335" s="298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4">
        <f t="shared" si="82"/>
        <v>0</v>
      </c>
      <c r="V336" s="2984">
        <f t="shared" si="83"/>
        <v>0</v>
      </c>
      <c r="W336" s="998"/>
      <c r="X336" s="2984">
        <f t="shared" si="84"/>
        <v>0</v>
      </c>
      <c r="Y336" s="298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4">
        <f t="shared" si="82"/>
        <v>0</v>
      </c>
      <c r="V337" s="2984">
        <f t="shared" si="83"/>
        <v>0</v>
      </c>
      <c r="W337" s="998"/>
      <c r="X337" s="2984">
        <f t="shared" si="84"/>
        <v>0</v>
      </c>
      <c r="Y337" s="298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4">
        <f t="shared" si="82"/>
        <v>0</v>
      </c>
      <c r="V338" s="2984">
        <f t="shared" si="83"/>
        <v>0</v>
      </c>
      <c r="W338" s="998"/>
      <c r="X338" s="2984">
        <f t="shared" si="84"/>
        <v>0</v>
      </c>
      <c r="Y338" s="298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4">
        <f t="shared" si="82"/>
        <v>0</v>
      </c>
      <c r="V339" s="2984">
        <f t="shared" si="83"/>
        <v>0</v>
      </c>
      <c r="W339" s="998"/>
      <c r="X339" s="2984">
        <f t="shared" si="84"/>
        <v>0</v>
      </c>
      <c r="Y339" s="298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4">
        <f t="shared" si="82"/>
        <v>0</v>
      </c>
      <c r="V340" s="2984">
        <f t="shared" si="83"/>
        <v>0</v>
      </c>
      <c r="W340" s="998"/>
      <c r="X340" s="2984">
        <f t="shared" si="84"/>
        <v>0</v>
      </c>
      <c r="Y340" s="298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4">
        <f t="shared" si="82"/>
        <v>0</v>
      </c>
      <c r="V341" s="2984">
        <f t="shared" si="83"/>
        <v>0</v>
      </c>
      <c r="W341" s="998"/>
      <c r="X341" s="2984">
        <f t="shared" si="84"/>
        <v>0</v>
      </c>
      <c r="Y341" s="298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4">
        <f t="shared" si="82"/>
        <v>0</v>
      </c>
      <c r="V342" s="2984">
        <f t="shared" si="83"/>
        <v>0</v>
      </c>
      <c r="W342" s="998"/>
      <c r="X342" s="2984">
        <f t="shared" si="84"/>
        <v>0</v>
      </c>
      <c r="Y342" s="298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4">
        <f t="shared" si="82"/>
        <v>0</v>
      </c>
      <c r="V343" s="2984">
        <f t="shared" si="83"/>
        <v>0</v>
      </c>
      <c r="W343" s="998"/>
      <c r="X343" s="2984">
        <f t="shared" si="84"/>
        <v>0</v>
      </c>
      <c r="Y343" s="298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4">
        <f t="shared" si="82"/>
        <v>0</v>
      </c>
      <c r="V344" s="2984">
        <f t="shared" si="83"/>
        <v>0</v>
      </c>
      <c r="W344" s="998"/>
      <c r="X344" s="2984">
        <f t="shared" si="84"/>
        <v>0</v>
      </c>
      <c r="Y344" s="298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4">
        <f t="shared" si="82"/>
        <v>0</v>
      </c>
      <c r="V345" s="2984">
        <f t="shared" si="83"/>
        <v>0</v>
      </c>
      <c r="W345" s="998"/>
      <c r="X345" s="2984">
        <f t="shared" si="84"/>
        <v>0</v>
      </c>
      <c r="Y345" s="298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4">
        <f t="shared" si="82"/>
        <v>0</v>
      </c>
      <c r="V346" s="2984">
        <f t="shared" si="83"/>
        <v>0</v>
      </c>
      <c r="W346" s="998"/>
      <c r="X346" s="2984">
        <f t="shared" si="84"/>
        <v>0</v>
      </c>
      <c r="Y346" s="298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4">
        <f t="shared" si="82"/>
        <v>0</v>
      </c>
      <c r="V347" s="2984">
        <f t="shared" si="83"/>
        <v>0</v>
      </c>
      <c r="W347" s="998"/>
      <c r="X347" s="2984">
        <f t="shared" si="84"/>
        <v>0</v>
      </c>
      <c r="Y347" s="298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4">
        <f t="shared" ref="U348:U411" si="97">ROUND(W348*B348,0)</f>
        <v>0</v>
      </c>
      <c r="V348" s="2984">
        <f t="shared" ref="V348:V411" si="98">ROUND(W348*B348/10000,0)</f>
        <v>0</v>
      </c>
      <c r="W348" s="998"/>
      <c r="X348" s="2984">
        <f t="shared" ref="X348:X411" si="99">ROUND(Z348*B348,0)</f>
        <v>0</v>
      </c>
      <c r="Y348" s="298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4">
        <f t="shared" si="97"/>
        <v>0</v>
      </c>
      <c r="V349" s="2984">
        <f t="shared" si="98"/>
        <v>0</v>
      </c>
      <c r="W349" s="998"/>
      <c r="X349" s="2984">
        <f t="shared" si="99"/>
        <v>0</v>
      </c>
      <c r="Y349" s="298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4">
        <f t="shared" si="97"/>
        <v>0</v>
      </c>
      <c r="V350" s="2984">
        <f t="shared" si="98"/>
        <v>0</v>
      </c>
      <c r="W350" s="998"/>
      <c r="X350" s="2984">
        <f t="shared" si="99"/>
        <v>0</v>
      </c>
      <c r="Y350" s="298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4">
        <f t="shared" si="97"/>
        <v>0</v>
      </c>
      <c r="V351" s="2984">
        <f t="shared" si="98"/>
        <v>0</v>
      </c>
      <c r="W351" s="998"/>
      <c r="X351" s="2984">
        <f t="shared" si="99"/>
        <v>0</v>
      </c>
      <c r="Y351" s="298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4">
        <f t="shared" si="97"/>
        <v>0</v>
      </c>
      <c r="V352" s="2984">
        <f t="shared" si="98"/>
        <v>0</v>
      </c>
      <c r="W352" s="998"/>
      <c r="X352" s="2984">
        <f t="shared" si="99"/>
        <v>0</v>
      </c>
      <c r="Y352" s="298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4">
        <f t="shared" si="97"/>
        <v>0</v>
      </c>
      <c r="V353" s="2984">
        <f t="shared" si="98"/>
        <v>0</v>
      </c>
      <c r="W353" s="998"/>
      <c r="X353" s="2984">
        <f t="shared" si="99"/>
        <v>0</v>
      </c>
      <c r="Y353" s="298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4">
        <f t="shared" si="97"/>
        <v>0</v>
      </c>
      <c r="V354" s="2984">
        <f t="shared" si="98"/>
        <v>0</v>
      </c>
      <c r="W354" s="998"/>
      <c r="X354" s="2984">
        <f t="shared" si="99"/>
        <v>0</v>
      </c>
      <c r="Y354" s="298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4">
        <f t="shared" si="97"/>
        <v>0</v>
      </c>
      <c r="V355" s="2984">
        <f t="shared" si="98"/>
        <v>0</v>
      </c>
      <c r="W355" s="998"/>
      <c r="X355" s="2984">
        <f t="shared" si="99"/>
        <v>0</v>
      </c>
      <c r="Y355" s="298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4">
        <f t="shared" si="97"/>
        <v>0</v>
      </c>
      <c r="V356" s="2984">
        <f t="shared" si="98"/>
        <v>0</v>
      </c>
      <c r="W356" s="998"/>
      <c r="X356" s="2984">
        <f t="shared" si="99"/>
        <v>0</v>
      </c>
      <c r="Y356" s="298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4">
        <f t="shared" si="97"/>
        <v>0</v>
      </c>
      <c r="V357" s="2984">
        <f t="shared" si="98"/>
        <v>0</v>
      </c>
      <c r="W357" s="998"/>
      <c r="X357" s="2984">
        <f t="shared" si="99"/>
        <v>0</v>
      </c>
      <c r="Y357" s="298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4">
        <f t="shared" si="97"/>
        <v>0</v>
      </c>
      <c r="V358" s="2984">
        <f t="shared" si="98"/>
        <v>0</v>
      </c>
      <c r="W358" s="998"/>
      <c r="X358" s="2984">
        <f t="shared" si="99"/>
        <v>0</v>
      </c>
      <c r="Y358" s="298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4">
        <f t="shared" si="97"/>
        <v>0</v>
      </c>
      <c r="V359" s="2984">
        <f t="shared" si="98"/>
        <v>0</v>
      </c>
      <c r="W359" s="998"/>
      <c r="X359" s="2984">
        <f t="shared" si="99"/>
        <v>0</v>
      </c>
      <c r="Y359" s="298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4">
        <f t="shared" si="97"/>
        <v>0</v>
      </c>
      <c r="V360" s="2984">
        <f t="shared" si="98"/>
        <v>0</v>
      </c>
      <c r="W360" s="998"/>
      <c r="X360" s="2984">
        <f t="shared" si="99"/>
        <v>0</v>
      </c>
      <c r="Y360" s="298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4">
        <f t="shared" si="97"/>
        <v>0</v>
      </c>
      <c r="V361" s="2984">
        <f t="shared" si="98"/>
        <v>0</v>
      </c>
      <c r="W361" s="998"/>
      <c r="X361" s="2984">
        <f t="shared" si="99"/>
        <v>0</v>
      </c>
      <c r="Y361" s="298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4">
        <f t="shared" si="97"/>
        <v>0</v>
      </c>
      <c r="V362" s="2984">
        <f t="shared" si="98"/>
        <v>0</v>
      </c>
      <c r="W362" s="998"/>
      <c r="X362" s="2984">
        <f t="shared" si="99"/>
        <v>0</v>
      </c>
      <c r="Y362" s="298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4">
        <f t="shared" si="97"/>
        <v>0</v>
      </c>
      <c r="V363" s="2984">
        <f t="shared" si="98"/>
        <v>0</v>
      </c>
      <c r="W363" s="998"/>
      <c r="X363" s="2984">
        <f t="shared" si="99"/>
        <v>0</v>
      </c>
      <c r="Y363" s="298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4">
        <f t="shared" si="97"/>
        <v>0</v>
      </c>
      <c r="V364" s="2984">
        <f t="shared" si="98"/>
        <v>0</v>
      </c>
      <c r="W364" s="998"/>
      <c r="X364" s="2984">
        <f t="shared" si="99"/>
        <v>0</v>
      </c>
      <c r="Y364" s="298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4">
        <f t="shared" si="97"/>
        <v>0</v>
      </c>
      <c r="V365" s="2984">
        <f t="shared" si="98"/>
        <v>0</v>
      </c>
      <c r="W365" s="998"/>
      <c r="X365" s="2984">
        <f t="shared" si="99"/>
        <v>0</v>
      </c>
      <c r="Y365" s="298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4">
        <f t="shared" si="97"/>
        <v>0</v>
      </c>
      <c r="V366" s="2984">
        <f t="shared" si="98"/>
        <v>0</v>
      </c>
      <c r="W366" s="998"/>
      <c r="X366" s="2984">
        <f t="shared" si="99"/>
        <v>0</v>
      </c>
      <c r="Y366" s="298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4">
        <f t="shared" si="97"/>
        <v>0</v>
      </c>
      <c r="V367" s="2984">
        <f t="shared" si="98"/>
        <v>0</v>
      </c>
      <c r="W367" s="998"/>
      <c r="X367" s="2984">
        <f t="shared" si="99"/>
        <v>0</v>
      </c>
      <c r="Y367" s="298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4">
        <f t="shared" si="97"/>
        <v>0</v>
      </c>
      <c r="V368" s="2984">
        <f t="shared" si="98"/>
        <v>0</v>
      </c>
      <c r="W368" s="998"/>
      <c r="X368" s="2984">
        <f t="shared" si="99"/>
        <v>0</v>
      </c>
      <c r="Y368" s="298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4">
        <f t="shared" si="97"/>
        <v>0</v>
      </c>
      <c r="V369" s="2984">
        <f t="shared" si="98"/>
        <v>0</v>
      </c>
      <c r="W369" s="998"/>
      <c r="X369" s="2984">
        <f t="shared" si="99"/>
        <v>0</v>
      </c>
      <c r="Y369" s="298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4">
        <f t="shared" si="97"/>
        <v>0</v>
      </c>
      <c r="V370" s="2984">
        <f t="shared" si="98"/>
        <v>0</v>
      </c>
      <c r="W370" s="998"/>
      <c r="X370" s="2984">
        <f t="shared" si="99"/>
        <v>0</v>
      </c>
      <c r="Y370" s="298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4">
        <f t="shared" si="97"/>
        <v>0</v>
      </c>
      <c r="V371" s="2984">
        <f t="shared" si="98"/>
        <v>0</v>
      </c>
      <c r="W371" s="998"/>
      <c r="X371" s="2984">
        <f t="shared" si="99"/>
        <v>0</v>
      </c>
      <c r="Y371" s="298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4">
        <f t="shared" si="97"/>
        <v>0</v>
      </c>
      <c r="V372" s="2984">
        <f t="shared" si="98"/>
        <v>0</v>
      </c>
      <c r="W372" s="998"/>
      <c r="X372" s="2984">
        <f t="shared" si="99"/>
        <v>0</v>
      </c>
      <c r="Y372" s="298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4">
        <f t="shared" si="97"/>
        <v>0</v>
      </c>
      <c r="V373" s="2984">
        <f t="shared" si="98"/>
        <v>0</v>
      </c>
      <c r="W373" s="998"/>
      <c r="X373" s="2984">
        <f t="shared" si="99"/>
        <v>0</v>
      </c>
      <c r="Y373" s="298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4">
        <f t="shared" si="97"/>
        <v>0</v>
      </c>
      <c r="V374" s="2984">
        <f t="shared" si="98"/>
        <v>0</v>
      </c>
      <c r="W374" s="998"/>
      <c r="X374" s="2984">
        <f t="shared" si="99"/>
        <v>0</v>
      </c>
      <c r="Y374" s="298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4">
        <f t="shared" si="97"/>
        <v>0</v>
      </c>
      <c r="V375" s="2984">
        <f t="shared" si="98"/>
        <v>0</v>
      </c>
      <c r="W375" s="998"/>
      <c r="X375" s="2984">
        <f t="shared" si="99"/>
        <v>0</v>
      </c>
      <c r="Y375" s="298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4">
        <f t="shared" si="97"/>
        <v>0</v>
      </c>
      <c r="V376" s="2984">
        <f t="shared" si="98"/>
        <v>0</v>
      </c>
      <c r="W376" s="998"/>
      <c r="X376" s="2984">
        <f t="shared" si="99"/>
        <v>0</v>
      </c>
      <c r="Y376" s="298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4">
        <f t="shared" si="97"/>
        <v>0</v>
      </c>
      <c r="V377" s="2984">
        <f t="shared" si="98"/>
        <v>0</v>
      </c>
      <c r="W377" s="998"/>
      <c r="X377" s="2984">
        <f t="shared" si="99"/>
        <v>0</v>
      </c>
      <c r="Y377" s="298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4">
        <f t="shared" si="97"/>
        <v>0</v>
      </c>
      <c r="V378" s="2984">
        <f t="shared" si="98"/>
        <v>0</v>
      </c>
      <c r="W378" s="998"/>
      <c r="X378" s="2984">
        <f t="shared" si="99"/>
        <v>0</v>
      </c>
      <c r="Y378" s="298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4">
        <f t="shared" si="97"/>
        <v>0</v>
      </c>
      <c r="V379" s="2984">
        <f t="shared" si="98"/>
        <v>0</v>
      </c>
      <c r="W379" s="998"/>
      <c r="X379" s="2984">
        <f t="shared" si="99"/>
        <v>0</v>
      </c>
      <c r="Y379" s="298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4">
        <f t="shared" si="97"/>
        <v>0</v>
      </c>
      <c r="V380" s="2984">
        <f t="shared" si="98"/>
        <v>0</v>
      </c>
      <c r="W380" s="998"/>
      <c r="X380" s="2984">
        <f t="shared" si="99"/>
        <v>0</v>
      </c>
      <c r="Y380" s="298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4">
        <f t="shared" si="97"/>
        <v>0</v>
      </c>
      <c r="V381" s="2984">
        <f t="shared" si="98"/>
        <v>0</v>
      </c>
      <c r="W381" s="998"/>
      <c r="X381" s="2984">
        <f t="shared" si="99"/>
        <v>0</v>
      </c>
      <c r="Y381" s="298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4">
        <f t="shared" si="97"/>
        <v>0</v>
      </c>
      <c r="V382" s="2984">
        <f t="shared" si="98"/>
        <v>0</v>
      </c>
      <c r="W382" s="998"/>
      <c r="X382" s="2984">
        <f t="shared" si="99"/>
        <v>0</v>
      </c>
      <c r="Y382" s="298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4">
        <f t="shared" si="97"/>
        <v>0</v>
      </c>
      <c r="V383" s="2984">
        <f t="shared" si="98"/>
        <v>0</v>
      </c>
      <c r="W383" s="998"/>
      <c r="X383" s="2984">
        <f t="shared" si="99"/>
        <v>0</v>
      </c>
      <c r="Y383" s="298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4">
        <f t="shared" si="97"/>
        <v>0</v>
      </c>
      <c r="V384" s="2984">
        <f t="shared" si="98"/>
        <v>0</v>
      </c>
      <c r="W384" s="998"/>
      <c r="X384" s="2984">
        <f t="shared" si="99"/>
        <v>0</v>
      </c>
      <c r="Y384" s="298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4">
        <f t="shared" si="97"/>
        <v>0</v>
      </c>
      <c r="V385" s="2984">
        <f t="shared" si="98"/>
        <v>0</v>
      </c>
      <c r="W385" s="998"/>
      <c r="X385" s="2984">
        <f t="shared" si="99"/>
        <v>0</v>
      </c>
      <c r="Y385" s="298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4">
        <f t="shared" si="97"/>
        <v>0</v>
      </c>
      <c r="V386" s="2984">
        <f t="shared" si="98"/>
        <v>0</v>
      </c>
      <c r="W386" s="998"/>
      <c r="X386" s="2984">
        <f t="shared" si="99"/>
        <v>0</v>
      </c>
      <c r="Y386" s="298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4">
        <f t="shared" si="97"/>
        <v>0</v>
      </c>
      <c r="V387" s="2984">
        <f t="shared" si="98"/>
        <v>0</v>
      </c>
      <c r="W387" s="998"/>
      <c r="X387" s="2984">
        <f t="shared" si="99"/>
        <v>0</v>
      </c>
      <c r="Y387" s="298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4">
        <f t="shared" si="97"/>
        <v>0</v>
      </c>
      <c r="V388" s="2984">
        <f t="shared" si="98"/>
        <v>0</v>
      </c>
      <c r="W388" s="998"/>
      <c r="X388" s="2984">
        <f t="shared" si="99"/>
        <v>0</v>
      </c>
      <c r="Y388" s="298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4">
        <f t="shared" si="97"/>
        <v>0</v>
      </c>
      <c r="V389" s="2984">
        <f t="shared" si="98"/>
        <v>0</v>
      </c>
      <c r="W389" s="998"/>
      <c r="X389" s="2984">
        <f t="shared" si="99"/>
        <v>0</v>
      </c>
      <c r="Y389" s="298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4">
        <f t="shared" si="97"/>
        <v>0</v>
      </c>
      <c r="V390" s="2984">
        <f t="shared" si="98"/>
        <v>0</v>
      </c>
      <c r="W390" s="998"/>
      <c r="X390" s="2984">
        <f t="shared" si="99"/>
        <v>0</v>
      </c>
      <c r="Y390" s="298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4">
        <f t="shared" si="97"/>
        <v>0</v>
      </c>
      <c r="V391" s="2984">
        <f t="shared" si="98"/>
        <v>0</v>
      </c>
      <c r="W391" s="998"/>
      <c r="X391" s="2984">
        <f t="shared" si="99"/>
        <v>0</v>
      </c>
      <c r="Y391" s="298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4">
        <f t="shared" si="97"/>
        <v>0</v>
      </c>
      <c r="V392" s="2984">
        <f t="shared" si="98"/>
        <v>0</v>
      </c>
      <c r="W392" s="998"/>
      <c r="X392" s="2984">
        <f t="shared" si="99"/>
        <v>0</v>
      </c>
      <c r="Y392" s="298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4">
        <f t="shared" si="97"/>
        <v>0</v>
      </c>
      <c r="V393" s="2984">
        <f t="shared" si="98"/>
        <v>0</v>
      </c>
      <c r="W393" s="998"/>
      <c r="X393" s="2984">
        <f t="shared" si="99"/>
        <v>0</v>
      </c>
      <c r="Y393" s="298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4">
        <f t="shared" si="97"/>
        <v>0</v>
      </c>
      <c r="V394" s="2984">
        <f t="shared" si="98"/>
        <v>0</v>
      </c>
      <c r="W394" s="998"/>
      <c r="X394" s="2984">
        <f t="shared" si="99"/>
        <v>0</v>
      </c>
      <c r="Y394" s="298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4">
        <f t="shared" si="97"/>
        <v>0</v>
      </c>
      <c r="V395" s="2984">
        <f t="shared" si="98"/>
        <v>0</v>
      </c>
      <c r="W395" s="998"/>
      <c r="X395" s="2984">
        <f t="shared" si="99"/>
        <v>0</v>
      </c>
      <c r="Y395" s="298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4">
        <f t="shared" si="97"/>
        <v>0</v>
      </c>
      <c r="V396" s="2984">
        <f t="shared" si="98"/>
        <v>0</v>
      </c>
      <c r="W396" s="998"/>
      <c r="X396" s="2984">
        <f t="shared" si="99"/>
        <v>0</v>
      </c>
      <c r="Y396" s="298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4">
        <f t="shared" si="97"/>
        <v>0</v>
      </c>
      <c r="V397" s="2984">
        <f t="shared" si="98"/>
        <v>0</v>
      </c>
      <c r="W397" s="998"/>
      <c r="X397" s="2984">
        <f t="shared" si="99"/>
        <v>0</v>
      </c>
      <c r="Y397" s="298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4">
        <f t="shared" si="97"/>
        <v>0</v>
      </c>
      <c r="V398" s="2984">
        <f t="shared" si="98"/>
        <v>0</v>
      </c>
      <c r="W398" s="998"/>
      <c r="X398" s="2984">
        <f t="shared" si="99"/>
        <v>0</v>
      </c>
      <c r="Y398" s="298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4">
        <f t="shared" si="97"/>
        <v>0</v>
      </c>
      <c r="V399" s="2984">
        <f t="shared" si="98"/>
        <v>0</v>
      </c>
      <c r="W399" s="998"/>
      <c r="X399" s="2984">
        <f t="shared" si="99"/>
        <v>0</v>
      </c>
      <c r="Y399" s="298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4">
        <f t="shared" si="97"/>
        <v>0</v>
      </c>
      <c r="V400" s="2984">
        <f t="shared" si="98"/>
        <v>0</v>
      </c>
      <c r="W400" s="998"/>
      <c r="X400" s="2984">
        <f t="shared" si="99"/>
        <v>0</v>
      </c>
      <c r="Y400" s="298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4">
        <f t="shared" si="97"/>
        <v>0</v>
      </c>
      <c r="V401" s="2984">
        <f t="shared" si="98"/>
        <v>0</v>
      </c>
      <c r="W401" s="998"/>
      <c r="X401" s="2984">
        <f t="shared" si="99"/>
        <v>0</v>
      </c>
      <c r="Y401" s="298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4">
        <f t="shared" si="97"/>
        <v>0</v>
      </c>
      <c r="V402" s="2984">
        <f t="shared" si="98"/>
        <v>0</v>
      </c>
      <c r="W402" s="998"/>
      <c r="X402" s="2984">
        <f t="shared" si="99"/>
        <v>0</v>
      </c>
      <c r="Y402" s="298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4">
        <f t="shared" si="97"/>
        <v>0</v>
      </c>
      <c r="V403" s="2984">
        <f t="shared" si="98"/>
        <v>0</v>
      </c>
      <c r="W403" s="998"/>
      <c r="X403" s="2984">
        <f t="shared" si="99"/>
        <v>0</v>
      </c>
      <c r="Y403" s="298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4">
        <f t="shared" si="97"/>
        <v>0</v>
      </c>
      <c r="V404" s="2984">
        <f t="shared" si="98"/>
        <v>0</v>
      </c>
      <c r="W404" s="998"/>
      <c r="X404" s="2984">
        <f t="shared" si="99"/>
        <v>0</v>
      </c>
      <c r="Y404" s="298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4">
        <f t="shared" si="97"/>
        <v>0</v>
      </c>
      <c r="V405" s="2984">
        <f t="shared" si="98"/>
        <v>0</v>
      </c>
      <c r="W405" s="998"/>
      <c r="X405" s="2984">
        <f t="shared" si="99"/>
        <v>0</v>
      </c>
      <c r="Y405" s="298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4">
        <f t="shared" si="97"/>
        <v>0</v>
      </c>
      <c r="V406" s="2984">
        <f t="shared" si="98"/>
        <v>0</v>
      </c>
      <c r="W406" s="998"/>
      <c r="X406" s="2984">
        <f t="shared" si="99"/>
        <v>0</v>
      </c>
      <c r="Y406" s="298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4">
        <f t="shared" si="97"/>
        <v>0</v>
      </c>
      <c r="V407" s="2984">
        <f t="shared" si="98"/>
        <v>0</v>
      </c>
      <c r="W407" s="998"/>
      <c r="X407" s="2984">
        <f t="shared" si="99"/>
        <v>0</v>
      </c>
      <c r="Y407" s="298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4">
        <f t="shared" si="97"/>
        <v>0</v>
      </c>
      <c r="V408" s="2984">
        <f t="shared" si="98"/>
        <v>0</v>
      </c>
      <c r="W408" s="998"/>
      <c r="X408" s="2984">
        <f t="shared" si="99"/>
        <v>0</v>
      </c>
      <c r="Y408" s="298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4">
        <f t="shared" si="97"/>
        <v>0</v>
      </c>
      <c r="V409" s="2984">
        <f t="shared" si="98"/>
        <v>0</v>
      </c>
      <c r="W409" s="998"/>
      <c r="X409" s="2984">
        <f t="shared" si="99"/>
        <v>0</v>
      </c>
      <c r="Y409" s="298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4">
        <f t="shared" si="97"/>
        <v>0</v>
      </c>
      <c r="V410" s="2984">
        <f t="shared" si="98"/>
        <v>0</v>
      </c>
      <c r="W410" s="998"/>
      <c r="X410" s="2984">
        <f t="shared" si="99"/>
        <v>0</v>
      </c>
      <c r="Y410" s="298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4">
        <f t="shared" si="97"/>
        <v>0</v>
      </c>
      <c r="V411" s="2984">
        <f t="shared" si="98"/>
        <v>0</v>
      </c>
      <c r="W411" s="998"/>
      <c r="X411" s="2984">
        <f t="shared" si="99"/>
        <v>0</v>
      </c>
      <c r="Y411" s="298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4">
        <f t="shared" ref="U412:U475" si="112">ROUND(W412*B412,0)</f>
        <v>0</v>
      </c>
      <c r="V412" s="2984">
        <f t="shared" ref="V412:V475" si="113">ROUND(W412*B412/10000,0)</f>
        <v>0</v>
      </c>
      <c r="W412" s="998"/>
      <c r="X412" s="2984">
        <f t="shared" ref="X412:X475" si="114">ROUND(Z412*B412,0)</f>
        <v>0</v>
      </c>
      <c r="Y412" s="298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4">
        <f t="shared" si="112"/>
        <v>0</v>
      </c>
      <c r="V413" s="2984">
        <f t="shared" si="113"/>
        <v>0</v>
      </c>
      <c r="W413" s="998"/>
      <c r="X413" s="2984">
        <f t="shared" si="114"/>
        <v>0</v>
      </c>
      <c r="Y413" s="298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4">
        <f t="shared" si="112"/>
        <v>0</v>
      </c>
      <c r="V414" s="2984">
        <f t="shared" si="113"/>
        <v>0</v>
      </c>
      <c r="W414" s="998"/>
      <c r="X414" s="2984">
        <f t="shared" si="114"/>
        <v>0</v>
      </c>
      <c r="Y414" s="298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4">
        <f t="shared" si="112"/>
        <v>0</v>
      </c>
      <c r="V415" s="2984">
        <f t="shared" si="113"/>
        <v>0</v>
      </c>
      <c r="W415" s="998"/>
      <c r="X415" s="2984">
        <f t="shared" si="114"/>
        <v>0</v>
      </c>
      <c r="Y415" s="298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4">
        <f t="shared" si="112"/>
        <v>0</v>
      </c>
      <c r="V416" s="2984">
        <f t="shared" si="113"/>
        <v>0</v>
      </c>
      <c r="W416" s="998"/>
      <c r="X416" s="2984">
        <f t="shared" si="114"/>
        <v>0</v>
      </c>
      <c r="Y416" s="298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4">
        <f t="shared" si="112"/>
        <v>0</v>
      </c>
      <c r="V417" s="2984">
        <f t="shared" si="113"/>
        <v>0</v>
      </c>
      <c r="W417" s="998"/>
      <c r="X417" s="2984">
        <f t="shared" si="114"/>
        <v>0</v>
      </c>
      <c r="Y417" s="298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4">
        <f t="shared" si="112"/>
        <v>0</v>
      </c>
      <c r="V418" s="2984">
        <f t="shared" si="113"/>
        <v>0</v>
      </c>
      <c r="W418" s="998"/>
      <c r="X418" s="2984">
        <f t="shared" si="114"/>
        <v>0</v>
      </c>
      <c r="Y418" s="298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4">
        <f t="shared" si="112"/>
        <v>0</v>
      </c>
      <c r="V419" s="2984">
        <f t="shared" si="113"/>
        <v>0</v>
      </c>
      <c r="W419" s="998"/>
      <c r="X419" s="2984">
        <f t="shared" si="114"/>
        <v>0</v>
      </c>
      <c r="Y419" s="298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4">
        <f t="shared" si="112"/>
        <v>0</v>
      </c>
      <c r="V420" s="2984">
        <f t="shared" si="113"/>
        <v>0</v>
      </c>
      <c r="W420" s="998"/>
      <c r="X420" s="2984">
        <f t="shared" si="114"/>
        <v>0</v>
      </c>
      <c r="Y420" s="298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4">
        <f t="shared" si="112"/>
        <v>0</v>
      </c>
      <c r="V421" s="2984">
        <f t="shared" si="113"/>
        <v>0</v>
      </c>
      <c r="W421" s="998"/>
      <c r="X421" s="2984">
        <f t="shared" si="114"/>
        <v>0</v>
      </c>
      <c r="Y421" s="298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4">
        <f t="shared" si="112"/>
        <v>0</v>
      </c>
      <c r="V422" s="2984">
        <f t="shared" si="113"/>
        <v>0</v>
      </c>
      <c r="W422" s="998"/>
      <c r="X422" s="2984">
        <f t="shared" si="114"/>
        <v>0</v>
      </c>
      <c r="Y422" s="298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4">
        <f t="shared" si="112"/>
        <v>0</v>
      </c>
      <c r="V423" s="2984">
        <f t="shared" si="113"/>
        <v>0</v>
      </c>
      <c r="W423" s="998"/>
      <c r="X423" s="2984">
        <f t="shared" si="114"/>
        <v>0</v>
      </c>
      <c r="Y423" s="298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4">
        <f t="shared" si="112"/>
        <v>0</v>
      </c>
      <c r="V424" s="2984">
        <f t="shared" si="113"/>
        <v>0</v>
      </c>
      <c r="W424" s="998"/>
      <c r="X424" s="2984">
        <f t="shared" si="114"/>
        <v>0</v>
      </c>
      <c r="Y424" s="298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4">
        <f t="shared" si="112"/>
        <v>0</v>
      </c>
      <c r="V425" s="2984">
        <f t="shared" si="113"/>
        <v>0</v>
      </c>
      <c r="W425" s="998"/>
      <c r="X425" s="2984">
        <f t="shared" si="114"/>
        <v>0</v>
      </c>
      <c r="Y425" s="298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4">
        <f t="shared" si="112"/>
        <v>0</v>
      </c>
      <c r="V426" s="2984">
        <f t="shared" si="113"/>
        <v>0</v>
      </c>
      <c r="W426" s="998"/>
      <c r="X426" s="2984">
        <f t="shared" si="114"/>
        <v>0</v>
      </c>
      <c r="Y426" s="298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4">
        <f t="shared" si="112"/>
        <v>0</v>
      </c>
      <c r="V427" s="2984">
        <f t="shared" si="113"/>
        <v>0</v>
      </c>
      <c r="W427" s="998"/>
      <c r="X427" s="2984">
        <f t="shared" si="114"/>
        <v>0</v>
      </c>
      <c r="Y427" s="298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4">
        <f t="shared" si="112"/>
        <v>0</v>
      </c>
      <c r="V428" s="2984">
        <f t="shared" si="113"/>
        <v>0</v>
      </c>
      <c r="W428" s="998"/>
      <c r="X428" s="2984">
        <f t="shared" si="114"/>
        <v>0</v>
      </c>
      <c r="Y428" s="298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4">
        <f t="shared" si="112"/>
        <v>0</v>
      </c>
      <c r="V429" s="2984">
        <f t="shared" si="113"/>
        <v>0</v>
      </c>
      <c r="W429" s="998"/>
      <c r="X429" s="2984">
        <f t="shared" si="114"/>
        <v>0</v>
      </c>
      <c r="Y429" s="298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4">
        <f t="shared" si="112"/>
        <v>0</v>
      </c>
      <c r="V430" s="2984">
        <f t="shared" si="113"/>
        <v>0</v>
      </c>
      <c r="W430" s="998"/>
      <c r="X430" s="2984">
        <f t="shared" si="114"/>
        <v>0</v>
      </c>
      <c r="Y430" s="298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4">
        <f t="shared" si="112"/>
        <v>0</v>
      </c>
      <c r="V431" s="2984">
        <f t="shared" si="113"/>
        <v>0</v>
      </c>
      <c r="W431" s="998"/>
      <c r="X431" s="2984">
        <f t="shared" si="114"/>
        <v>0</v>
      </c>
      <c r="Y431" s="298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4">
        <f t="shared" si="112"/>
        <v>0</v>
      </c>
      <c r="V432" s="2984">
        <f t="shared" si="113"/>
        <v>0</v>
      </c>
      <c r="W432" s="998"/>
      <c r="X432" s="2984">
        <f t="shared" si="114"/>
        <v>0</v>
      </c>
      <c r="Y432" s="298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4">
        <f t="shared" si="112"/>
        <v>0</v>
      </c>
      <c r="V433" s="2984">
        <f t="shared" si="113"/>
        <v>0</v>
      </c>
      <c r="W433" s="998"/>
      <c r="X433" s="2984">
        <f t="shared" si="114"/>
        <v>0</v>
      </c>
      <c r="Y433" s="298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4">
        <f t="shared" si="112"/>
        <v>0</v>
      </c>
      <c r="V434" s="2984">
        <f t="shared" si="113"/>
        <v>0</v>
      </c>
      <c r="W434" s="998"/>
      <c r="X434" s="2984">
        <f t="shared" si="114"/>
        <v>0</v>
      </c>
      <c r="Y434" s="298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4">
        <f t="shared" si="112"/>
        <v>0</v>
      </c>
      <c r="V435" s="2984">
        <f t="shared" si="113"/>
        <v>0</v>
      </c>
      <c r="W435" s="998"/>
      <c r="X435" s="2984">
        <f t="shared" si="114"/>
        <v>0</v>
      </c>
      <c r="Y435" s="298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4">
        <f t="shared" si="112"/>
        <v>0</v>
      </c>
      <c r="V436" s="2984">
        <f t="shared" si="113"/>
        <v>0</v>
      </c>
      <c r="W436" s="998"/>
      <c r="X436" s="2984">
        <f t="shared" si="114"/>
        <v>0</v>
      </c>
      <c r="Y436" s="298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4">
        <f t="shared" si="112"/>
        <v>0</v>
      </c>
      <c r="V437" s="2984">
        <f t="shared" si="113"/>
        <v>0</v>
      </c>
      <c r="W437" s="998"/>
      <c r="X437" s="2984">
        <f t="shared" si="114"/>
        <v>0</v>
      </c>
      <c r="Y437" s="298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4">
        <f t="shared" si="112"/>
        <v>0</v>
      </c>
      <c r="V438" s="2984">
        <f t="shared" si="113"/>
        <v>0</v>
      </c>
      <c r="W438" s="998"/>
      <c r="X438" s="2984">
        <f t="shared" si="114"/>
        <v>0</v>
      </c>
      <c r="Y438" s="298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4">
        <f t="shared" si="112"/>
        <v>0</v>
      </c>
      <c r="V439" s="2984">
        <f t="shared" si="113"/>
        <v>0</v>
      </c>
      <c r="W439" s="998"/>
      <c r="X439" s="2984">
        <f t="shared" si="114"/>
        <v>0</v>
      </c>
      <c r="Y439" s="298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4">
        <f t="shared" si="112"/>
        <v>0</v>
      </c>
      <c r="V440" s="2984">
        <f t="shared" si="113"/>
        <v>0</v>
      </c>
      <c r="W440" s="998"/>
      <c r="X440" s="2984">
        <f t="shared" si="114"/>
        <v>0</v>
      </c>
      <c r="Y440" s="298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4">
        <f t="shared" si="112"/>
        <v>0</v>
      </c>
      <c r="V441" s="2984">
        <f t="shared" si="113"/>
        <v>0</v>
      </c>
      <c r="W441" s="998"/>
      <c r="X441" s="2984">
        <f t="shared" si="114"/>
        <v>0</v>
      </c>
      <c r="Y441" s="298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4">
        <f t="shared" si="112"/>
        <v>0</v>
      </c>
      <c r="V442" s="2984">
        <f t="shared" si="113"/>
        <v>0</v>
      </c>
      <c r="W442" s="998"/>
      <c r="X442" s="2984">
        <f t="shared" si="114"/>
        <v>0</v>
      </c>
      <c r="Y442" s="298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4">
        <f t="shared" si="112"/>
        <v>0</v>
      </c>
      <c r="V443" s="2984">
        <f t="shared" si="113"/>
        <v>0</v>
      </c>
      <c r="W443" s="998"/>
      <c r="X443" s="2984">
        <f t="shared" si="114"/>
        <v>0</v>
      </c>
      <c r="Y443" s="298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4">
        <f t="shared" si="112"/>
        <v>0</v>
      </c>
      <c r="V444" s="2984">
        <f t="shared" si="113"/>
        <v>0</v>
      </c>
      <c r="W444" s="998"/>
      <c r="X444" s="2984">
        <f t="shared" si="114"/>
        <v>0</v>
      </c>
      <c r="Y444" s="298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4">
        <f t="shared" si="112"/>
        <v>0</v>
      </c>
      <c r="V445" s="2984">
        <f t="shared" si="113"/>
        <v>0</v>
      </c>
      <c r="W445" s="998"/>
      <c r="X445" s="2984">
        <f t="shared" si="114"/>
        <v>0</v>
      </c>
      <c r="Y445" s="298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4">
        <f t="shared" si="112"/>
        <v>0</v>
      </c>
      <c r="V446" s="2984">
        <f t="shared" si="113"/>
        <v>0</v>
      </c>
      <c r="W446" s="998"/>
      <c r="X446" s="2984">
        <f t="shared" si="114"/>
        <v>0</v>
      </c>
      <c r="Y446" s="298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4">
        <f t="shared" si="112"/>
        <v>0</v>
      </c>
      <c r="V447" s="2984">
        <f t="shared" si="113"/>
        <v>0</v>
      </c>
      <c r="W447" s="998"/>
      <c r="X447" s="2984">
        <f t="shared" si="114"/>
        <v>0</v>
      </c>
      <c r="Y447" s="298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4">
        <f t="shared" si="112"/>
        <v>0</v>
      </c>
      <c r="V448" s="2984">
        <f t="shared" si="113"/>
        <v>0</v>
      </c>
      <c r="W448" s="998"/>
      <c r="X448" s="2984">
        <f t="shared" si="114"/>
        <v>0</v>
      </c>
      <c r="Y448" s="298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4">
        <f t="shared" si="112"/>
        <v>0</v>
      </c>
      <c r="V449" s="2984">
        <f t="shared" si="113"/>
        <v>0</v>
      </c>
      <c r="W449" s="998"/>
      <c r="X449" s="2984">
        <f t="shared" si="114"/>
        <v>0</v>
      </c>
      <c r="Y449" s="298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4">
        <f t="shared" si="112"/>
        <v>0</v>
      </c>
      <c r="V450" s="2984">
        <f t="shared" si="113"/>
        <v>0</v>
      </c>
      <c r="W450" s="998"/>
      <c r="X450" s="2984">
        <f t="shared" si="114"/>
        <v>0</v>
      </c>
      <c r="Y450" s="298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4">
        <f t="shared" si="112"/>
        <v>0</v>
      </c>
      <c r="V451" s="2984">
        <f t="shared" si="113"/>
        <v>0</v>
      </c>
      <c r="W451" s="998"/>
      <c r="X451" s="2984">
        <f t="shared" si="114"/>
        <v>0</v>
      </c>
      <c r="Y451" s="298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4">
        <f t="shared" si="112"/>
        <v>0</v>
      </c>
      <c r="V452" s="2984">
        <f t="shared" si="113"/>
        <v>0</v>
      </c>
      <c r="W452" s="998"/>
      <c r="X452" s="2984">
        <f t="shared" si="114"/>
        <v>0</v>
      </c>
      <c r="Y452" s="298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4">
        <f t="shared" si="112"/>
        <v>0</v>
      </c>
      <c r="V453" s="2984">
        <f t="shared" si="113"/>
        <v>0</v>
      </c>
      <c r="W453" s="998"/>
      <c r="X453" s="2984">
        <f t="shared" si="114"/>
        <v>0</v>
      </c>
      <c r="Y453" s="298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4">
        <f t="shared" si="112"/>
        <v>0</v>
      </c>
      <c r="V454" s="2984">
        <f t="shared" si="113"/>
        <v>0</v>
      </c>
      <c r="W454" s="998"/>
      <c r="X454" s="2984">
        <f t="shared" si="114"/>
        <v>0</v>
      </c>
      <c r="Y454" s="298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4">
        <f t="shared" si="112"/>
        <v>0</v>
      </c>
      <c r="V455" s="2984">
        <f t="shared" si="113"/>
        <v>0</v>
      </c>
      <c r="W455" s="998"/>
      <c r="X455" s="2984">
        <f t="shared" si="114"/>
        <v>0</v>
      </c>
      <c r="Y455" s="298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4">
        <f t="shared" si="112"/>
        <v>0</v>
      </c>
      <c r="V456" s="2984">
        <f t="shared" si="113"/>
        <v>0</v>
      </c>
      <c r="W456" s="998"/>
      <c r="X456" s="2984">
        <f t="shared" si="114"/>
        <v>0</v>
      </c>
      <c r="Y456" s="298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4">
        <f t="shared" si="112"/>
        <v>0</v>
      </c>
      <c r="V457" s="2984">
        <f t="shared" si="113"/>
        <v>0</v>
      </c>
      <c r="W457" s="998"/>
      <c r="X457" s="2984">
        <f t="shared" si="114"/>
        <v>0</v>
      </c>
      <c r="Y457" s="298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4">
        <f t="shared" si="112"/>
        <v>0</v>
      </c>
      <c r="V458" s="2984">
        <f t="shared" si="113"/>
        <v>0</v>
      </c>
      <c r="W458" s="998"/>
      <c r="X458" s="2984">
        <f t="shared" si="114"/>
        <v>0</v>
      </c>
      <c r="Y458" s="298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4">
        <f t="shared" si="112"/>
        <v>0</v>
      </c>
      <c r="V459" s="2984">
        <f t="shared" si="113"/>
        <v>0</v>
      </c>
      <c r="W459" s="998"/>
      <c r="X459" s="2984">
        <f t="shared" si="114"/>
        <v>0</v>
      </c>
      <c r="Y459" s="298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4">
        <f t="shared" si="112"/>
        <v>0</v>
      </c>
      <c r="V460" s="2984">
        <f t="shared" si="113"/>
        <v>0</v>
      </c>
      <c r="W460" s="998"/>
      <c r="X460" s="2984">
        <f t="shared" si="114"/>
        <v>0</v>
      </c>
      <c r="Y460" s="298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4">
        <f t="shared" si="112"/>
        <v>0</v>
      </c>
      <c r="V461" s="2984">
        <f t="shared" si="113"/>
        <v>0</v>
      </c>
      <c r="W461" s="998"/>
      <c r="X461" s="2984">
        <f t="shared" si="114"/>
        <v>0</v>
      </c>
      <c r="Y461" s="298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4">
        <f t="shared" si="112"/>
        <v>0</v>
      </c>
      <c r="V462" s="2984">
        <f t="shared" si="113"/>
        <v>0</v>
      </c>
      <c r="W462" s="998"/>
      <c r="X462" s="2984">
        <f t="shared" si="114"/>
        <v>0</v>
      </c>
      <c r="Y462" s="298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4">
        <f t="shared" si="112"/>
        <v>0</v>
      </c>
      <c r="V463" s="2984">
        <f t="shared" si="113"/>
        <v>0</v>
      </c>
      <c r="W463" s="998"/>
      <c r="X463" s="2984">
        <f t="shared" si="114"/>
        <v>0</v>
      </c>
      <c r="Y463" s="298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4">
        <f t="shared" si="112"/>
        <v>0</v>
      </c>
      <c r="V464" s="2984">
        <f t="shared" si="113"/>
        <v>0</v>
      </c>
      <c r="W464" s="998"/>
      <c r="X464" s="2984">
        <f t="shared" si="114"/>
        <v>0</v>
      </c>
      <c r="Y464" s="298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4">
        <f t="shared" si="112"/>
        <v>0</v>
      </c>
      <c r="V465" s="2984">
        <f t="shared" si="113"/>
        <v>0</v>
      </c>
      <c r="W465" s="998"/>
      <c r="X465" s="2984">
        <f t="shared" si="114"/>
        <v>0</v>
      </c>
      <c r="Y465" s="298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4">
        <f t="shared" si="112"/>
        <v>0</v>
      </c>
      <c r="V466" s="2984">
        <f t="shared" si="113"/>
        <v>0</v>
      </c>
      <c r="W466" s="998"/>
      <c r="X466" s="2984">
        <f t="shared" si="114"/>
        <v>0</v>
      </c>
      <c r="Y466" s="298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4">
        <f t="shared" si="112"/>
        <v>0</v>
      </c>
      <c r="V467" s="2984">
        <f t="shared" si="113"/>
        <v>0</v>
      </c>
      <c r="W467" s="998"/>
      <c r="X467" s="2984">
        <f t="shared" si="114"/>
        <v>0</v>
      </c>
      <c r="Y467" s="298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4">
        <f t="shared" si="112"/>
        <v>0</v>
      </c>
      <c r="V468" s="2984">
        <f t="shared" si="113"/>
        <v>0</v>
      </c>
      <c r="W468" s="998"/>
      <c r="X468" s="2984">
        <f t="shared" si="114"/>
        <v>0</v>
      </c>
      <c r="Y468" s="298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4">
        <f t="shared" si="112"/>
        <v>0</v>
      </c>
      <c r="V469" s="2984">
        <f t="shared" si="113"/>
        <v>0</v>
      </c>
      <c r="W469" s="998"/>
      <c r="X469" s="2984">
        <f t="shared" si="114"/>
        <v>0</v>
      </c>
      <c r="Y469" s="298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4">
        <f t="shared" si="112"/>
        <v>0</v>
      </c>
      <c r="V470" s="2984">
        <f t="shared" si="113"/>
        <v>0</v>
      </c>
      <c r="W470" s="998"/>
      <c r="X470" s="2984">
        <f t="shared" si="114"/>
        <v>0</v>
      </c>
      <c r="Y470" s="298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4">
        <f t="shared" si="112"/>
        <v>0</v>
      </c>
      <c r="V471" s="2984">
        <f t="shared" si="113"/>
        <v>0</v>
      </c>
      <c r="W471" s="998"/>
      <c r="X471" s="2984">
        <f t="shared" si="114"/>
        <v>0</v>
      </c>
      <c r="Y471" s="298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4">
        <f t="shared" si="112"/>
        <v>0</v>
      </c>
      <c r="V472" s="2984">
        <f t="shared" si="113"/>
        <v>0</v>
      </c>
      <c r="W472" s="998"/>
      <c r="X472" s="2984">
        <f t="shared" si="114"/>
        <v>0</v>
      </c>
      <c r="Y472" s="298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4">
        <f t="shared" si="112"/>
        <v>0</v>
      </c>
      <c r="V473" s="2984">
        <f t="shared" si="113"/>
        <v>0</v>
      </c>
      <c r="W473" s="998"/>
      <c r="X473" s="2984">
        <f t="shared" si="114"/>
        <v>0</v>
      </c>
      <c r="Y473" s="298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4">
        <f t="shared" si="112"/>
        <v>0</v>
      </c>
      <c r="V474" s="2984">
        <f t="shared" si="113"/>
        <v>0</v>
      </c>
      <c r="W474" s="998"/>
      <c r="X474" s="2984">
        <f t="shared" si="114"/>
        <v>0</v>
      </c>
      <c r="Y474" s="298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4">
        <f t="shared" si="112"/>
        <v>0</v>
      </c>
      <c r="V475" s="2984">
        <f t="shared" si="113"/>
        <v>0</v>
      </c>
      <c r="W475" s="998"/>
      <c r="X475" s="2984">
        <f t="shared" si="114"/>
        <v>0</v>
      </c>
      <c r="Y475" s="298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4">
        <f t="shared" ref="U476:U527" si="127">ROUND(W476*B476,0)</f>
        <v>0</v>
      </c>
      <c r="V476" s="2984">
        <f t="shared" ref="V476:V527" si="128">ROUND(W476*B476/10000,0)</f>
        <v>0</v>
      </c>
      <c r="W476" s="998"/>
      <c r="X476" s="2984">
        <f t="shared" ref="X476:X527" si="129">ROUND(Z476*B476,0)</f>
        <v>0</v>
      </c>
      <c r="Y476" s="298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4">
        <f t="shared" si="127"/>
        <v>0</v>
      </c>
      <c r="V477" s="2984">
        <f t="shared" si="128"/>
        <v>0</v>
      </c>
      <c r="W477" s="998"/>
      <c r="X477" s="2984">
        <f t="shared" si="129"/>
        <v>0</v>
      </c>
      <c r="Y477" s="298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4">
        <f t="shared" si="127"/>
        <v>0</v>
      </c>
      <c r="V478" s="2984">
        <f t="shared" si="128"/>
        <v>0</v>
      </c>
      <c r="W478" s="998"/>
      <c r="X478" s="2984">
        <f t="shared" si="129"/>
        <v>0</v>
      </c>
      <c r="Y478" s="298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4">
        <f t="shared" si="127"/>
        <v>0</v>
      </c>
      <c r="V479" s="2984">
        <f t="shared" si="128"/>
        <v>0</v>
      </c>
      <c r="W479" s="998"/>
      <c r="X479" s="2984">
        <f t="shared" si="129"/>
        <v>0</v>
      </c>
      <c r="Y479" s="298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4">
        <f t="shared" si="127"/>
        <v>0</v>
      </c>
      <c r="V480" s="2984">
        <f t="shared" si="128"/>
        <v>0</v>
      </c>
      <c r="W480" s="998"/>
      <c r="X480" s="2984">
        <f t="shared" si="129"/>
        <v>0</v>
      </c>
      <c r="Y480" s="298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4">
        <f t="shared" si="127"/>
        <v>0</v>
      </c>
      <c r="V481" s="2984">
        <f t="shared" si="128"/>
        <v>0</v>
      </c>
      <c r="W481" s="998"/>
      <c r="X481" s="2984">
        <f t="shared" si="129"/>
        <v>0</v>
      </c>
      <c r="Y481" s="298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4">
        <f t="shared" si="127"/>
        <v>0</v>
      </c>
      <c r="V482" s="2984">
        <f t="shared" si="128"/>
        <v>0</v>
      </c>
      <c r="W482" s="998"/>
      <c r="X482" s="2984">
        <f t="shared" si="129"/>
        <v>0</v>
      </c>
      <c r="Y482" s="298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4">
        <f t="shared" si="127"/>
        <v>0</v>
      </c>
      <c r="V483" s="2984">
        <f t="shared" si="128"/>
        <v>0</v>
      </c>
      <c r="W483" s="998"/>
      <c r="X483" s="2984">
        <f t="shared" si="129"/>
        <v>0</v>
      </c>
      <c r="Y483" s="298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4">
        <f t="shared" si="127"/>
        <v>0</v>
      </c>
      <c r="V484" s="2984">
        <f t="shared" si="128"/>
        <v>0</v>
      </c>
      <c r="W484" s="998"/>
      <c r="X484" s="2984">
        <f t="shared" si="129"/>
        <v>0</v>
      </c>
      <c r="Y484" s="298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4">
        <f t="shared" si="127"/>
        <v>0</v>
      </c>
      <c r="V485" s="2984">
        <f t="shared" si="128"/>
        <v>0</v>
      </c>
      <c r="W485" s="998"/>
      <c r="X485" s="2984">
        <f t="shared" si="129"/>
        <v>0</v>
      </c>
      <c r="Y485" s="298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4">
        <f t="shared" si="127"/>
        <v>0</v>
      </c>
      <c r="V486" s="2984">
        <f t="shared" si="128"/>
        <v>0</v>
      </c>
      <c r="W486" s="998"/>
      <c r="X486" s="2984">
        <f t="shared" si="129"/>
        <v>0</v>
      </c>
      <c r="Y486" s="298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4">
        <f t="shared" si="127"/>
        <v>0</v>
      </c>
      <c r="V487" s="2984">
        <f t="shared" si="128"/>
        <v>0</v>
      </c>
      <c r="W487" s="998"/>
      <c r="X487" s="2984">
        <f t="shared" si="129"/>
        <v>0</v>
      </c>
      <c r="Y487" s="298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4">
        <f t="shared" si="127"/>
        <v>0</v>
      </c>
      <c r="V488" s="2984">
        <f t="shared" si="128"/>
        <v>0</v>
      </c>
      <c r="W488" s="998"/>
      <c r="X488" s="2984">
        <f t="shared" si="129"/>
        <v>0</v>
      </c>
      <c r="Y488" s="298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4">
        <f t="shared" si="127"/>
        <v>0</v>
      </c>
      <c r="V489" s="2984">
        <f t="shared" si="128"/>
        <v>0</v>
      </c>
      <c r="W489" s="998"/>
      <c r="X489" s="2984">
        <f t="shared" si="129"/>
        <v>0</v>
      </c>
      <c r="Y489" s="298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4">
        <f t="shared" si="127"/>
        <v>0</v>
      </c>
      <c r="V490" s="2984">
        <f t="shared" si="128"/>
        <v>0</v>
      </c>
      <c r="W490" s="998"/>
      <c r="X490" s="2984">
        <f t="shared" si="129"/>
        <v>0</v>
      </c>
      <c r="Y490" s="298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4">
        <f t="shared" si="127"/>
        <v>0</v>
      </c>
      <c r="V491" s="2984">
        <f t="shared" si="128"/>
        <v>0</v>
      </c>
      <c r="W491" s="998"/>
      <c r="X491" s="2984">
        <f t="shared" si="129"/>
        <v>0</v>
      </c>
      <c r="Y491" s="298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4">
        <f t="shared" si="127"/>
        <v>0</v>
      </c>
      <c r="V492" s="2984">
        <f t="shared" si="128"/>
        <v>0</v>
      </c>
      <c r="W492" s="998"/>
      <c r="X492" s="2984">
        <f t="shared" si="129"/>
        <v>0</v>
      </c>
      <c r="Y492" s="298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4">
        <f t="shared" si="127"/>
        <v>0</v>
      </c>
      <c r="V493" s="2984">
        <f t="shared" si="128"/>
        <v>0</v>
      </c>
      <c r="W493" s="998"/>
      <c r="X493" s="2984">
        <f t="shared" si="129"/>
        <v>0</v>
      </c>
      <c r="Y493" s="298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4">
        <f t="shared" si="127"/>
        <v>0</v>
      </c>
      <c r="V494" s="2984">
        <f t="shared" si="128"/>
        <v>0</v>
      </c>
      <c r="W494" s="998"/>
      <c r="X494" s="2984">
        <f t="shared" si="129"/>
        <v>0</v>
      </c>
      <c r="Y494" s="298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4">
        <f t="shared" si="127"/>
        <v>0</v>
      </c>
      <c r="V495" s="2984">
        <f t="shared" si="128"/>
        <v>0</v>
      </c>
      <c r="W495" s="998"/>
      <c r="X495" s="2984">
        <f t="shared" si="129"/>
        <v>0</v>
      </c>
      <c r="Y495" s="298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4">
        <f t="shared" si="127"/>
        <v>0</v>
      </c>
      <c r="V496" s="2984">
        <f t="shared" si="128"/>
        <v>0</v>
      </c>
      <c r="W496" s="998"/>
      <c r="X496" s="2984">
        <f t="shared" si="129"/>
        <v>0</v>
      </c>
      <c r="Y496" s="298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4">
        <f t="shared" si="127"/>
        <v>0</v>
      </c>
      <c r="V497" s="2984">
        <f t="shared" si="128"/>
        <v>0</v>
      </c>
      <c r="W497" s="998"/>
      <c r="X497" s="2984">
        <f t="shared" si="129"/>
        <v>0</v>
      </c>
      <c r="Y497" s="298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4">
        <f t="shared" si="127"/>
        <v>0</v>
      </c>
      <c r="V498" s="2984">
        <f t="shared" si="128"/>
        <v>0</v>
      </c>
      <c r="W498" s="998"/>
      <c r="X498" s="2984">
        <f t="shared" si="129"/>
        <v>0</v>
      </c>
      <c r="Y498" s="298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4">
        <f t="shared" si="127"/>
        <v>0</v>
      </c>
      <c r="V499" s="2984">
        <f t="shared" si="128"/>
        <v>0</v>
      </c>
      <c r="W499" s="998"/>
      <c r="X499" s="2984">
        <f t="shared" si="129"/>
        <v>0</v>
      </c>
      <c r="Y499" s="298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4">
        <f t="shared" si="127"/>
        <v>0</v>
      </c>
      <c r="V500" s="2984">
        <f t="shared" si="128"/>
        <v>0</v>
      </c>
      <c r="W500" s="998"/>
      <c r="X500" s="2984">
        <f t="shared" si="129"/>
        <v>0</v>
      </c>
      <c r="Y500" s="298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4">
        <f t="shared" si="127"/>
        <v>0</v>
      </c>
      <c r="V501" s="2984">
        <f t="shared" si="128"/>
        <v>0</v>
      </c>
      <c r="W501" s="998"/>
      <c r="X501" s="2984">
        <f t="shared" si="129"/>
        <v>0</v>
      </c>
      <c r="Y501" s="298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4">
        <f t="shared" si="127"/>
        <v>0</v>
      </c>
      <c r="V502" s="2984">
        <f t="shared" si="128"/>
        <v>0</v>
      </c>
      <c r="W502" s="998"/>
      <c r="X502" s="2984">
        <f t="shared" si="129"/>
        <v>0</v>
      </c>
      <c r="Y502" s="298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4">
        <f t="shared" si="127"/>
        <v>0</v>
      </c>
      <c r="V503" s="2984">
        <f t="shared" si="128"/>
        <v>0</v>
      </c>
      <c r="W503" s="998"/>
      <c r="X503" s="2984">
        <f t="shared" si="129"/>
        <v>0</v>
      </c>
      <c r="Y503" s="298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4">
        <f t="shared" si="127"/>
        <v>0</v>
      </c>
      <c r="V504" s="2984">
        <f t="shared" si="128"/>
        <v>0</v>
      </c>
      <c r="W504" s="998"/>
      <c r="X504" s="2984">
        <f t="shared" si="129"/>
        <v>0</v>
      </c>
      <c r="Y504" s="298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4">
        <f t="shared" si="127"/>
        <v>0</v>
      </c>
      <c r="V505" s="2984">
        <f t="shared" si="128"/>
        <v>0</v>
      </c>
      <c r="W505" s="998"/>
      <c r="X505" s="2984">
        <f t="shared" si="129"/>
        <v>0</v>
      </c>
      <c r="Y505" s="298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4">
        <f t="shared" si="127"/>
        <v>0</v>
      </c>
      <c r="V506" s="2984">
        <f t="shared" si="128"/>
        <v>0</v>
      </c>
      <c r="W506" s="998"/>
      <c r="X506" s="2984">
        <f t="shared" si="129"/>
        <v>0</v>
      </c>
      <c r="Y506" s="298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4">
        <f t="shared" si="127"/>
        <v>0</v>
      </c>
      <c r="V507" s="2984">
        <f t="shared" si="128"/>
        <v>0</v>
      </c>
      <c r="W507" s="998"/>
      <c r="X507" s="2984">
        <f t="shared" si="129"/>
        <v>0</v>
      </c>
      <c r="Y507" s="298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4">
        <f t="shared" si="127"/>
        <v>0</v>
      </c>
      <c r="V508" s="2984">
        <f t="shared" si="128"/>
        <v>0</v>
      </c>
      <c r="W508" s="998"/>
      <c r="X508" s="2984">
        <f t="shared" si="129"/>
        <v>0</v>
      </c>
      <c r="Y508" s="298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4">
        <f t="shared" si="127"/>
        <v>0</v>
      </c>
      <c r="V509" s="2984">
        <f t="shared" si="128"/>
        <v>0</v>
      </c>
      <c r="W509" s="998"/>
      <c r="X509" s="2984">
        <f t="shared" si="129"/>
        <v>0</v>
      </c>
      <c r="Y509" s="298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4">
        <f t="shared" si="127"/>
        <v>0</v>
      </c>
      <c r="V510" s="2984">
        <f t="shared" si="128"/>
        <v>0</v>
      </c>
      <c r="W510" s="998"/>
      <c r="X510" s="2984">
        <f t="shared" si="129"/>
        <v>0</v>
      </c>
      <c r="Y510" s="298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4">
        <f t="shared" si="127"/>
        <v>0</v>
      </c>
      <c r="V511" s="2984">
        <f t="shared" si="128"/>
        <v>0</v>
      </c>
      <c r="W511" s="998"/>
      <c r="X511" s="2984">
        <f t="shared" si="129"/>
        <v>0</v>
      </c>
      <c r="Y511" s="298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4">
        <f t="shared" si="127"/>
        <v>0</v>
      </c>
      <c r="V512" s="2984">
        <f t="shared" si="128"/>
        <v>0</v>
      </c>
      <c r="W512" s="998"/>
      <c r="X512" s="2984">
        <f t="shared" si="129"/>
        <v>0</v>
      </c>
      <c r="Y512" s="298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4">
        <f t="shared" si="127"/>
        <v>0</v>
      </c>
      <c r="V513" s="2984">
        <f t="shared" si="128"/>
        <v>0</v>
      </c>
      <c r="W513" s="998"/>
      <c r="X513" s="2984">
        <f t="shared" si="129"/>
        <v>0</v>
      </c>
      <c r="Y513" s="298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4">
        <f t="shared" si="127"/>
        <v>0</v>
      </c>
      <c r="V514" s="2984">
        <f t="shared" si="128"/>
        <v>0</v>
      </c>
      <c r="W514" s="998"/>
      <c r="X514" s="2984">
        <f t="shared" si="129"/>
        <v>0</v>
      </c>
      <c r="Y514" s="298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4">
        <f t="shared" si="127"/>
        <v>0</v>
      </c>
      <c r="V515" s="2984">
        <f t="shared" si="128"/>
        <v>0</v>
      </c>
      <c r="W515" s="998"/>
      <c r="X515" s="2984">
        <f t="shared" si="129"/>
        <v>0</v>
      </c>
      <c r="Y515" s="298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4">
        <f t="shared" si="127"/>
        <v>0</v>
      </c>
      <c r="V516" s="2984">
        <f t="shared" si="128"/>
        <v>0</v>
      </c>
      <c r="W516" s="998"/>
      <c r="X516" s="2984">
        <f t="shared" si="129"/>
        <v>0</v>
      </c>
      <c r="Y516" s="298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4">
        <f t="shared" si="127"/>
        <v>0</v>
      </c>
      <c r="V517" s="2984">
        <f t="shared" si="128"/>
        <v>0</v>
      </c>
      <c r="W517" s="998"/>
      <c r="X517" s="2984">
        <f t="shared" si="129"/>
        <v>0</v>
      </c>
      <c r="Y517" s="298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4">
        <f t="shared" si="127"/>
        <v>0</v>
      </c>
      <c r="V518" s="2984">
        <f t="shared" si="128"/>
        <v>0</v>
      </c>
      <c r="W518" s="998"/>
      <c r="X518" s="2984">
        <f t="shared" si="129"/>
        <v>0</v>
      </c>
      <c r="Y518" s="298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4">
        <f t="shared" si="127"/>
        <v>0</v>
      </c>
      <c r="V519" s="2984">
        <f t="shared" si="128"/>
        <v>0</v>
      </c>
      <c r="W519" s="998"/>
      <c r="X519" s="2984">
        <f t="shared" si="129"/>
        <v>0</v>
      </c>
      <c r="Y519" s="298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4">
        <f t="shared" si="127"/>
        <v>0</v>
      </c>
      <c r="V520" s="2984">
        <f t="shared" si="128"/>
        <v>0</v>
      </c>
      <c r="W520" s="998"/>
      <c r="X520" s="2984">
        <f t="shared" si="129"/>
        <v>0</v>
      </c>
      <c r="Y520" s="298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4">
        <f t="shared" si="127"/>
        <v>0</v>
      </c>
      <c r="V521" s="2984">
        <f t="shared" si="128"/>
        <v>0</v>
      </c>
      <c r="W521" s="998"/>
      <c r="X521" s="2984">
        <f t="shared" si="129"/>
        <v>0</v>
      </c>
      <c r="Y521" s="298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4">
        <f t="shared" si="127"/>
        <v>0</v>
      </c>
      <c r="V522" s="2984">
        <f t="shared" si="128"/>
        <v>0</v>
      </c>
      <c r="W522" s="998"/>
      <c r="X522" s="2984">
        <f t="shared" si="129"/>
        <v>0</v>
      </c>
      <c r="Y522" s="298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4">
        <f t="shared" si="127"/>
        <v>0</v>
      </c>
      <c r="V523" s="2984">
        <f t="shared" si="128"/>
        <v>0</v>
      </c>
      <c r="W523" s="998"/>
      <c r="X523" s="2984">
        <f t="shared" si="129"/>
        <v>0</v>
      </c>
      <c r="Y523" s="298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4">
        <f t="shared" si="127"/>
        <v>0</v>
      </c>
      <c r="V524" s="2984">
        <f t="shared" si="128"/>
        <v>0</v>
      </c>
      <c r="W524" s="998"/>
      <c r="X524" s="2984">
        <f t="shared" si="129"/>
        <v>0</v>
      </c>
      <c r="Y524" s="298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4">
        <f t="shared" si="127"/>
        <v>0</v>
      </c>
      <c r="V525" s="2984">
        <f t="shared" si="128"/>
        <v>0</v>
      </c>
      <c r="W525" s="998"/>
      <c r="X525" s="2984">
        <f t="shared" si="129"/>
        <v>0</v>
      </c>
      <c r="Y525" s="298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4">
        <f t="shared" si="127"/>
        <v>0</v>
      </c>
      <c r="V526" s="2984">
        <f t="shared" si="128"/>
        <v>0</v>
      </c>
      <c r="W526" s="998"/>
      <c r="X526" s="2984">
        <f t="shared" si="129"/>
        <v>0</v>
      </c>
      <c r="Y526" s="298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4">
        <f t="shared" si="127"/>
        <v>0</v>
      </c>
      <c r="V527" s="2984">
        <f t="shared" si="128"/>
        <v>0</v>
      </c>
      <c r="W527" s="998"/>
      <c r="X527" s="2984">
        <f t="shared" si="129"/>
        <v>0</v>
      </c>
      <c r="Y527" s="298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2242</v>
      </c>
      <c r="C1" s="1639"/>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86"/>
      <c r="I2" s="2986"/>
      <c r="J2" s="2986"/>
      <c r="K2" s="2987"/>
      <c r="L2" s="2988"/>
      <c r="M2" s="2986"/>
      <c r="N2" s="2986"/>
      <c r="O2" s="2986"/>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2244</v>
      </c>
      <c r="D3" s="1660">
        <f>IF(C1="仅计算典型户型",'数据-取费表'!E5,'数据-取费表'!B5)</f>
        <v>346.86</v>
      </c>
      <c r="E3" s="2986"/>
      <c r="F3" s="2989"/>
      <c r="G3" s="2986"/>
      <c r="H3" s="2986"/>
      <c r="I3" s="2986"/>
      <c r="J3" s="2986"/>
      <c r="K3" s="2987"/>
      <c r="L3" s="2988"/>
      <c r="M3" s="2986"/>
      <c r="N3" s="2986"/>
      <c r="O3" s="2986"/>
      <c r="P3" s="1661"/>
      <c r="Q3" s="1657"/>
      <c r="R3" s="1657"/>
      <c r="S3" s="1657"/>
      <c r="T3" s="1657"/>
      <c r="U3" s="1657"/>
      <c r="V3" s="1657"/>
      <c r="W3" s="1657"/>
      <c r="X3" s="1657"/>
      <c r="Y3" s="1657"/>
      <c r="Z3" s="1657"/>
      <c r="AA3" s="1657"/>
      <c r="AB3" s="1657"/>
      <c r="AC3" s="1662"/>
    </row>
    <row r="4" spans="1:29" ht="14.4">
      <c r="A4" s="1663" t="s">
        <v>2245</v>
      </c>
      <c r="B4" s="1664"/>
      <c r="C4" s="3465" t="s">
        <v>2246</v>
      </c>
      <c r="D4" s="3466"/>
      <c r="E4" s="3467" t="s">
        <v>2247</v>
      </c>
      <c r="F4" s="3468"/>
      <c r="G4" s="3465" t="s">
        <v>2248</v>
      </c>
      <c r="H4" s="3466"/>
      <c r="I4" s="3465" t="s">
        <v>2249</v>
      </c>
      <c r="J4" s="3466"/>
      <c r="K4" s="1665" t="s">
        <v>2250</v>
      </c>
      <c r="L4" s="2990"/>
      <c r="M4" s="2991"/>
      <c r="N4" s="2991"/>
      <c r="O4" s="2991"/>
      <c r="P4" s="3469" t="s">
        <v>2251</v>
      </c>
      <c r="Q4" s="3470"/>
      <c r="R4" s="3454" t="s">
        <v>2247</v>
      </c>
      <c r="S4" s="3455"/>
      <c r="T4" s="3454" t="s">
        <v>2248</v>
      </c>
      <c r="U4" s="3455"/>
      <c r="V4" s="3475" t="s">
        <v>2249</v>
      </c>
      <c r="W4" s="3475"/>
      <c r="X4" s="1666"/>
      <c r="Y4" s="3454" t="s">
        <v>2251</v>
      </c>
      <c r="Z4" s="3455"/>
      <c r="AA4" s="3462" t="s">
        <v>2247</v>
      </c>
      <c r="AB4" s="3462" t="s">
        <v>2248</v>
      </c>
      <c r="AC4" s="3462" t="s">
        <v>2249</v>
      </c>
    </row>
    <row r="5" spans="1:29">
      <c r="A5" s="1668"/>
      <c r="B5" s="1669"/>
      <c r="C5" s="3450" t="s">
        <v>2252</v>
      </c>
      <c r="D5" s="3451"/>
      <c r="E5" s="3476" t="s">
        <v>2253</v>
      </c>
      <c r="F5" s="3477"/>
      <c r="G5" s="3450" t="s">
        <v>2254</v>
      </c>
      <c r="H5" s="3451"/>
      <c r="I5" s="3450" t="s">
        <v>2255</v>
      </c>
      <c r="J5" s="3451"/>
      <c r="K5" s="1670"/>
      <c r="L5" s="2990"/>
      <c r="M5" s="2991"/>
      <c r="N5" s="2991"/>
      <c r="O5" s="2991"/>
      <c r="P5" s="3471"/>
      <c r="Q5" s="3472"/>
      <c r="R5" s="3456"/>
      <c r="S5" s="3457"/>
      <c r="T5" s="3456"/>
      <c r="U5" s="3457"/>
      <c r="V5" s="3475"/>
      <c r="W5" s="3475"/>
      <c r="X5" s="1666"/>
      <c r="Y5" s="3456"/>
      <c r="Z5" s="3457"/>
      <c r="AA5" s="3463"/>
      <c r="AB5" s="3463"/>
      <c r="AC5" s="3463"/>
    </row>
    <row r="6" spans="1:29" ht="15" thickBot="1">
      <c r="A6" s="1671"/>
      <c r="B6" s="1672"/>
      <c r="C6" s="3448" t="s">
        <v>2256</v>
      </c>
      <c r="D6" s="3449"/>
      <c r="E6" s="3478" t="s">
        <v>2256</v>
      </c>
      <c r="F6" s="3479"/>
      <c r="G6" s="3448" t="s">
        <v>2256</v>
      </c>
      <c r="H6" s="3449"/>
      <c r="I6" s="3448" t="s">
        <v>2256</v>
      </c>
      <c r="J6" s="3449"/>
      <c r="K6" s="1670" t="s">
        <v>2257</v>
      </c>
      <c r="L6" s="2990"/>
      <c r="M6" s="2991"/>
      <c r="N6" s="2991"/>
      <c r="O6" s="2991"/>
      <c r="P6" s="3473"/>
      <c r="Q6" s="3474"/>
      <c r="R6" s="3456"/>
      <c r="S6" s="3457"/>
      <c r="T6" s="3458"/>
      <c r="U6" s="3459"/>
      <c r="V6" s="3475"/>
      <c r="W6" s="3475"/>
      <c r="X6" s="1666"/>
      <c r="Y6" s="3458"/>
      <c r="Z6" s="3459"/>
      <c r="AA6" s="3464"/>
      <c r="AB6" s="3464"/>
      <c r="AC6" s="3464"/>
    </row>
    <row r="7" spans="1:29" s="1685" customFormat="1" ht="15" thickBot="1">
      <c r="A7" s="1673" t="s">
        <v>2258</v>
      </c>
      <c r="B7" s="1674"/>
      <c r="C7" s="1675">
        <f>'数据-取费表'!B2</f>
        <v>44393</v>
      </c>
      <c r="D7" s="1676">
        <v>100</v>
      </c>
      <c r="E7" s="1677"/>
      <c r="F7" s="1678">
        <f>SUMIF(58:58,YEAR(E7)&amp;"-"&amp;MONTH(E7),59:59)</f>
        <v>0</v>
      </c>
      <c r="G7" s="1677"/>
      <c r="H7" s="1676">
        <f>SUMIF(58:58,YEAR(G7)&amp;"-"&amp;MONTH(G7),59:59)</f>
        <v>0</v>
      </c>
      <c r="I7" s="1677"/>
      <c r="J7" s="1676">
        <f>SUMIF(58:58,YEAR(I7)&amp;"-"&amp;MONTH(I7),59:59)</f>
        <v>0</v>
      </c>
      <c r="K7" s="1679"/>
      <c r="L7" s="2990"/>
      <c r="M7" s="2963"/>
      <c r="N7" s="2963"/>
      <c r="O7" s="2963"/>
      <c r="P7" s="3452" t="s">
        <v>2259</v>
      </c>
      <c r="Q7" s="3460"/>
      <c r="R7" s="1681" t="s">
        <v>34</v>
      </c>
      <c r="S7" s="1682">
        <f t="shared" ref="S7:S15" si="0">F7</f>
        <v>0</v>
      </c>
      <c r="T7" s="1681" t="s">
        <v>34</v>
      </c>
      <c r="U7" s="1682">
        <f t="shared" ref="U7:U15" si="1">H7</f>
        <v>0</v>
      </c>
      <c r="V7" s="1681" t="s">
        <v>34</v>
      </c>
      <c r="W7" s="1682">
        <f t="shared" ref="W7:W15" si="2">J7</f>
        <v>0</v>
      </c>
      <c r="X7" s="1683"/>
      <c r="Y7" s="3452" t="s">
        <v>2259</v>
      </c>
      <c r="Z7" s="3453"/>
      <c r="AA7" s="1684" t="e">
        <f>D7/F7</f>
        <v>#DIV/0!</v>
      </c>
      <c r="AB7" s="1684" t="e">
        <f>D7/H7</f>
        <v>#DIV/0!</v>
      </c>
      <c r="AC7" s="1684" t="e">
        <f>D7/J7</f>
        <v>#DIV/0!</v>
      </c>
    </row>
    <row r="8" spans="1:29" s="1685" customFormat="1" ht="15" thickBot="1">
      <c r="A8" s="1673" t="s">
        <v>2260</v>
      </c>
      <c r="B8" s="1674"/>
      <c r="C8" s="1686" t="s">
        <v>2261</v>
      </c>
      <c r="D8" s="1676">
        <v>100</v>
      </c>
      <c r="E8" s="1687"/>
      <c r="F8" s="1678">
        <f>SUMIF(61:61,E8,62:62)-SUMIF(61:61,C8,62:62)+100</f>
        <v>0</v>
      </c>
      <c r="G8" s="1686"/>
      <c r="H8" s="1676">
        <f>SUMIF(61:61,G8,62:62)-SUMIF(61:61,C8,62:62)+100</f>
        <v>0</v>
      </c>
      <c r="I8" s="1687"/>
      <c r="J8" s="1676">
        <f>SUMIF(61:61,I8,62:62)-SUMIF(61:61,C8,62:62)+100</f>
        <v>0</v>
      </c>
      <c r="K8" s="1679"/>
      <c r="L8" s="2990"/>
      <c r="M8" s="2963"/>
      <c r="N8" s="2963"/>
      <c r="O8" s="2963"/>
      <c r="P8" s="3452" t="s">
        <v>2262</v>
      </c>
      <c r="Q8" s="3453"/>
      <c r="R8" s="1681" t="s">
        <v>34</v>
      </c>
      <c r="S8" s="1682">
        <f t="shared" si="0"/>
        <v>0</v>
      </c>
      <c r="T8" s="1681" t="s">
        <v>34</v>
      </c>
      <c r="U8" s="1682">
        <f t="shared" si="1"/>
        <v>0</v>
      </c>
      <c r="V8" s="1681" t="s">
        <v>34</v>
      </c>
      <c r="W8" s="1682">
        <f t="shared" si="2"/>
        <v>0</v>
      </c>
      <c r="X8" s="1683"/>
      <c r="Y8" s="3452" t="s">
        <v>2262</v>
      </c>
      <c r="Z8" s="3453"/>
      <c r="AA8" s="1684" t="e">
        <f t="shared" ref="AA8:AA46" si="3">D8/F8</f>
        <v>#DIV/0!</v>
      </c>
      <c r="AB8" s="1684" t="e">
        <f t="shared" ref="AB8:AB46" si="4">D8/H8</f>
        <v>#DIV/0!</v>
      </c>
      <c r="AC8" s="1684" t="e">
        <f t="shared" ref="AC8:AC46" si="5">D8/J8</f>
        <v>#DIV/0!</v>
      </c>
    </row>
    <row r="9" spans="1:29" s="1685" customFormat="1" ht="14.4">
      <c r="A9" s="1636" t="s">
        <v>2263</v>
      </c>
      <c r="B9" s="1688" t="s">
        <v>2264</v>
      </c>
      <c r="C9" s="1689"/>
      <c r="D9" s="1690">
        <v>100</v>
      </c>
      <c r="E9" s="1691"/>
      <c r="F9" s="1692">
        <f>SUMIF(63:63,E9,64:64)-SUMIF(63:63,C9,64:64)+100</f>
        <v>100</v>
      </c>
      <c r="G9" s="1693"/>
      <c r="H9" s="1690">
        <f>SUMIF(63:63,G9,64:64)-SUMIF(63:63,C9,64:64)+100</f>
        <v>100</v>
      </c>
      <c r="I9" s="1693"/>
      <c r="J9" s="1690">
        <f>SUMIF(63:63,I9,64:64)-SUMIF(63:63,C9,64:64)+100</f>
        <v>100</v>
      </c>
      <c r="K9" s="1679"/>
      <c r="L9" s="2990"/>
      <c r="M9" s="2963"/>
      <c r="N9" s="2963"/>
      <c r="O9" s="2963"/>
      <c r="P9" s="3461" t="s">
        <v>2265</v>
      </c>
      <c r="Q9" s="1635"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701"/>
      <c r="L10" s="2992"/>
      <c r="M10" s="2993"/>
      <c r="N10" s="2993"/>
      <c r="O10" s="2993"/>
      <c r="P10" s="3461"/>
      <c r="Q10" s="1635"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4"/>
      <c r="M11" s="2991"/>
      <c r="N11" s="2991"/>
      <c r="O11" s="2991"/>
      <c r="P11" s="3461"/>
      <c r="Q11" s="1635" t="str">
        <f t="shared" si="6"/>
        <v>容积率</v>
      </c>
      <c r="R11" s="1681" t="s">
        <v>28</v>
      </c>
      <c r="S11" s="1682" t="e">
        <f t="shared" si="0"/>
        <v>#N/A</v>
      </c>
      <c r="T11" s="1681" t="s">
        <v>28</v>
      </c>
      <c r="U11" s="1682" t="e">
        <f t="shared" si="1"/>
        <v>#N/A</v>
      </c>
      <c r="V11" s="1681" t="s">
        <v>28</v>
      </c>
      <c r="W11" s="1682" t="e">
        <f t="shared" si="2"/>
        <v>#N/A</v>
      </c>
      <c r="X11" s="1683"/>
      <c r="Y11" s="329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0"/>
      <c r="M12" s="2963"/>
      <c r="N12" s="2963"/>
      <c r="O12" s="2963"/>
      <c r="P12" s="3461"/>
      <c r="Q12" s="1635">
        <f t="shared" si="6"/>
        <v>111</v>
      </c>
      <c r="R12" s="1681" t="s">
        <v>28</v>
      </c>
      <c r="S12" s="1682">
        <f t="shared" si="0"/>
        <v>100</v>
      </c>
      <c r="T12" s="1681" t="s">
        <v>28</v>
      </c>
      <c r="U12" s="1682">
        <f t="shared" si="1"/>
        <v>100</v>
      </c>
      <c r="V12" s="1681" t="s">
        <v>28</v>
      </c>
      <c r="W12" s="1682">
        <f t="shared" si="2"/>
        <v>100</v>
      </c>
      <c r="X12" s="1683"/>
      <c r="Y12" s="329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5"/>
      <c r="M13" s="2991"/>
      <c r="N13" s="2991"/>
      <c r="O13" s="2991"/>
      <c r="P13" s="3461"/>
      <c r="Q13" s="1635">
        <f t="shared" si="6"/>
        <v>111</v>
      </c>
      <c r="R13" s="1681" t="s">
        <v>28</v>
      </c>
      <c r="S13" s="1682">
        <f t="shared" si="0"/>
        <v>100</v>
      </c>
      <c r="T13" s="1681" t="s">
        <v>28</v>
      </c>
      <c r="U13" s="1682">
        <f t="shared" si="1"/>
        <v>100</v>
      </c>
      <c r="V13" s="1681" t="s">
        <v>28</v>
      </c>
      <c r="W13" s="1682">
        <f t="shared" si="2"/>
        <v>100</v>
      </c>
      <c r="X13" s="1683"/>
      <c r="Y13" s="3299"/>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5"/>
      <c r="M14" s="2991"/>
      <c r="N14" s="2991"/>
      <c r="O14" s="2991"/>
      <c r="P14" s="3461"/>
      <c r="Q14" s="1635">
        <f t="shared" si="6"/>
        <v>111</v>
      </c>
      <c r="R14" s="1681" t="s">
        <v>28</v>
      </c>
      <c r="S14" s="1682">
        <f t="shared" si="0"/>
        <v>100</v>
      </c>
      <c r="T14" s="1681" t="s">
        <v>28</v>
      </c>
      <c r="U14" s="1682">
        <f t="shared" si="1"/>
        <v>100</v>
      </c>
      <c r="V14" s="1681" t="s">
        <v>28</v>
      </c>
      <c r="W14" s="1682">
        <f t="shared" si="2"/>
        <v>100</v>
      </c>
      <c r="X14" s="1683"/>
      <c r="Y14" s="3299"/>
      <c r="Z14" s="1694">
        <f t="shared" si="7"/>
        <v>111</v>
      </c>
      <c r="AA14" s="1684">
        <f t="shared" si="3"/>
        <v>1</v>
      </c>
      <c r="AB14" s="1684">
        <f t="shared" si="4"/>
        <v>1</v>
      </c>
      <c r="AC14" s="1684">
        <f t="shared" si="5"/>
        <v>1</v>
      </c>
    </row>
    <row r="15" spans="1:29" ht="96.6">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2995"/>
      <c r="M15" s="2991"/>
      <c r="N15" s="2991"/>
      <c r="O15" s="2991"/>
      <c r="P15" s="3439" t="s">
        <v>2270</v>
      </c>
      <c r="Q15" s="1616" t="str">
        <f t="shared" si="6"/>
        <v>居住社区成熟度</v>
      </c>
      <c r="R15" s="1726" t="s">
        <v>28</v>
      </c>
      <c r="S15" s="1727">
        <f t="shared" si="0"/>
        <v>100</v>
      </c>
      <c r="T15" s="1726" t="s">
        <v>28</v>
      </c>
      <c r="U15" s="1727">
        <f t="shared" si="1"/>
        <v>100</v>
      </c>
      <c r="V15" s="1726" t="s">
        <v>28</v>
      </c>
      <c r="W15" s="1727">
        <f t="shared" si="2"/>
        <v>100</v>
      </c>
      <c r="X15" s="1666"/>
      <c r="Y15" s="3441" t="s">
        <v>2270</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2995"/>
      <c r="M16" s="2991"/>
      <c r="N16" s="2991"/>
      <c r="O16" s="2991"/>
      <c r="P16" s="3440"/>
      <c r="Q16" s="1616"/>
      <c r="R16" s="1726"/>
      <c r="S16" s="1727"/>
      <c r="T16" s="1726"/>
      <c r="U16" s="1727"/>
      <c r="V16" s="1726"/>
      <c r="W16" s="1727"/>
      <c r="X16" s="1666"/>
      <c r="Y16" s="3442"/>
      <c r="Z16" s="1728"/>
      <c r="AA16" s="1729">
        <v>1</v>
      </c>
      <c r="AB16" s="1729">
        <v>1</v>
      </c>
      <c r="AC16" s="1729">
        <v>1</v>
      </c>
    </row>
    <row r="17" spans="1:29" ht="82.8">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2995"/>
      <c r="M17" s="2991"/>
      <c r="N17" s="2991"/>
      <c r="O17" s="2991"/>
      <c r="P17" s="3440"/>
      <c r="Q17" s="1616" t="str">
        <f>B17</f>
        <v>交通便捷度</v>
      </c>
      <c r="R17" s="1726" t="s">
        <v>28</v>
      </c>
      <c r="S17" s="1727">
        <f>F17</f>
        <v>100</v>
      </c>
      <c r="T17" s="1726" t="s">
        <v>28</v>
      </c>
      <c r="U17" s="1727">
        <f>H17</f>
        <v>100</v>
      </c>
      <c r="V17" s="1726" t="s">
        <v>28</v>
      </c>
      <c r="W17" s="1727">
        <f>J17</f>
        <v>100</v>
      </c>
      <c r="X17" s="1666"/>
      <c r="Y17" s="344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2995"/>
      <c r="M18" s="2991"/>
      <c r="N18" s="2991"/>
      <c r="O18" s="2991"/>
      <c r="P18" s="3440"/>
      <c r="Q18" s="1616"/>
      <c r="R18" s="1726"/>
      <c r="S18" s="1727"/>
      <c r="T18" s="1726"/>
      <c r="U18" s="1727"/>
      <c r="V18" s="1726"/>
      <c r="W18" s="1727"/>
      <c r="X18" s="1666"/>
      <c r="Y18" s="3442"/>
      <c r="Z18" s="1728"/>
      <c r="AA18" s="1729">
        <v>1</v>
      </c>
      <c r="AB18" s="1729">
        <v>1</v>
      </c>
      <c r="AC18" s="1729">
        <v>1</v>
      </c>
    </row>
    <row r="19" spans="1:29" ht="41.4">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2995"/>
      <c r="M19" s="2991"/>
      <c r="N19" s="2991"/>
      <c r="O19" s="2991"/>
      <c r="P19" s="3440"/>
      <c r="Q19" s="1616" t="str">
        <f>B19</f>
        <v>公共配套设施</v>
      </c>
      <c r="R19" s="1726" t="s">
        <v>28</v>
      </c>
      <c r="S19" s="1727">
        <f>F19</f>
        <v>100</v>
      </c>
      <c r="T19" s="1726" t="s">
        <v>28</v>
      </c>
      <c r="U19" s="1727">
        <f>H19</f>
        <v>100</v>
      </c>
      <c r="V19" s="1726" t="s">
        <v>28</v>
      </c>
      <c r="W19" s="1727">
        <f>J19</f>
        <v>100</v>
      </c>
      <c r="X19" s="1666"/>
      <c r="Y19" s="344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2995"/>
      <c r="M20" s="2991"/>
      <c r="N20" s="2991"/>
      <c r="O20" s="2991"/>
      <c r="P20" s="3440"/>
      <c r="Q20" s="1616"/>
      <c r="R20" s="1726"/>
      <c r="S20" s="1727"/>
      <c r="T20" s="1726"/>
      <c r="U20" s="1727"/>
      <c r="V20" s="1726"/>
      <c r="W20" s="1727"/>
      <c r="X20" s="1666"/>
      <c r="Y20" s="3442"/>
      <c r="Z20" s="1728"/>
      <c r="AA20" s="1729">
        <v>1</v>
      </c>
      <c r="AB20" s="1729">
        <v>1</v>
      </c>
      <c r="AC20" s="1729">
        <v>1</v>
      </c>
    </row>
    <row r="21" spans="1:29" ht="27.6">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2995"/>
      <c r="M21" s="2991"/>
      <c r="N21" s="2991"/>
      <c r="O21" s="2991"/>
      <c r="P21" s="3440"/>
      <c r="Q21" s="1616" t="str">
        <f>B21</f>
        <v>基础设施水平</v>
      </c>
      <c r="R21" s="1726" t="s">
        <v>28</v>
      </c>
      <c r="S21" s="1727">
        <f>F21</f>
        <v>100</v>
      </c>
      <c r="T21" s="1726" t="s">
        <v>28</v>
      </c>
      <c r="U21" s="1727">
        <f>H21</f>
        <v>100</v>
      </c>
      <c r="V21" s="1726" t="s">
        <v>28</v>
      </c>
      <c r="W21" s="1727">
        <f>J21</f>
        <v>100</v>
      </c>
      <c r="X21" s="1666"/>
      <c r="Y21" s="344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2995"/>
      <c r="M22" s="2991"/>
      <c r="N22" s="2991"/>
      <c r="O22" s="2991"/>
      <c r="P22" s="3440"/>
      <c r="Q22" s="1616"/>
      <c r="R22" s="1726"/>
      <c r="S22" s="1727"/>
      <c r="T22" s="1726"/>
      <c r="U22" s="1727"/>
      <c r="V22" s="1726"/>
      <c r="W22" s="1727"/>
      <c r="X22" s="1666"/>
      <c r="Y22" s="3442"/>
      <c r="Z22" s="1728"/>
      <c r="AA22" s="1729">
        <v>1</v>
      </c>
      <c r="AB22" s="1729">
        <v>1</v>
      </c>
      <c r="AC22" s="1729">
        <v>1</v>
      </c>
    </row>
    <row r="23" spans="1:29" ht="55.2">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2995"/>
      <c r="M23" s="2991"/>
      <c r="N23" s="2991"/>
      <c r="O23" s="2991"/>
      <c r="P23" s="3440"/>
      <c r="Q23" s="1616" t="str">
        <f>B23</f>
        <v>自然及人文环境</v>
      </c>
      <c r="R23" s="1726" t="s">
        <v>28</v>
      </c>
      <c r="S23" s="1727">
        <f>F23</f>
        <v>100</v>
      </c>
      <c r="T23" s="1726" t="s">
        <v>28</v>
      </c>
      <c r="U23" s="1727">
        <f>H23</f>
        <v>100</v>
      </c>
      <c r="V23" s="1726" t="s">
        <v>28</v>
      </c>
      <c r="W23" s="1727">
        <f>J23</f>
        <v>100</v>
      </c>
      <c r="X23" s="1666"/>
      <c r="Y23" s="344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2995"/>
      <c r="M24" s="2991"/>
      <c r="N24" s="2991"/>
      <c r="O24" s="2991"/>
      <c r="P24" s="3440"/>
      <c r="Q24" s="1616"/>
      <c r="R24" s="1726"/>
      <c r="S24" s="1727"/>
      <c r="T24" s="1726"/>
      <c r="U24" s="1727"/>
      <c r="V24" s="1726"/>
      <c r="W24" s="1727"/>
      <c r="X24" s="1666"/>
      <c r="Y24" s="3442"/>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5"/>
      <c r="M25" s="2991"/>
      <c r="N25" s="2991"/>
      <c r="O25" s="2991"/>
      <c r="P25" s="3440"/>
      <c r="Q25" s="1616" t="str">
        <f t="shared" ref="Q25:Q46" si="11">B25</f>
        <v>楼层-1</v>
      </c>
      <c r="R25" s="1726" t="s">
        <v>28</v>
      </c>
      <c r="S25" s="1727">
        <f>F25</f>
        <v>100</v>
      </c>
      <c r="T25" s="1726" t="s">
        <v>28</v>
      </c>
      <c r="U25" s="1727">
        <f>H25</f>
        <v>100</v>
      </c>
      <c r="V25" s="1726" t="s">
        <v>28</v>
      </c>
      <c r="W25" s="1727">
        <f>J25</f>
        <v>100</v>
      </c>
      <c r="X25" s="1666"/>
      <c r="Y25" s="3442"/>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5"/>
      <c r="M26" s="2991"/>
      <c r="N26" s="2991"/>
      <c r="O26" s="2991"/>
      <c r="P26" s="3440"/>
      <c r="Q26" s="1616" t="str">
        <f t="shared" si="11"/>
        <v>朝向</v>
      </c>
      <c r="R26" s="1726" t="s">
        <v>28</v>
      </c>
      <c r="S26" s="1727">
        <f>F26</f>
        <v>100</v>
      </c>
      <c r="T26" s="1726" t="s">
        <v>28</v>
      </c>
      <c r="U26" s="1727">
        <f>H26</f>
        <v>100</v>
      </c>
      <c r="V26" s="1726" t="s">
        <v>28</v>
      </c>
      <c r="W26" s="1727">
        <f>J26</f>
        <v>100</v>
      </c>
      <c r="X26" s="1666"/>
      <c r="Y26" s="3442"/>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0"/>
      <c r="M27" s="2963"/>
      <c r="N27" s="2963"/>
      <c r="O27" s="2963"/>
      <c r="P27" s="3440"/>
      <c r="Q27" s="1635" t="str">
        <f t="shared" si="11"/>
        <v>道路级别</v>
      </c>
      <c r="R27" s="1681" t="s">
        <v>28</v>
      </c>
      <c r="S27" s="1682">
        <f>F27</f>
        <v>100</v>
      </c>
      <c r="T27" s="1681" t="s">
        <v>28</v>
      </c>
      <c r="U27" s="1682">
        <f>H27</f>
        <v>100</v>
      </c>
      <c r="V27" s="1681" t="s">
        <v>28</v>
      </c>
      <c r="W27" s="1682">
        <f>J27</f>
        <v>100</v>
      </c>
      <c r="X27" s="1683"/>
      <c r="Y27" s="344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2995"/>
      <c r="M28" s="2991"/>
      <c r="N28" s="2991"/>
      <c r="O28" s="2991"/>
      <c r="P28" s="3440"/>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5"/>
      <c r="M29" s="2991"/>
      <c r="N29" s="2991"/>
      <c r="O29" s="2991"/>
      <c r="P29" s="3440"/>
      <c r="Q29" s="1616">
        <f t="shared" si="11"/>
        <v>111</v>
      </c>
      <c r="R29" s="1726" t="s">
        <v>28</v>
      </c>
      <c r="S29" s="1727">
        <f t="shared" si="12"/>
        <v>100</v>
      </c>
      <c r="T29" s="1726" t="s">
        <v>28</v>
      </c>
      <c r="U29" s="1727">
        <f t="shared" si="13"/>
        <v>100</v>
      </c>
      <c r="V29" s="1726" t="s">
        <v>28</v>
      </c>
      <c r="W29" s="1727">
        <f t="shared" si="14"/>
        <v>100</v>
      </c>
      <c r="X29" s="1666"/>
      <c r="Y29" s="344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5"/>
      <c r="M30" s="2991"/>
      <c r="N30" s="2991"/>
      <c r="O30" s="2991"/>
      <c r="P30" s="3440"/>
      <c r="Q30" s="1616">
        <f t="shared" si="11"/>
        <v>111</v>
      </c>
      <c r="R30" s="1726" t="s">
        <v>28</v>
      </c>
      <c r="S30" s="1727">
        <f t="shared" si="12"/>
        <v>100</v>
      </c>
      <c r="T30" s="1726" t="s">
        <v>28</v>
      </c>
      <c r="U30" s="1727">
        <f t="shared" si="13"/>
        <v>100</v>
      </c>
      <c r="V30" s="1726" t="s">
        <v>28</v>
      </c>
      <c r="W30" s="1727">
        <f t="shared" si="14"/>
        <v>100</v>
      </c>
      <c r="X30" s="1666"/>
      <c r="Y30" s="3442"/>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5"/>
      <c r="M31" s="2991"/>
      <c r="N31" s="2991"/>
      <c r="O31" s="2991"/>
      <c r="P31" s="3440"/>
      <c r="Q31" s="1616">
        <f t="shared" si="11"/>
        <v>111</v>
      </c>
      <c r="R31" s="1726" t="s">
        <v>28</v>
      </c>
      <c r="S31" s="1727">
        <f t="shared" si="12"/>
        <v>100</v>
      </c>
      <c r="T31" s="1726" t="s">
        <v>28</v>
      </c>
      <c r="U31" s="1727">
        <f t="shared" si="13"/>
        <v>100</v>
      </c>
      <c r="V31" s="1726" t="s">
        <v>28</v>
      </c>
      <c r="W31" s="1727">
        <f t="shared" si="14"/>
        <v>100</v>
      </c>
      <c r="X31" s="1666"/>
      <c r="Y31" s="3442"/>
      <c r="Z31" s="1728">
        <f t="shared" si="15"/>
        <v>111</v>
      </c>
      <c r="AA31" s="1729">
        <f t="shared" si="3"/>
        <v>1</v>
      </c>
      <c r="AB31" s="1729">
        <f t="shared" si="4"/>
        <v>1</v>
      </c>
      <c r="AC31" s="1729">
        <f t="shared" si="5"/>
        <v>1</v>
      </c>
    </row>
    <row r="32" spans="1:29" ht="15">
      <c r="A32" s="1718" t="s">
        <v>2274</v>
      </c>
      <c r="B32" s="1688" t="s">
        <v>2275</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2995"/>
      <c r="M32" s="2991"/>
      <c r="N32" s="2991"/>
      <c r="O32" s="2991"/>
      <c r="P32" s="3443" t="s">
        <v>2276</v>
      </c>
      <c r="Q32" s="1616" t="str">
        <f t="shared" si="11"/>
        <v>建筑类型</v>
      </c>
      <c r="R32" s="1726" t="s">
        <v>28</v>
      </c>
      <c r="S32" s="1727">
        <f t="shared" si="12"/>
        <v>100</v>
      </c>
      <c r="T32" s="1726" t="s">
        <v>28</v>
      </c>
      <c r="U32" s="1727">
        <f t="shared" si="13"/>
        <v>100</v>
      </c>
      <c r="V32" s="1726" t="s">
        <v>28</v>
      </c>
      <c r="W32" s="1727">
        <f t="shared" si="14"/>
        <v>100</v>
      </c>
      <c r="X32" s="1666"/>
      <c r="Y32" s="3446" t="s">
        <v>2276</v>
      </c>
      <c r="Z32" s="1728" t="str">
        <f t="shared" si="15"/>
        <v>建筑类型</v>
      </c>
      <c r="AA32" s="1729">
        <f t="shared" si="3"/>
        <v>1</v>
      </c>
      <c r="AB32" s="1729">
        <f t="shared" si="4"/>
        <v>1</v>
      </c>
      <c r="AC32" s="1729">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4"/>
      <c r="M33" s="2060"/>
      <c r="N33" s="2060"/>
      <c r="O33" s="2060"/>
      <c r="P33" s="3444"/>
      <c r="Q33" s="1767" t="str">
        <f t="shared" si="11"/>
        <v>项目建筑规模</v>
      </c>
      <c r="R33" s="1768" t="s">
        <v>28</v>
      </c>
      <c r="S33" s="1769" t="e">
        <f t="shared" si="12"/>
        <v>#N/A</v>
      </c>
      <c r="T33" s="1768" t="s">
        <v>28</v>
      </c>
      <c r="U33" s="1769" t="e">
        <f t="shared" si="13"/>
        <v>#N/A</v>
      </c>
      <c r="V33" s="1768" t="s">
        <v>28</v>
      </c>
      <c r="W33" s="1769" t="e">
        <f t="shared" si="14"/>
        <v>#N/A</v>
      </c>
      <c r="X33" s="1770"/>
      <c r="Y33" s="3446"/>
      <c r="Z33" s="1771" t="str">
        <f t="shared" si="15"/>
        <v>项目建筑规模</v>
      </c>
      <c r="AA33" s="1729" t="e">
        <f t="shared" si="3"/>
        <v>#N/A</v>
      </c>
      <c r="AB33" s="1729" t="e">
        <f t="shared" si="4"/>
        <v>#N/A</v>
      </c>
      <c r="AC33" s="1729"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2995"/>
      <c r="M34" s="2991"/>
      <c r="N34" s="2991"/>
      <c r="O34" s="2991"/>
      <c r="P34" s="3444"/>
      <c r="Q34" s="1616" t="str">
        <f t="shared" si="11"/>
        <v>建筑结构</v>
      </c>
      <c r="R34" s="1726" t="s">
        <v>28</v>
      </c>
      <c r="S34" s="1727">
        <f t="shared" si="12"/>
        <v>100</v>
      </c>
      <c r="T34" s="1726" t="s">
        <v>28</v>
      </c>
      <c r="U34" s="1727">
        <f t="shared" si="13"/>
        <v>100</v>
      </c>
      <c r="V34" s="1726" t="s">
        <v>28</v>
      </c>
      <c r="W34" s="1727">
        <f t="shared" si="14"/>
        <v>100</v>
      </c>
      <c r="X34" s="1666"/>
      <c r="Y34" s="3446"/>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2995"/>
      <c r="M35" s="2991"/>
      <c r="N35" s="2991"/>
      <c r="O35" s="2991"/>
      <c r="P35" s="3444"/>
      <c r="Q35" s="1616" t="str">
        <f t="shared" si="11"/>
        <v>建筑品质</v>
      </c>
      <c r="R35" s="1726" t="s">
        <v>28</v>
      </c>
      <c r="S35" s="1727">
        <f t="shared" si="12"/>
        <v>100</v>
      </c>
      <c r="T35" s="1726" t="s">
        <v>28</v>
      </c>
      <c r="U35" s="1727">
        <f t="shared" si="13"/>
        <v>100</v>
      </c>
      <c r="V35" s="1726" t="s">
        <v>28</v>
      </c>
      <c r="W35" s="1727">
        <f t="shared" si="14"/>
        <v>100</v>
      </c>
      <c r="X35" s="1666"/>
      <c r="Y35" s="3446"/>
      <c r="Z35" s="1728" t="str">
        <f t="shared" si="15"/>
        <v>建筑品质</v>
      </c>
      <c r="AA35" s="1729">
        <f t="shared" si="3"/>
        <v>1</v>
      </c>
      <c r="AB35" s="1729">
        <f t="shared" si="4"/>
        <v>1</v>
      </c>
      <c r="AC35" s="1729">
        <f t="shared" si="5"/>
        <v>1</v>
      </c>
    </row>
    <row r="36" spans="1:29" ht="15">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2995"/>
      <c r="M36" s="2991"/>
      <c r="N36" s="2991"/>
      <c r="O36" s="2991"/>
      <c r="P36" s="3444"/>
      <c r="Q36" s="1616" t="str">
        <f t="shared" si="11"/>
        <v>公共部分装修</v>
      </c>
      <c r="R36" s="1726" t="s">
        <v>28</v>
      </c>
      <c r="S36" s="1727">
        <f t="shared" si="12"/>
        <v>100</v>
      </c>
      <c r="T36" s="1726" t="s">
        <v>28</v>
      </c>
      <c r="U36" s="1727">
        <f t="shared" si="13"/>
        <v>100</v>
      </c>
      <c r="V36" s="1726" t="s">
        <v>28</v>
      </c>
      <c r="W36" s="1727">
        <f t="shared" si="14"/>
        <v>100</v>
      </c>
      <c r="X36" s="1666"/>
      <c r="Y36" s="3446"/>
      <c r="Z36" s="1728" t="str">
        <f t="shared" si="15"/>
        <v>公共部分装修</v>
      </c>
      <c r="AA36" s="1729">
        <f t="shared" si="3"/>
        <v>1</v>
      </c>
      <c r="AB36" s="1729">
        <f t="shared" si="4"/>
        <v>1</v>
      </c>
      <c r="AC36" s="1729">
        <f t="shared" si="5"/>
        <v>1</v>
      </c>
    </row>
    <row r="37" spans="1:29" s="1685" customFormat="1" ht="15">
      <c r="A37" s="1776"/>
      <c r="B37" s="1696" t="s">
        <v>2281</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0"/>
      <c r="M37" s="2963"/>
      <c r="N37" s="2963"/>
      <c r="O37" s="2963"/>
      <c r="P37" s="3444"/>
      <c r="Q37" s="1635" t="str">
        <f t="shared" si="11"/>
        <v>成新度</v>
      </c>
      <c r="R37" s="1681" t="s">
        <v>28</v>
      </c>
      <c r="S37" s="1682" t="e">
        <f t="shared" si="12"/>
        <v>#N/A</v>
      </c>
      <c r="T37" s="1681" t="s">
        <v>28</v>
      </c>
      <c r="U37" s="1682" t="e">
        <f t="shared" si="13"/>
        <v>#N/A</v>
      </c>
      <c r="V37" s="1681" t="s">
        <v>28</v>
      </c>
      <c r="W37" s="1682" t="e">
        <f t="shared" si="14"/>
        <v>#N/A</v>
      </c>
      <c r="X37" s="1683"/>
      <c r="Y37" s="3446"/>
      <c r="Z37" s="1694" t="str">
        <f t="shared" si="15"/>
        <v>成新度</v>
      </c>
      <c r="AA37" s="1684" t="e">
        <f t="shared" si="3"/>
        <v>#N/A</v>
      </c>
      <c r="AB37" s="1684" t="e">
        <f t="shared" si="4"/>
        <v>#N/A</v>
      </c>
      <c r="AC37" s="1684" t="e">
        <f t="shared" si="5"/>
        <v>#N/A</v>
      </c>
    </row>
    <row r="38" spans="1:29" ht="15">
      <c r="A38" s="1773"/>
      <c r="B38" s="1696" t="s">
        <v>2282</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2995"/>
      <c r="M38" s="2991"/>
      <c r="N38" s="2991"/>
      <c r="O38" s="2991"/>
      <c r="P38" s="3444" t="s">
        <v>2276</v>
      </c>
      <c r="Q38" s="1616" t="str">
        <f t="shared" si="11"/>
        <v>物业管理</v>
      </c>
      <c r="R38" s="1726" t="s">
        <v>28</v>
      </c>
      <c r="S38" s="1727">
        <f t="shared" si="12"/>
        <v>100</v>
      </c>
      <c r="T38" s="1726" t="s">
        <v>28</v>
      </c>
      <c r="U38" s="1727">
        <f t="shared" si="13"/>
        <v>100</v>
      </c>
      <c r="V38" s="1726" t="s">
        <v>28</v>
      </c>
      <c r="W38" s="1727">
        <f t="shared" si="14"/>
        <v>100</v>
      </c>
      <c r="X38" s="1666"/>
      <c r="Y38" s="3446" t="s">
        <v>2276</v>
      </c>
      <c r="Z38" s="1728" t="str">
        <f t="shared" si="15"/>
        <v>物业管理</v>
      </c>
      <c r="AA38" s="1729">
        <f t="shared" si="3"/>
        <v>1</v>
      </c>
      <c r="AB38" s="1729">
        <f t="shared" si="4"/>
        <v>1</v>
      </c>
      <c r="AC38" s="1729">
        <f t="shared" si="5"/>
        <v>1</v>
      </c>
    </row>
    <row r="39" spans="1:29" ht="15">
      <c r="A39" s="1773"/>
      <c r="B39" s="1696" t="s">
        <v>2283</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2995"/>
      <c r="M39" s="2991"/>
      <c r="N39" s="2991"/>
      <c r="O39" s="2991"/>
      <c r="P39" s="3444"/>
      <c r="Q39" s="1616" t="str">
        <f t="shared" si="11"/>
        <v>市政基础设施</v>
      </c>
      <c r="R39" s="1726" t="s">
        <v>28</v>
      </c>
      <c r="S39" s="1727">
        <f t="shared" si="12"/>
        <v>100</v>
      </c>
      <c r="T39" s="1726" t="s">
        <v>28</v>
      </c>
      <c r="U39" s="1727">
        <f t="shared" si="13"/>
        <v>100</v>
      </c>
      <c r="V39" s="1726" t="s">
        <v>28</v>
      </c>
      <c r="W39" s="1727">
        <f t="shared" si="14"/>
        <v>100</v>
      </c>
      <c r="X39" s="1666"/>
      <c r="Y39" s="3446"/>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2995"/>
      <c r="M40" s="2991"/>
      <c r="N40" s="2991"/>
      <c r="O40" s="2991"/>
      <c r="P40" s="3444"/>
      <c r="Q40" s="1616" t="str">
        <f t="shared" si="11"/>
        <v>房型</v>
      </c>
      <c r="R40" s="1726" t="s">
        <v>28</v>
      </c>
      <c r="S40" s="1727">
        <f t="shared" si="12"/>
        <v>100</v>
      </c>
      <c r="T40" s="1726" t="s">
        <v>28</v>
      </c>
      <c r="U40" s="1727">
        <f t="shared" si="13"/>
        <v>100</v>
      </c>
      <c r="V40" s="1726" t="s">
        <v>28</v>
      </c>
      <c r="W40" s="1727">
        <f t="shared" si="14"/>
        <v>100</v>
      </c>
      <c r="X40" s="1666"/>
      <c r="Y40" s="3446"/>
      <c r="Z40" s="1728" t="str">
        <f t="shared" si="15"/>
        <v>房型</v>
      </c>
      <c r="AA40" s="1729">
        <f t="shared" si="3"/>
        <v>1</v>
      </c>
      <c r="AB40" s="1729">
        <f t="shared" si="4"/>
        <v>1</v>
      </c>
      <c r="AC40" s="1729">
        <f t="shared" si="5"/>
        <v>1</v>
      </c>
    </row>
    <row r="41" spans="1:29" s="1772" customFormat="1" ht="28.8">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4"/>
      <c r="M41" s="2060"/>
      <c r="N41" s="2060"/>
      <c r="O41" s="2060"/>
      <c r="P41" s="3444"/>
      <c r="Q41" s="1767" t="str">
        <f t="shared" si="11"/>
        <v>单套/主力户型建筑面积</v>
      </c>
      <c r="R41" s="1768" t="s">
        <v>28</v>
      </c>
      <c r="S41" s="1769">
        <f t="shared" si="12"/>
        <v>100</v>
      </c>
      <c r="T41" s="1768" t="s">
        <v>28</v>
      </c>
      <c r="U41" s="1769">
        <f t="shared" si="13"/>
        <v>100</v>
      </c>
      <c r="V41" s="1768" t="s">
        <v>28</v>
      </c>
      <c r="W41" s="1769">
        <f t="shared" si="14"/>
        <v>100</v>
      </c>
      <c r="X41" s="1770"/>
      <c r="Y41" s="3446"/>
      <c r="Z41" s="1771" t="str">
        <f t="shared" si="15"/>
        <v>单套/主力户型建筑面积</v>
      </c>
      <c r="AA41" s="1729">
        <f t="shared" si="3"/>
        <v>1</v>
      </c>
      <c r="AB41" s="1729">
        <f t="shared" si="4"/>
        <v>1</v>
      </c>
      <c r="AC41" s="1729">
        <f t="shared" si="5"/>
        <v>1</v>
      </c>
    </row>
    <row r="42" spans="1:29" ht="15">
      <c r="A42" s="1773"/>
      <c r="B42" s="1696" t="s">
        <v>2286</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2995"/>
      <c r="M42" s="2991"/>
      <c r="N42" s="2991"/>
      <c r="O42" s="2991"/>
      <c r="P42" s="3444"/>
      <c r="Q42" s="1616" t="str">
        <f t="shared" si="11"/>
        <v>内部装修</v>
      </c>
      <c r="R42" s="1726" t="s">
        <v>28</v>
      </c>
      <c r="S42" s="1727">
        <f t="shared" si="12"/>
        <v>100</v>
      </c>
      <c r="T42" s="1726" t="s">
        <v>28</v>
      </c>
      <c r="U42" s="1727">
        <f t="shared" si="13"/>
        <v>100</v>
      </c>
      <c r="V42" s="1726" t="s">
        <v>28</v>
      </c>
      <c r="W42" s="1727">
        <f t="shared" si="14"/>
        <v>100</v>
      </c>
      <c r="X42" s="1666"/>
      <c r="Y42" s="3446"/>
      <c r="Z42" s="1728" t="str">
        <f t="shared" si="15"/>
        <v>内部装修</v>
      </c>
      <c r="AA42" s="1729">
        <f t="shared" si="3"/>
        <v>1</v>
      </c>
      <c r="AB42" s="1729">
        <f t="shared" si="4"/>
        <v>1</v>
      </c>
      <c r="AC42" s="1729">
        <f t="shared" si="5"/>
        <v>1</v>
      </c>
    </row>
    <row r="43" spans="1:29" ht="28.8">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2995"/>
      <c r="M43" s="2991"/>
      <c r="N43" s="2991"/>
      <c r="O43" s="2991"/>
      <c r="P43" s="3444"/>
      <c r="Q43" s="1616" t="str">
        <f t="shared" si="11"/>
        <v>内部装修维护情况</v>
      </c>
      <c r="R43" s="1726" t="s">
        <v>28</v>
      </c>
      <c r="S43" s="1727">
        <f t="shared" si="12"/>
        <v>100</v>
      </c>
      <c r="T43" s="1726" t="s">
        <v>28</v>
      </c>
      <c r="U43" s="1727">
        <f t="shared" si="13"/>
        <v>100</v>
      </c>
      <c r="V43" s="1726" t="s">
        <v>28</v>
      </c>
      <c r="W43" s="1727">
        <f t="shared" si="14"/>
        <v>100</v>
      </c>
      <c r="X43" s="1666"/>
      <c r="Y43" s="344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0"/>
      <c r="M44" s="2963"/>
      <c r="N44" s="2963"/>
      <c r="O44" s="2963"/>
      <c r="P44" s="3444"/>
      <c r="Q44" s="1635">
        <f t="shared" si="11"/>
        <v>111</v>
      </c>
      <c r="R44" s="1681" t="s">
        <v>28</v>
      </c>
      <c r="S44" s="1682">
        <f t="shared" si="12"/>
        <v>100</v>
      </c>
      <c r="T44" s="1681" t="s">
        <v>28</v>
      </c>
      <c r="U44" s="1682">
        <f t="shared" si="13"/>
        <v>100</v>
      </c>
      <c r="V44" s="1681" t="s">
        <v>28</v>
      </c>
      <c r="W44" s="1682">
        <f t="shared" si="14"/>
        <v>100</v>
      </c>
      <c r="X44" s="1683"/>
      <c r="Y44" s="344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5"/>
      <c r="M45" s="2991"/>
      <c r="N45" s="2991"/>
      <c r="O45" s="2991"/>
      <c r="P45" s="3444"/>
      <c r="Q45" s="1616">
        <f t="shared" si="11"/>
        <v>111</v>
      </c>
      <c r="R45" s="1726" t="s">
        <v>28</v>
      </c>
      <c r="S45" s="1727">
        <f t="shared" si="12"/>
        <v>100</v>
      </c>
      <c r="T45" s="1726" t="s">
        <v>28</v>
      </c>
      <c r="U45" s="1727">
        <f t="shared" si="13"/>
        <v>100</v>
      </c>
      <c r="V45" s="1726" t="s">
        <v>28</v>
      </c>
      <c r="W45" s="1727">
        <f t="shared" si="14"/>
        <v>100</v>
      </c>
      <c r="X45" s="1666"/>
      <c r="Y45" s="3446"/>
      <c r="Z45" s="1728">
        <f t="shared" si="15"/>
        <v>111</v>
      </c>
      <c r="AA45" s="1729">
        <f t="shared" si="3"/>
        <v>1</v>
      </c>
      <c r="AB45" s="1729">
        <f t="shared" si="4"/>
        <v>1</v>
      </c>
      <c r="AC45" s="1729">
        <f t="shared" si="5"/>
        <v>1</v>
      </c>
    </row>
    <row r="46" spans="1:29" ht="15.6"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5"/>
      <c r="M46" s="2991"/>
      <c r="N46" s="2991"/>
      <c r="O46" s="2991"/>
      <c r="P46" s="3445"/>
      <c r="Q46" s="1616">
        <f t="shared" si="11"/>
        <v>111</v>
      </c>
      <c r="R46" s="1726" t="s">
        <v>27</v>
      </c>
      <c r="S46" s="1727">
        <f t="shared" si="12"/>
        <v>100</v>
      </c>
      <c r="T46" s="1726" t="s">
        <v>27</v>
      </c>
      <c r="U46" s="1727">
        <f t="shared" si="13"/>
        <v>100</v>
      </c>
      <c r="V46" s="1726" t="s">
        <v>27</v>
      </c>
      <c r="W46" s="1727">
        <f t="shared" si="14"/>
        <v>100</v>
      </c>
      <c r="X46" s="1666"/>
      <c r="Y46" s="3447"/>
      <c r="Z46" s="1728">
        <f t="shared" si="15"/>
        <v>111</v>
      </c>
      <c r="AA46" s="1729">
        <f t="shared" si="3"/>
        <v>1</v>
      </c>
      <c r="AB46" s="1729">
        <f t="shared" si="4"/>
        <v>1</v>
      </c>
      <c r="AC46" s="1729">
        <f t="shared" si="5"/>
        <v>1</v>
      </c>
    </row>
    <row r="47" spans="1:29" ht="14.4">
      <c r="A47" s="1782" t="s">
        <v>2288</v>
      </c>
      <c r="B47" s="1783"/>
      <c r="C47" s="1784" t="s">
        <v>26</v>
      </c>
      <c r="D47" s="1785"/>
      <c r="E47" s="1786"/>
      <c r="F47" s="1787"/>
      <c r="G47" s="1788"/>
      <c r="H47" s="1789"/>
      <c r="I47" s="1786"/>
      <c r="J47" s="1789"/>
      <c r="K47" s="1790"/>
      <c r="L47" s="2996"/>
      <c r="N47" s="2991"/>
      <c r="P47" s="3438" t="str">
        <f>A47</f>
        <v>成交单价（元/平方米）</v>
      </c>
      <c r="Q47" s="3438"/>
      <c r="R47" s="3434">
        <f>E47</f>
        <v>0</v>
      </c>
      <c r="S47" s="3434"/>
      <c r="T47" s="3434">
        <f>G47</f>
        <v>0</v>
      </c>
      <c r="U47" s="3434"/>
      <c r="V47" s="3434">
        <f>I47</f>
        <v>0</v>
      </c>
      <c r="W47" s="3434"/>
      <c r="X47" s="1792"/>
      <c r="Y47" s="1793"/>
      <c r="Z47" s="1792"/>
      <c r="AA47" s="1792"/>
      <c r="AB47" s="1792"/>
      <c r="AC47" s="1792"/>
    </row>
    <row r="48" spans="1:29" ht="15" thickBot="1">
      <c r="A48" s="1794" t="s">
        <v>2289</v>
      </c>
      <c r="B48" s="1795"/>
      <c r="C48" s="1796" t="e">
        <f>R49</f>
        <v>#DIV/0!</v>
      </c>
      <c r="D48" s="1797" t="s">
        <v>2744</v>
      </c>
      <c r="E48" s="1798" t="e">
        <f>R48</f>
        <v>#DIV/0!</v>
      </c>
      <c r="F48" s="1799"/>
      <c r="G48" s="1796" t="e">
        <f>T48</f>
        <v>#DIV/0!</v>
      </c>
      <c r="H48" s="1799"/>
      <c r="I48" s="1798" t="e">
        <f>V48</f>
        <v>#DIV/0!</v>
      </c>
      <c r="J48" s="1799"/>
      <c r="K48" s="2512">
        <f>F48+H48+J48</f>
        <v>0</v>
      </c>
      <c r="L48" s="2996"/>
      <c r="P48" s="3438" t="str">
        <f>A48</f>
        <v>比较价值（元/平方米）</v>
      </c>
      <c r="Q48" s="3438"/>
      <c r="R48" s="3434" t="e">
        <f>IF(E1="售价",ROUND(PRODUCT(R47,AA7:AA46),0),ROUND(PRODUCT(R47,AA7:AA46),1))</f>
        <v>#DIV/0!</v>
      </c>
      <c r="S48" s="3434"/>
      <c r="T48" s="3432" t="e">
        <f>IF(E1="售价",ROUND(PRODUCT(T47,AB7:AB46),0),ROUND(PRODUCT(T47,AB7:AB46),1))</f>
        <v>#DIV/0!</v>
      </c>
      <c r="U48" s="3433"/>
      <c r="V48" s="3434" t="e">
        <f>IF(E1="售价",ROUND(PRODUCT(V47,AC7:AC46),0),ROUND(PRODUCT(V47,AC7:AC46),1))</f>
        <v>#DIV/0!</v>
      </c>
      <c r="W48" s="3434"/>
      <c r="X48" s="1792"/>
      <c r="Y48" s="1792"/>
      <c r="Z48" s="1792"/>
      <c r="AA48" s="1792"/>
      <c r="AB48" s="1792"/>
      <c r="AC48" s="1792"/>
    </row>
    <row r="49" spans="1:29" ht="15" thickBot="1">
      <c r="A49" s="1800" t="s">
        <v>2290</v>
      </c>
      <c r="B49" s="1801"/>
      <c r="C49" s="1802" t="e">
        <f>R49</f>
        <v>#DIV/0!</v>
      </c>
      <c r="D49" s="1803"/>
      <c r="E49" s="1803"/>
      <c r="F49" s="1803"/>
      <c r="G49" s="1803"/>
      <c r="H49" s="1803"/>
      <c r="I49" s="1803"/>
      <c r="J49" s="1803"/>
      <c r="K49" s="1804"/>
      <c r="L49" s="2996"/>
      <c r="P49" s="3435" t="str">
        <f>A49</f>
        <v>估价对象XX用房的比较价值（楼面单价，元/平方米）</v>
      </c>
      <c r="Q49" s="3436"/>
      <c r="R49" s="3437" t="e">
        <f>IF(E1="售价",ROUND(IF(D48="简单平均",AVERAGE(R48:V48),R48*F48+T48*H48+V48*J48),0),ROUND(IF(D48="简单平均",AVERAGE(R48:V48),R48*F48+T48*H48+V48*J48),1))</f>
        <v>#DIV/0!</v>
      </c>
      <c r="S49" s="3437"/>
      <c r="T49" s="3437"/>
      <c r="U49" s="3437"/>
      <c r="V49" s="3437"/>
      <c r="W49" s="3437"/>
      <c r="X49" s="1792"/>
      <c r="Y49" s="1792"/>
      <c r="Z49" s="1792"/>
      <c r="AA49" s="1792"/>
      <c r="AB49" s="1792"/>
      <c r="AC49" s="1792"/>
    </row>
    <row r="50" spans="1:29">
      <c r="G50" s="3000"/>
    </row>
    <row r="52" spans="1:29" ht="13.5" customHeight="1">
      <c r="C52" s="383" t="s">
        <v>2291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3"/>
      <c r="L54" s="2997"/>
      <c r="P54" s="1813"/>
    </row>
    <row r="55" spans="1:29" s="1814" customFormat="1">
      <c r="B55" s="3001"/>
      <c r="C55" s="3002"/>
      <c r="K55" s="3003"/>
      <c r="L55" s="2997"/>
      <c r="P55" s="1813"/>
    </row>
    <row r="56" spans="1:29">
      <c r="B56" s="3001"/>
      <c r="C56" s="3002"/>
    </row>
    <row r="57" spans="1:29" ht="22.2" thickBot="1">
      <c r="A57" s="1817" t="s">
        <v>2294</v>
      </c>
      <c r="B57" s="1792"/>
      <c r="C57" s="1818"/>
      <c r="D57" s="1818"/>
      <c r="E57" s="1818"/>
      <c r="F57" s="1818"/>
      <c r="G57" s="1818"/>
      <c r="H57" s="1818"/>
      <c r="I57" s="1818"/>
      <c r="J57" s="1818"/>
      <c r="K57" s="1819"/>
      <c r="L57" s="2998"/>
      <c r="M57" s="2999"/>
      <c r="N57" s="2999"/>
      <c r="O57" s="2999"/>
      <c r="P57" s="1821"/>
      <c r="Q57" s="1822"/>
    </row>
    <row r="58" spans="1:29" s="1828" customFormat="1" ht="14.4">
      <c r="A58" s="1823" t="s">
        <v>2295</v>
      </c>
      <c r="B58" s="1824"/>
      <c r="C58" s="1825" t="str">
        <f>YEAR(C7)&amp;"-"&amp;MONTH(C7)</f>
        <v>2021-7</v>
      </c>
      <c r="D58" s="1826">
        <f>EDATE(C58,-1)</f>
        <v>44348</v>
      </c>
      <c r="E58" s="1826">
        <f t="shared" ref="E58:O58" si="16">EDATE(D58,-1)</f>
        <v>44317</v>
      </c>
      <c r="F58" s="1826">
        <f t="shared" si="16"/>
        <v>44287</v>
      </c>
      <c r="G58" s="1826">
        <f t="shared" si="16"/>
        <v>44256</v>
      </c>
      <c r="H58" s="1826">
        <f t="shared" si="16"/>
        <v>44228</v>
      </c>
      <c r="I58" s="1826">
        <f t="shared" si="16"/>
        <v>44197</v>
      </c>
      <c r="J58" s="1826">
        <f t="shared" si="16"/>
        <v>44166</v>
      </c>
      <c r="K58" s="1826">
        <f t="shared" si="16"/>
        <v>44136</v>
      </c>
      <c r="L58" s="1826">
        <f t="shared" si="16"/>
        <v>44105</v>
      </c>
      <c r="M58" s="1826">
        <f t="shared" si="16"/>
        <v>44075</v>
      </c>
      <c r="N58" s="1826">
        <f t="shared" si="16"/>
        <v>44044</v>
      </c>
      <c r="O58" s="1826">
        <f t="shared" si="16"/>
        <v>44013</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4.4" thickBot="1">
      <c r="A62" s="1840"/>
      <c r="B62" s="1830"/>
      <c r="C62" s="1845">
        <v>100</v>
      </c>
      <c r="D62" s="1832"/>
      <c r="E62" s="1832"/>
      <c r="F62" s="1832"/>
      <c r="G62" s="1832"/>
      <c r="H62" s="1832"/>
      <c r="I62" s="1832"/>
      <c r="J62" s="1832"/>
      <c r="K62" s="1832"/>
      <c r="L62" s="1832"/>
      <c r="M62" s="1846"/>
      <c r="N62" s="1843"/>
      <c r="O62" s="1843"/>
      <c r="P62" s="1834"/>
      <c r="Q62" s="1822"/>
    </row>
    <row r="63" spans="1:29" ht="14.4">
      <c r="A63" s="1847" t="s">
        <v>2299</v>
      </c>
      <c r="B63" s="1848" t="s">
        <v>2264</v>
      </c>
      <c r="C63" s="1849">
        <f>C9</f>
        <v>0</v>
      </c>
      <c r="D63" s="1850"/>
      <c r="E63" s="1850"/>
      <c r="F63" s="1850"/>
      <c r="G63" s="1850"/>
      <c r="H63" s="1850"/>
      <c r="I63" s="1850"/>
      <c r="J63" s="1850"/>
      <c r="K63" s="417"/>
      <c r="L63" s="417"/>
      <c r="M63" s="1851"/>
      <c r="N63" s="1852"/>
      <c r="O63" s="1852"/>
      <c r="P63" s="1853"/>
      <c r="Q63" s="1822"/>
    </row>
    <row r="64" spans="1:29" ht="14.4" thickBot="1">
      <c r="A64" s="1854"/>
      <c r="B64" s="1855"/>
      <c r="C64" s="1856">
        <v>100</v>
      </c>
      <c r="D64" s="1856"/>
      <c r="E64" s="1856"/>
      <c r="F64" s="1856"/>
      <c r="G64" s="1856"/>
      <c r="H64" s="1856"/>
      <c r="I64" s="1856"/>
      <c r="J64" s="1856"/>
      <c r="K64" s="1856"/>
      <c r="L64" s="1856"/>
      <c r="M64" s="1857"/>
      <c r="N64" s="1858"/>
      <c r="O64" s="1858"/>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4.4"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 thickTop="1">
      <c r="A67" s="1854"/>
      <c r="B67" s="1865" t="s">
        <v>2268</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c r="D68" s="1868"/>
      <c r="E68" s="1868"/>
      <c r="F68" s="1868"/>
      <c r="G68" s="1868"/>
      <c r="H68" s="1868"/>
      <c r="I68" s="1868"/>
      <c r="J68" s="1868"/>
      <c r="K68" s="438"/>
      <c r="L68" s="438"/>
      <c r="M68" s="1869"/>
      <c r="N68" s="1852"/>
      <c r="O68" s="1852"/>
      <c r="P68" s="1853"/>
      <c r="Q68" s="1822"/>
    </row>
    <row r="69" spans="1:17" ht="14.4"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4.4"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4.4" thickBot="1">
      <c r="A71" s="1870"/>
      <c r="B71" s="1862"/>
      <c r="C71" s="1875"/>
      <c r="D71" s="1856"/>
      <c r="E71" s="1856"/>
      <c r="F71" s="1856"/>
      <c r="G71" s="1856"/>
      <c r="H71" s="1856"/>
      <c r="I71" s="1856"/>
      <c r="J71" s="1856"/>
      <c r="K71" s="1856"/>
      <c r="L71" s="1856"/>
      <c r="M71" s="1857"/>
      <c r="N71" s="1858"/>
      <c r="O71" s="1858"/>
      <c r="P71" s="1873"/>
      <c r="Q71" s="1874"/>
    </row>
    <row r="72" spans="1:17" s="1772" customFormat="1" ht="14.4"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4.4" thickBot="1">
      <c r="A73" s="1870"/>
      <c r="B73" s="1862"/>
      <c r="C73" s="1875"/>
      <c r="D73" s="1875"/>
      <c r="E73" s="1875"/>
      <c r="F73" s="1875"/>
      <c r="G73" s="1875"/>
      <c r="H73" s="1878"/>
      <c r="I73" s="1878"/>
      <c r="J73" s="1878"/>
      <c r="K73" s="1878"/>
      <c r="L73" s="1878"/>
      <c r="M73" s="1879"/>
      <c r="N73" s="1872"/>
      <c r="O73" s="1872"/>
      <c r="P73" s="1873"/>
      <c r="Q73" s="1874"/>
    </row>
    <row r="74" spans="1:17" s="1772" customFormat="1" ht="14.4"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4.4" thickBot="1">
      <c r="A75" s="1881"/>
      <c r="B75" s="1882"/>
      <c r="C75" s="1883"/>
      <c r="D75" s="1883"/>
      <c r="E75" s="1883"/>
      <c r="F75" s="1883"/>
      <c r="G75" s="1883"/>
      <c r="H75" s="1884"/>
      <c r="I75" s="1884"/>
      <c r="J75" s="1884"/>
      <c r="K75" s="1884"/>
      <c r="L75" s="1884"/>
      <c r="M75" s="1885"/>
      <c r="N75" s="1872"/>
      <c r="O75" s="1872"/>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 thickTop="1">
      <c r="A86" s="1890"/>
      <c r="B86" s="1859" t="s">
        <v>2321</v>
      </c>
      <c r="C86" s="468"/>
      <c r="D86" s="468"/>
      <c r="E86" s="468"/>
      <c r="F86" s="468"/>
      <c r="G86" s="468"/>
      <c r="H86" s="468"/>
      <c r="I86" s="468"/>
      <c r="J86" s="468"/>
      <c r="K86" s="468"/>
      <c r="L86" s="468"/>
      <c r="M86" s="1891"/>
      <c r="N86" s="1843"/>
      <c r="O86" s="1843"/>
      <c r="P86" s="1853"/>
      <c r="Q86" s="1822"/>
    </row>
    <row r="87" spans="1:17" s="1685" customFormat="1" ht="14.4"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 thickTop="1">
      <c r="A88" s="1890"/>
      <c r="B88" s="1859" t="s">
        <v>2322</v>
      </c>
      <c r="C88" s="468"/>
      <c r="D88" s="468"/>
      <c r="E88" s="468"/>
      <c r="F88" s="1893"/>
      <c r="G88" s="468"/>
      <c r="H88" s="468"/>
      <c r="I88" s="468"/>
      <c r="J88" s="468"/>
      <c r="K88" s="468"/>
      <c r="L88" s="468"/>
      <c r="M88" s="1891"/>
      <c r="N88" s="1843"/>
      <c r="O88" s="1843"/>
      <c r="P88" s="1853"/>
      <c r="Q88" s="1822"/>
    </row>
    <row r="89" spans="1:17" s="1685" customFormat="1" ht="14.4"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4.4"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4.4" thickBot="1">
      <c r="A91" s="1870"/>
      <c r="B91" s="1862"/>
      <c r="C91" s="1875"/>
      <c r="D91" s="1875"/>
      <c r="E91" s="1875"/>
      <c r="F91" s="1875"/>
      <c r="G91" s="1875"/>
      <c r="H91" s="1878"/>
      <c r="I91" s="1878"/>
      <c r="J91" s="1878"/>
      <c r="K91" s="1878"/>
      <c r="L91" s="1878"/>
      <c r="M91" s="1879"/>
      <c r="N91" s="1872"/>
      <c r="O91" s="1872"/>
      <c r="P91" s="1873"/>
      <c r="Q91" s="1874"/>
    </row>
    <row r="92" spans="1:17" ht="14.4" thickTop="1">
      <c r="A92" s="1854"/>
      <c r="B92" s="1859">
        <f>B28</f>
        <v>111</v>
      </c>
      <c r="C92" s="468"/>
      <c r="D92" s="468"/>
      <c r="E92" s="468"/>
      <c r="F92" s="468"/>
      <c r="G92" s="1578"/>
      <c r="H92" s="1578"/>
      <c r="I92" s="1578"/>
      <c r="J92" s="1578"/>
      <c r="K92" s="473"/>
      <c r="L92" s="473"/>
      <c r="M92" s="1894"/>
      <c r="N92" s="1852"/>
      <c r="O92" s="1852"/>
      <c r="P92" s="1853"/>
      <c r="Q92" s="1822"/>
    </row>
    <row r="93" spans="1:17" ht="14.4" thickBot="1">
      <c r="A93" s="1854"/>
      <c r="B93" s="1862"/>
      <c r="C93" s="1875"/>
      <c r="D93" s="1856"/>
      <c r="E93" s="1856"/>
      <c r="F93" s="1856"/>
      <c r="G93" s="1856"/>
      <c r="H93" s="1856"/>
      <c r="I93" s="1856"/>
      <c r="J93" s="1856"/>
      <c r="K93" s="1856"/>
      <c r="L93" s="1856"/>
      <c r="M93" s="1857"/>
      <c r="N93" s="1858"/>
      <c r="O93" s="1858"/>
      <c r="P93" s="1853"/>
      <c r="Q93" s="1822"/>
    </row>
    <row r="94" spans="1:17" ht="14.4" thickTop="1">
      <c r="A94" s="1854"/>
      <c r="B94" s="1859">
        <f>B29</f>
        <v>111</v>
      </c>
      <c r="C94" s="468"/>
      <c r="D94" s="468"/>
      <c r="E94" s="468"/>
      <c r="F94" s="468"/>
      <c r="G94" s="1578"/>
      <c r="H94" s="1578"/>
      <c r="I94" s="1578"/>
      <c r="J94" s="1578"/>
      <c r="K94" s="473"/>
      <c r="L94" s="473"/>
      <c r="M94" s="1894"/>
      <c r="N94" s="1852"/>
      <c r="O94" s="1852"/>
      <c r="P94" s="1853"/>
      <c r="Q94" s="1822"/>
    </row>
    <row r="95" spans="1:17" ht="14.4" thickBot="1">
      <c r="A95" s="1854"/>
      <c r="B95" s="1862"/>
      <c r="C95" s="1875"/>
      <c r="D95" s="1875"/>
      <c r="E95" s="1875"/>
      <c r="F95" s="1875"/>
      <c r="G95" s="1856"/>
      <c r="H95" s="1856"/>
      <c r="I95" s="1856"/>
      <c r="J95" s="1856"/>
      <c r="K95" s="1856"/>
      <c r="L95" s="1856"/>
      <c r="M95" s="1857"/>
      <c r="N95" s="1858"/>
      <c r="O95" s="1858"/>
      <c r="P95" s="1853"/>
      <c r="Q95" s="1822"/>
    </row>
    <row r="96" spans="1:17" ht="14.4" thickTop="1">
      <c r="A96" s="1854"/>
      <c r="B96" s="1859">
        <f>B30</f>
        <v>111</v>
      </c>
      <c r="C96" s="468"/>
      <c r="D96" s="468"/>
      <c r="E96" s="468"/>
      <c r="F96" s="468"/>
      <c r="G96" s="1578"/>
      <c r="H96" s="1578"/>
      <c r="I96" s="1578"/>
      <c r="J96" s="1578"/>
      <c r="K96" s="473"/>
      <c r="L96" s="473"/>
      <c r="M96" s="1894"/>
      <c r="N96" s="1852"/>
      <c r="O96" s="1852"/>
      <c r="P96" s="1853"/>
      <c r="Q96" s="1822"/>
    </row>
    <row r="97" spans="1:17" ht="14.4" thickBot="1">
      <c r="A97" s="1854"/>
      <c r="B97" s="1862"/>
      <c r="C97" s="1883"/>
      <c r="D97" s="1883"/>
      <c r="E97" s="1883"/>
      <c r="F97" s="1883"/>
      <c r="G97" s="1856"/>
      <c r="H97" s="1856"/>
      <c r="I97" s="1856"/>
      <c r="J97" s="1856"/>
      <c r="K97" s="1856"/>
      <c r="L97" s="1856"/>
      <c r="M97" s="1857"/>
      <c r="N97" s="1858"/>
      <c r="O97" s="1858"/>
      <c r="P97" s="1853"/>
      <c r="Q97" s="1822"/>
    </row>
    <row r="98" spans="1:17" ht="14.4" thickTop="1">
      <c r="A98" s="1854"/>
      <c r="B98" s="1865">
        <f>B31</f>
        <v>111</v>
      </c>
      <c r="C98" s="1895"/>
      <c r="D98" s="1895"/>
      <c r="E98" s="1895"/>
      <c r="F98" s="1895"/>
      <c r="G98" s="1895"/>
      <c r="H98" s="1895"/>
      <c r="I98" s="1895"/>
      <c r="J98" s="1895"/>
      <c r="K98" s="477"/>
      <c r="L98" s="477"/>
      <c r="M98" s="1896"/>
      <c r="N98" s="1852"/>
      <c r="O98" s="1852"/>
      <c r="P98" s="1853"/>
      <c r="Q98" s="1822"/>
    </row>
    <row r="99" spans="1:17" ht="14.4" thickBot="1">
      <c r="A99" s="1897"/>
      <c r="B99" s="1882"/>
      <c r="C99" s="1898"/>
      <c r="D99" s="1898"/>
      <c r="E99" s="1898"/>
      <c r="F99" s="1898"/>
      <c r="G99" s="1898"/>
      <c r="H99" s="1898"/>
      <c r="I99" s="1898"/>
      <c r="J99" s="1898"/>
      <c r="K99" s="1898"/>
      <c r="L99" s="1898"/>
      <c r="M99" s="1899"/>
      <c r="N99" s="1858"/>
      <c r="O99" s="1858"/>
      <c r="P99" s="1853"/>
      <c r="Q99" s="1822"/>
    </row>
    <row r="100" spans="1:17" ht="14.4">
      <c r="A100" s="1847" t="s">
        <v>2274</v>
      </c>
      <c r="B100" s="1848" t="s">
        <v>2323</v>
      </c>
      <c r="C100" s="1850"/>
      <c r="D100" s="1850"/>
      <c r="E100" s="1850"/>
      <c r="F100" s="1850"/>
      <c r="G100" s="1850"/>
      <c r="H100" s="1850"/>
      <c r="I100" s="1850"/>
      <c r="J100" s="1850"/>
      <c r="K100" s="417"/>
      <c r="L100" s="417"/>
      <c r="M100" s="1851"/>
      <c r="N100" s="1852"/>
      <c r="O100" s="1852"/>
      <c r="P100" s="1853"/>
      <c r="Q100" s="1822"/>
    </row>
    <row r="101" spans="1:17" ht="14.4"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 thickTop="1">
      <c r="A102" s="1854"/>
      <c r="B102" s="1859"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4.4"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2325</v>
      </c>
      <c r="C105" s="468"/>
      <c r="D105" s="468"/>
      <c r="E105" s="1578"/>
      <c r="F105" s="1578"/>
      <c r="G105" s="1578"/>
      <c r="H105" s="1578"/>
      <c r="I105" s="1578"/>
      <c r="J105" s="1578"/>
      <c r="K105" s="473"/>
      <c r="L105" s="473"/>
      <c r="M105" s="1894"/>
      <c r="N105" s="1852"/>
      <c r="O105" s="1852"/>
      <c r="P105" s="1853"/>
      <c r="Q105" s="1822"/>
    </row>
    <row r="106" spans="1:17" ht="14.4"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4.4"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2327</v>
      </c>
      <c r="C109" s="468"/>
      <c r="D109" s="468"/>
      <c r="E109" s="468"/>
      <c r="F109" s="1578"/>
      <c r="G109" s="1578"/>
      <c r="H109" s="1578"/>
      <c r="I109" s="1578"/>
      <c r="J109" s="1578"/>
      <c r="K109" s="473"/>
      <c r="L109" s="473"/>
      <c r="M109" s="1894"/>
      <c r="N109" s="1852"/>
      <c r="O109" s="1852"/>
      <c r="P109" s="1853"/>
      <c r="Q109" s="1822"/>
    </row>
    <row r="110" spans="1:17" ht="14.4"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4.4"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2329</v>
      </c>
      <c r="C114" s="468"/>
      <c r="D114" s="468"/>
      <c r="E114" s="1578"/>
      <c r="F114" s="1578"/>
      <c r="G114" s="1578"/>
      <c r="H114" s="1578"/>
      <c r="I114" s="1578"/>
      <c r="J114" s="1578"/>
      <c r="K114" s="473"/>
      <c r="L114" s="473"/>
      <c r="M114" s="1894"/>
      <c r="N114" s="1852"/>
      <c r="O114" s="1852"/>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2330</v>
      </c>
      <c r="C116" s="468"/>
      <c r="D116" s="468"/>
      <c r="E116" s="468"/>
      <c r="F116" s="468"/>
      <c r="G116" s="468"/>
      <c r="H116" s="1578"/>
      <c r="I116" s="1578"/>
      <c r="J116" s="1578"/>
      <c r="K116" s="473"/>
      <c r="L116" s="473"/>
      <c r="M116" s="1894"/>
      <c r="N116" s="1852"/>
      <c r="O116" s="1852"/>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4.4"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9.4"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4.4"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468"/>
      <c r="D122" s="468"/>
      <c r="E122" s="468"/>
      <c r="F122" s="1578"/>
      <c r="G122" s="1578"/>
      <c r="H122" s="1578"/>
      <c r="I122" s="1578"/>
      <c r="J122" s="1578"/>
      <c r="K122" s="473"/>
      <c r="L122" s="473"/>
      <c r="M122" s="1894"/>
      <c r="N122" s="1852"/>
      <c r="O122" s="1852"/>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4.4" thickBot="1">
      <c r="A127" s="1870"/>
      <c r="B127" s="1862"/>
      <c r="C127" s="1875"/>
      <c r="D127" s="1856"/>
      <c r="E127" s="1856"/>
      <c r="F127" s="1856"/>
      <c r="G127" s="1875"/>
      <c r="H127" s="1878"/>
      <c r="I127" s="1878"/>
      <c r="J127" s="1878"/>
      <c r="K127" s="1878"/>
      <c r="L127" s="1878"/>
      <c r="M127" s="1879"/>
      <c r="N127" s="1872"/>
      <c r="O127" s="1872"/>
      <c r="P127" s="1873"/>
      <c r="Q127" s="1874"/>
    </row>
    <row r="128" spans="1:17" ht="14.4"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4.4" thickBot="1">
      <c r="A129" s="1854"/>
      <c r="B129" s="1862"/>
      <c r="C129" s="1875"/>
      <c r="D129" s="1875"/>
      <c r="E129" s="1875"/>
      <c r="F129" s="1875"/>
      <c r="G129" s="1856"/>
      <c r="H129" s="1856"/>
      <c r="I129" s="1856"/>
      <c r="J129" s="1856"/>
      <c r="K129" s="1856"/>
      <c r="L129" s="1856"/>
      <c r="M129" s="1857"/>
      <c r="N129" s="1858"/>
      <c r="O129" s="1858"/>
      <c r="P129" s="1853"/>
      <c r="Q129" s="1822"/>
    </row>
    <row r="130" spans="1:17" ht="14.4"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4.4"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6.2"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ht="14.4">
      <c r="B147" s="1573" t="s">
        <v>2352</v>
      </c>
    </row>
    <row r="148" spans="2:11" ht="14.4">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05"/>
      <c r="I2" s="3005"/>
      <c r="J2" s="3005"/>
      <c r="K2" s="3005"/>
      <c r="L2" s="3007"/>
      <c r="M2" s="3005"/>
      <c r="N2" s="3005"/>
      <c r="O2" s="3005"/>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346.86</v>
      </c>
      <c r="F3" s="3004"/>
      <c r="G3" s="3005"/>
      <c r="H3" s="3005"/>
      <c r="I3" s="3005"/>
      <c r="J3" s="3005"/>
      <c r="K3" s="3006"/>
      <c r="L3" s="3007"/>
      <c r="M3" s="3005"/>
      <c r="N3" s="3005"/>
      <c r="O3" s="3005"/>
      <c r="P3" s="2472"/>
      <c r="Q3" s="1957"/>
      <c r="R3" s="1957"/>
      <c r="S3" s="1957"/>
      <c r="T3" s="1957"/>
      <c r="U3" s="1957"/>
      <c r="V3" s="1957"/>
      <c r="W3" s="1957"/>
      <c r="X3" s="1957"/>
      <c r="Y3" s="1957"/>
      <c r="Z3" s="1957"/>
      <c r="AA3" s="1957"/>
      <c r="AB3" s="1957"/>
      <c r="AC3" s="1965"/>
    </row>
    <row r="4" spans="1:29" ht="14.4">
      <c r="A4" s="1663" t="s">
        <v>2245</v>
      </c>
      <c r="B4" s="1664"/>
      <c r="C4" s="3465" t="s">
        <v>2246</v>
      </c>
      <c r="D4" s="3466"/>
      <c r="E4" s="3467" t="s">
        <v>2247</v>
      </c>
      <c r="F4" s="3468"/>
      <c r="G4" s="3465" t="s">
        <v>2248</v>
      </c>
      <c r="H4" s="3466"/>
      <c r="I4" s="3465" t="s">
        <v>2249</v>
      </c>
      <c r="J4" s="3466"/>
      <c r="K4" s="1966" t="s">
        <v>2250</v>
      </c>
      <c r="L4" s="2990"/>
      <c r="M4" s="2991"/>
      <c r="N4" s="2991"/>
      <c r="O4" s="2991"/>
      <c r="P4" s="3469" t="s">
        <v>2251</v>
      </c>
      <c r="Q4" s="3470"/>
      <c r="R4" s="3454" t="s">
        <v>2247</v>
      </c>
      <c r="S4" s="3455"/>
      <c r="T4" s="3454" t="s">
        <v>2248</v>
      </c>
      <c r="U4" s="3455"/>
      <c r="V4" s="3475" t="s">
        <v>2249</v>
      </c>
      <c r="W4" s="3475"/>
      <c r="X4" s="2075"/>
      <c r="Y4" s="3454" t="s">
        <v>2251</v>
      </c>
      <c r="Z4" s="3455"/>
      <c r="AA4" s="3462" t="s">
        <v>2247</v>
      </c>
      <c r="AB4" s="3475" t="s">
        <v>2248</v>
      </c>
      <c r="AC4" s="3462" t="s">
        <v>2249</v>
      </c>
    </row>
    <row r="5" spans="1:29">
      <c r="A5" s="1668"/>
      <c r="B5" s="1669"/>
      <c r="C5" s="3450" t="s">
        <v>2252</v>
      </c>
      <c r="D5" s="3451"/>
      <c r="E5" s="3476" t="s">
        <v>2253</v>
      </c>
      <c r="F5" s="3477"/>
      <c r="G5" s="3450" t="s">
        <v>2254</v>
      </c>
      <c r="H5" s="3451"/>
      <c r="I5" s="3450" t="s">
        <v>2255</v>
      </c>
      <c r="J5" s="3451"/>
      <c r="K5" s="1966"/>
      <c r="L5" s="2990"/>
      <c r="M5" s="2991"/>
      <c r="N5" s="2991"/>
      <c r="O5" s="2991"/>
      <c r="P5" s="3471"/>
      <c r="Q5" s="3472"/>
      <c r="R5" s="3456"/>
      <c r="S5" s="3457"/>
      <c r="T5" s="3456"/>
      <c r="U5" s="3457"/>
      <c r="V5" s="3475"/>
      <c r="W5" s="3475"/>
      <c r="X5" s="2075"/>
      <c r="Y5" s="3456"/>
      <c r="Z5" s="3457"/>
      <c r="AA5" s="3463"/>
      <c r="AB5" s="3475"/>
      <c r="AC5" s="3463"/>
    </row>
    <row r="6" spans="1:29" ht="15" thickBot="1">
      <c r="A6" s="1671"/>
      <c r="B6" s="1672"/>
      <c r="C6" s="3448" t="s">
        <v>2256</v>
      </c>
      <c r="D6" s="3449"/>
      <c r="E6" s="3478" t="s">
        <v>2256</v>
      </c>
      <c r="F6" s="3479"/>
      <c r="G6" s="3448" t="s">
        <v>2256</v>
      </c>
      <c r="H6" s="3449"/>
      <c r="I6" s="3448" t="s">
        <v>2256</v>
      </c>
      <c r="J6" s="3449"/>
      <c r="K6" s="1966" t="s">
        <v>2257</v>
      </c>
      <c r="L6" s="2990"/>
      <c r="M6" s="2991"/>
      <c r="N6" s="2991"/>
      <c r="O6" s="2991"/>
      <c r="P6" s="3473"/>
      <c r="Q6" s="3474"/>
      <c r="R6" s="3456"/>
      <c r="S6" s="3457"/>
      <c r="T6" s="3458"/>
      <c r="U6" s="3459"/>
      <c r="V6" s="3475"/>
      <c r="W6" s="3475"/>
      <c r="X6" s="2075"/>
      <c r="Y6" s="3458"/>
      <c r="Z6" s="3459"/>
      <c r="AA6" s="3464"/>
      <c r="AB6" s="3475"/>
      <c r="AC6" s="3464"/>
    </row>
    <row r="7" spans="1:29" s="1685" customFormat="1" ht="15" thickBot="1">
      <c r="A7" s="1673" t="s">
        <v>2258</v>
      </c>
      <c r="B7" s="1674"/>
      <c r="C7" s="1675">
        <f>'数据-取费表'!B2</f>
        <v>44393</v>
      </c>
      <c r="D7" s="1676">
        <v>100</v>
      </c>
      <c r="E7" s="1677"/>
      <c r="F7" s="1678">
        <f>SUMIF(58:58,YEAR(E7)&amp;"-"&amp;MONTH(E7),59:59)</f>
        <v>0</v>
      </c>
      <c r="G7" s="1677"/>
      <c r="H7" s="1676">
        <f>SUMIF(58:58,YEAR(G7)&amp;"-"&amp;MONTH(G7),59:59)</f>
        <v>0</v>
      </c>
      <c r="I7" s="1677"/>
      <c r="J7" s="1676">
        <f>SUMIF(58:58,YEAR(I7)&amp;"-"&amp;MONTH(I7),59:59)</f>
        <v>0</v>
      </c>
      <c r="K7" s="1968"/>
      <c r="L7" s="2990"/>
      <c r="M7" s="2963"/>
      <c r="N7" s="2963"/>
      <c r="O7" s="2963"/>
      <c r="P7" s="3452" t="s">
        <v>2259</v>
      </c>
      <c r="Q7" s="3460"/>
      <c r="R7" s="1681" t="s">
        <v>25</v>
      </c>
      <c r="S7" s="1682">
        <f t="shared" ref="S7:S15" si="0">F7</f>
        <v>0</v>
      </c>
      <c r="T7" s="1681" t="s">
        <v>25</v>
      </c>
      <c r="U7" s="1682">
        <f t="shared" ref="U7:U15" si="1">H7</f>
        <v>0</v>
      </c>
      <c r="V7" s="1681" t="s">
        <v>25</v>
      </c>
      <c r="W7" s="1682">
        <f t="shared" ref="W7:W15" si="2">J7</f>
        <v>0</v>
      </c>
      <c r="X7" s="1683"/>
      <c r="Y7" s="3452" t="s">
        <v>2259</v>
      </c>
      <c r="Z7" s="3453"/>
      <c r="AA7" s="1684" t="e">
        <f>D7/F7</f>
        <v>#DIV/0!</v>
      </c>
      <c r="AB7" s="1684" t="e">
        <f>D7/H7</f>
        <v>#DIV/0!</v>
      </c>
      <c r="AC7" s="1684" t="e">
        <f>D7/J7</f>
        <v>#DIV/0!</v>
      </c>
    </row>
    <row r="8" spans="1:29" s="1685" customFormat="1" ht="1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0"/>
      <c r="M8" s="2963"/>
      <c r="N8" s="2963"/>
      <c r="O8" s="2963"/>
      <c r="P8" s="3452" t="s">
        <v>2262</v>
      </c>
      <c r="Q8" s="3453"/>
      <c r="R8" s="1681" t="s">
        <v>25</v>
      </c>
      <c r="S8" s="1682">
        <f t="shared" si="0"/>
        <v>0</v>
      </c>
      <c r="T8" s="1681" t="s">
        <v>25</v>
      </c>
      <c r="U8" s="1682">
        <f t="shared" si="1"/>
        <v>0</v>
      </c>
      <c r="V8" s="1681" t="s">
        <v>25</v>
      </c>
      <c r="W8" s="1682">
        <f t="shared" si="2"/>
        <v>0</v>
      </c>
      <c r="X8" s="1683"/>
      <c r="Y8" s="3452" t="s">
        <v>2262</v>
      </c>
      <c r="Z8" s="3453"/>
      <c r="AA8" s="1684" t="e">
        <f t="shared" ref="AA8:AA46" si="3">D8/F8</f>
        <v>#DIV/0!</v>
      </c>
      <c r="AB8" s="1684" t="e">
        <f t="shared" ref="AB8:AB46" si="4">D8/H8</f>
        <v>#DIV/0!</v>
      </c>
      <c r="AC8" s="1684" t="e">
        <f t="shared" ref="AC8:AC46" si="5">D8/J8</f>
        <v>#DIV/0!</v>
      </c>
    </row>
    <row r="9" spans="1:29" s="1685" customFormat="1" ht="14.4">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0"/>
      <c r="M9" s="2963"/>
      <c r="N9" s="2963"/>
      <c r="O9" s="2963"/>
      <c r="P9" s="3461" t="s">
        <v>2265</v>
      </c>
      <c r="Q9" s="2066"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2"/>
      <c r="M10" s="2993"/>
      <c r="N10" s="2993"/>
      <c r="O10" s="2993"/>
      <c r="P10" s="3461"/>
      <c r="Q10" s="2066"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4"/>
      <c r="M11" s="2991"/>
      <c r="N11" s="2991"/>
      <c r="O11" s="2991"/>
      <c r="P11" s="3461"/>
      <c r="Q11" s="2066" t="str">
        <f t="shared" si="6"/>
        <v>容积率</v>
      </c>
      <c r="R11" s="1681" t="s">
        <v>25</v>
      </c>
      <c r="S11" s="1682" t="e">
        <f t="shared" si="0"/>
        <v>#N/A</v>
      </c>
      <c r="T11" s="1681" t="s">
        <v>25</v>
      </c>
      <c r="U11" s="1682" t="e">
        <f t="shared" si="1"/>
        <v>#N/A</v>
      </c>
      <c r="V11" s="1681" t="s">
        <v>25</v>
      </c>
      <c r="W11" s="1682" t="e">
        <f t="shared" si="2"/>
        <v>#N/A</v>
      </c>
      <c r="X11" s="1683"/>
      <c r="Y11" s="329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0"/>
      <c r="M12" s="2963"/>
      <c r="N12" s="2963"/>
      <c r="O12" s="2963"/>
      <c r="P12" s="3461"/>
      <c r="Q12" s="2066">
        <f t="shared" si="6"/>
        <v>111</v>
      </c>
      <c r="R12" s="1681" t="s">
        <v>25</v>
      </c>
      <c r="S12" s="1682">
        <f t="shared" si="0"/>
        <v>100</v>
      </c>
      <c r="T12" s="1681" t="s">
        <v>25</v>
      </c>
      <c r="U12" s="1682">
        <f t="shared" si="1"/>
        <v>100</v>
      </c>
      <c r="V12" s="1681" t="s">
        <v>25</v>
      </c>
      <c r="W12" s="1682">
        <f t="shared" si="2"/>
        <v>100</v>
      </c>
      <c r="X12" s="1683"/>
      <c r="Y12" s="329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2995"/>
      <c r="M13" s="2991"/>
      <c r="N13" s="2991"/>
      <c r="O13" s="2991"/>
      <c r="P13" s="3461"/>
      <c r="Q13" s="2066">
        <f t="shared" si="6"/>
        <v>111</v>
      </c>
      <c r="R13" s="1681" t="s">
        <v>25</v>
      </c>
      <c r="S13" s="1682">
        <f t="shared" si="0"/>
        <v>100</v>
      </c>
      <c r="T13" s="1681" t="s">
        <v>25</v>
      </c>
      <c r="U13" s="1682">
        <f t="shared" si="1"/>
        <v>100</v>
      </c>
      <c r="V13" s="1681" t="s">
        <v>25</v>
      </c>
      <c r="W13" s="1682">
        <f t="shared" si="2"/>
        <v>100</v>
      </c>
      <c r="X13" s="1683"/>
      <c r="Y13" s="3299"/>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2995"/>
      <c r="M14" s="2991"/>
      <c r="N14" s="2991"/>
      <c r="O14" s="2991"/>
      <c r="P14" s="3461"/>
      <c r="Q14" s="2066">
        <f t="shared" si="6"/>
        <v>111</v>
      </c>
      <c r="R14" s="1681" t="s">
        <v>25</v>
      </c>
      <c r="S14" s="1682">
        <f t="shared" si="0"/>
        <v>100</v>
      </c>
      <c r="T14" s="1681" t="s">
        <v>25</v>
      </c>
      <c r="U14" s="1682">
        <f t="shared" si="1"/>
        <v>100</v>
      </c>
      <c r="V14" s="1681" t="s">
        <v>25</v>
      </c>
      <c r="W14" s="1682">
        <f t="shared" si="2"/>
        <v>100</v>
      </c>
      <c r="X14" s="1683"/>
      <c r="Y14" s="3299"/>
      <c r="Z14" s="1694">
        <f t="shared" si="7"/>
        <v>111</v>
      </c>
      <c r="AA14" s="1684">
        <f t="shared" si="3"/>
        <v>1</v>
      </c>
      <c r="AB14" s="1684">
        <f t="shared" si="4"/>
        <v>1</v>
      </c>
      <c r="AC14" s="1684">
        <f t="shared" si="5"/>
        <v>1</v>
      </c>
    </row>
    <row r="15" spans="1:29" ht="82.8">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2995"/>
      <c r="M15" s="2991"/>
      <c r="N15" s="2991"/>
      <c r="O15" s="2991"/>
      <c r="P15" s="3439" t="s">
        <v>2270</v>
      </c>
      <c r="Q15" s="2072" t="str">
        <f t="shared" si="6"/>
        <v>商业繁华度</v>
      </c>
      <c r="R15" s="1726" t="s">
        <v>25</v>
      </c>
      <c r="S15" s="1727">
        <f t="shared" si="0"/>
        <v>100</v>
      </c>
      <c r="T15" s="1726" t="s">
        <v>25</v>
      </c>
      <c r="U15" s="1727">
        <f t="shared" si="1"/>
        <v>100</v>
      </c>
      <c r="V15" s="1726" t="s">
        <v>25</v>
      </c>
      <c r="W15" s="1727">
        <f t="shared" si="2"/>
        <v>100</v>
      </c>
      <c r="X15" s="2075"/>
      <c r="Y15" s="3441"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2995"/>
      <c r="M16" s="2991"/>
      <c r="N16" s="2991"/>
      <c r="O16" s="2991"/>
      <c r="P16" s="3440"/>
      <c r="Q16" s="2072"/>
      <c r="R16" s="1726"/>
      <c r="S16" s="1727"/>
      <c r="T16" s="1726"/>
      <c r="U16" s="1727"/>
      <c r="V16" s="1726"/>
      <c r="W16" s="1727"/>
      <c r="X16" s="2075"/>
      <c r="Y16" s="3442"/>
      <c r="Z16" s="2079"/>
      <c r="AA16" s="2070">
        <v>1</v>
      </c>
      <c r="AB16" s="2070">
        <v>1</v>
      </c>
      <c r="AC16" s="2070">
        <v>1</v>
      </c>
    </row>
    <row r="17" spans="1:29" ht="96.6">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2995"/>
      <c r="M17" s="2991"/>
      <c r="N17" s="2991"/>
      <c r="O17" s="2991"/>
      <c r="P17" s="3440"/>
      <c r="Q17" s="2072" t="str">
        <f>B17</f>
        <v>交通便捷度</v>
      </c>
      <c r="R17" s="1726" t="s">
        <v>25</v>
      </c>
      <c r="S17" s="1727">
        <f>F17</f>
        <v>100</v>
      </c>
      <c r="T17" s="1726" t="s">
        <v>25</v>
      </c>
      <c r="U17" s="1727">
        <f>H17</f>
        <v>100</v>
      </c>
      <c r="V17" s="1726" t="s">
        <v>25</v>
      </c>
      <c r="W17" s="1727">
        <f>J17</f>
        <v>100</v>
      </c>
      <c r="X17" s="2075"/>
      <c r="Y17" s="344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2995"/>
      <c r="M18" s="2991"/>
      <c r="N18" s="2991"/>
      <c r="O18" s="2991"/>
      <c r="P18" s="3440"/>
      <c r="Q18" s="2072"/>
      <c r="R18" s="1726"/>
      <c r="S18" s="1727"/>
      <c r="T18" s="1726"/>
      <c r="U18" s="1727"/>
      <c r="V18" s="1726"/>
      <c r="W18" s="1727"/>
      <c r="X18" s="2075"/>
      <c r="Y18" s="3442"/>
      <c r="Z18" s="2079"/>
      <c r="AA18" s="2070">
        <v>1</v>
      </c>
      <c r="AB18" s="2070">
        <v>1</v>
      </c>
      <c r="AC18" s="2070">
        <v>1</v>
      </c>
    </row>
    <row r="19" spans="1:29" ht="41.4">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2995"/>
      <c r="M19" s="2991"/>
      <c r="N19" s="2991"/>
      <c r="O19" s="2991"/>
      <c r="P19" s="3440"/>
      <c r="Q19" s="2072" t="str">
        <f>B19</f>
        <v>公共配套设施</v>
      </c>
      <c r="R19" s="1726" t="s">
        <v>25</v>
      </c>
      <c r="S19" s="1727">
        <f>F19</f>
        <v>100</v>
      </c>
      <c r="T19" s="1726" t="s">
        <v>25</v>
      </c>
      <c r="U19" s="1727">
        <f>H19</f>
        <v>100</v>
      </c>
      <c r="V19" s="1726" t="s">
        <v>25</v>
      </c>
      <c r="W19" s="1727">
        <f>J19</f>
        <v>100</v>
      </c>
      <c r="X19" s="2075"/>
      <c r="Y19" s="344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2995"/>
      <c r="M20" s="2991"/>
      <c r="N20" s="2991"/>
      <c r="O20" s="2991"/>
      <c r="P20" s="3440"/>
      <c r="Q20" s="2072"/>
      <c r="R20" s="1726"/>
      <c r="S20" s="1727"/>
      <c r="T20" s="1726"/>
      <c r="U20" s="1727"/>
      <c r="V20" s="1726"/>
      <c r="W20" s="1727"/>
      <c r="X20" s="2075"/>
      <c r="Y20" s="3442"/>
      <c r="Z20" s="2079"/>
      <c r="AA20" s="2070">
        <v>1</v>
      </c>
      <c r="AB20" s="2070">
        <v>1</v>
      </c>
      <c r="AC20" s="2070">
        <v>1</v>
      </c>
    </row>
    <row r="21" spans="1:29" ht="41.4">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2995"/>
      <c r="M21" s="2991"/>
      <c r="N21" s="2991"/>
      <c r="O21" s="2991"/>
      <c r="P21" s="3440"/>
      <c r="Q21" s="2072" t="str">
        <f>B21</f>
        <v>基础设施水平</v>
      </c>
      <c r="R21" s="1726" t="s">
        <v>25</v>
      </c>
      <c r="S21" s="1727">
        <f>F21</f>
        <v>100</v>
      </c>
      <c r="T21" s="1726" t="s">
        <v>25</v>
      </c>
      <c r="U21" s="1727">
        <f>H21</f>
        <v>100</v>
      </c>
      <c r="V21" s="1726" t="s">
        <v>25</v>
      </c>
      <c r="W21" s="1727">
        <f>J21</f>
        <v>100</v>
      </c>
      <c r="X21" s="2075"/>
      <c r="Y21" s="344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2995"/>
      <c r="M22" s="2991"/>
      <c r="N22" s="2991"/>
      <c r="O22" s="2991"/>
      <c r="P22" s="3440"/>
      <c r="Q22" s="2072"/>
      <c r="R22" s="1726"/>
      <c r="S22" s="1727"/>
      <c r="T22" s="1726"/>
      <c r="U22" s="1727"/>
      <c r="V22" s="1726"/>
      <c r="W22" s="1727"/>
      <c r="X22" s="2075"/>
      <c r="Y22" s="3442"/>
      <c r="Z22" s="2079"/>
      <c r="AA22" s="2070">
        <v>1</v>
      </c>
      <c r="AB22" s="2070">
        <v>1</v>
      </c>
      <c r="AC22" s="2070">
        <v>1</v>
      </c>
    </row>
    <row r="23" spans="1:29" ht="55.2">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2995"/>
      <c r="M23" s="2991"/>
      <c r="N23" s="2991"/>
      <c r="O23" s="2991"/>
      <c r="P23" s="3440"/>
      <c r="Q23" s="2072" t="str">
        <f>B23</f>
        <v>自然及人文环境</v>
      </c>
      <c r="R23" s="1726" t="s">
        <v>25</v>
      </c>
      <c r="S23" s="1727">
        <f>F23</f>
        <v>100</v>
      </c>
      <c r="T23" s="1726" t="s">
        <v>25</v>
      </c>
      <c r="U23" s="1727">
        <f>H23</f>
        <v>100</v>
      </c>
      <c r="V23" s="1726" t="s">
        <v>25</v>
      </c>
      <c r="W23" s="1727">
        <f>J23</f>
        <v>100</v>
      </c>
      <c r="X23" s="2075"/>
      <c r="Y23" s="344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2995"/>
      <c r="M24" s="2991"/>
      <c r="N24" s="2991"/>
      <c r="O24" s="2991"/>
      <c r="P24" s="3440"/>
      <c r="Q24" s="2072"/>
      <c r="R24" s="1726"/>
      <c r="S24" s="1727"/>
      <c r="T24" s="1726"/>
      <c r="U24" s="1727"/>
      <c r="V24" s="1726"/>
      <c r="W24" s="1727"/>
      <c r="X24" s="2075"/>
      <c r="Y24" s="3442"/>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2995"/>
      <c r="M25" s="2991"/>
      <c r="N25" s="2991"/>
      <c r="O25" s="2991"/>
      <c r="P25" s="3440"/>
      <c r="Q25" s="2072" t="str">
        <f t="shared" ref="Q25:Q46" si="11">B25</f>
        <v>临街状况</v>
      </c>
      <c r="R25" s="1726" t="s">
        <v>25</v>
      </c>
      <c r="S25" s="1727">
        <f>F25</f>
        <v>100</v>
      </c>
      <c r="T25" s="1726" t="s">
        <v>25</v>
      </c>
      <c r="U25" s="1727">
        <f>H25</f>
        <v>100</v>
      </c>
      <c r="V25" s="1726" t="s">
        <v>25</v>
      </c>
      <c r="W25" s="1727">
        <f>J25</f>
        <v>100</v>
      </c>
      <c r="X25" s="2075"/>
      <c r="Y25" s="3442"/>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2995"/>
      <c r="M26" s="2991"/>
      <c r="N26" s="2991"/>
      <c r="O26" s="2991"/>
      <c r="P26" s="3440"/>
      <c r="Q26" s="2072" t="str">
        <f t="shared" si="11"/>
        <v>平面位置/可视性</v>
      </c>
      <c r="R26" s="1726" t="s">
        <v>25</v>
      </c>
      <c r="S26" s="1727">
        <f>F26</f>
        <v>100</v>
      </c>
      <c r="T26" s="1726" t="s">
        <v>25</v>
      </c>
      <c r="U26" s="1727">
        <f>H26</f>
        <v>100</v>
      </c>
      <c r="V26" s="1726" t="s">
        <v>25</v>
      </c>
      <c r="W26" s="1727">
        <f>J26</f>
        <v>100</v>
      </c>
      <c r="X26" s="2075"/>
      <c r="Y26" s="3442"/>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0"/>
      <c r="M27" s="2963"/>
      <c r="N27" s="2963"/>
      <c r="O27" s="2963"/>
      <c r="P27" s="3440"/>
      <c r="Q27" s="2066" t="str">
        <f t="shared" si="11"/>
        <v>人流量</v>
      </c>
      <c r="R27" s="1681" t="s">
        <v>25</v>
      </c>
      <c r="S27" s="1682">
        <f>F27</f>
        <v>100</v>
      </c>
      <c r="T27" s="1681" t="s">
        <v>25</v>
      </c>
      <c r="U27" s="1682">
        <f>H27</f>
        <v>100</v>
      </c>
      <c r="V27" s="1681" t="s">
        <v>25</v>
      </c>
      <c r="W27" s="1682">
        <f>J27</f>
        <v>100</v>
      </c>
      <c r="X27" s="1683"/>
      <c r="Y27" s="3442"/>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2995"/>
      <c r="M28" s="2991"/>
      <c r="N28" s="2991"/>
      <c r="O28" s="2991"/>
      <c r="P28" s="344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2995"/>
      <c r="M29" s="2991"/>
      <c r="N29" s="2991"/>
      <c r="O29" s="2991"/>
      <c r="P29" s="3440"/>
      <c r="Q29" s="2072">
        <f t="shared" si="11"/>
        <v>111</v>
      </c>
      <c r="R29" s="1726" t="s">
        <v>25</v>
      </c>
      <c r="S29" s="1727">
        <f t="shared" si="12"/>
        <v>100</v>
      </c>
      <c r="T29" s="1726" t="s">
        <v>25</v>
      </c>
      <c r="U29" s="1727">
        <f t="shared" si="13"/>
        <v>100</v>
      </c>
      <c r="V29" s="1726" t="s">
        <v>25</v>
      </c>
      <c r="W29" s="1727">
        <f t="shared" si="14"/>
        <v>100</v>
      </c>
      <c r="X29" s="2075"/>
      <c r="Y29" s="344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2995"/>
      <c r="M30" s="2991"/>
      <c r="N30" s="2991"/>
      <c r="O30" s="2991"/>
      <c r="P30" s="3440"/>
      <c r="Q30" s="2072">
        <f t="shared" si="11"/>
        <v>111</v>
      </c>
      <c r="R30" s="1726" t="s">
        <v>25</v>
      </c>
      <c r="S30" s="1727">
        <f t="shared" si="12"/>
        <v>100</v>
      </c>
      <c r="T30" s="1726" t="s">
        <v>25</v>
      </c>
      <c r="U30" s="1727">
        <f t="shared" si="13"/>
        <v>100</v>
      </c>
      <c r="V30" s="1726" t="s">
        <v>25</v>
      </c>
      <c r="W30" s="1727">
        <f t="shared" si="14"/>
        <v>100</v>
      </c>
      <c r="X30" s="2075"/>
      <c r="Y30" s="3442"/>
      <c r="Z30" s="2079">
        <f t="shared" si="15"/>
        <v>111</v>
      </c>
      <c r="AA30" s="2070">
        <f t="shared" si="3"/>
        <v>1</v>
      </c>
      <c r="AB30" s="2070">
        <f t="shared" si="4"/>
        <v>1</v>
      </c>
      <c r="AC30" s="2070">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2995"/>
      <c r="M31" s="2991"/>
      <c r="N31" s="2991"/>
      <c r="O31" s="2991"/>
      <c r="P31" s="3440"/>
      <c r="Q31" s="2072">
        <f t="shared" si="11"/>
        <v>111</v>
      </c>
      <c r="R31" s="1726" t="s">
        <v>25</v>
      </c>
      <c r="S31" s="1727">
        <f t="shared" si="12"/>
        <v>100</v>
      </c>
      <c r="T31" s="1726" t="s">
        <v>25</v>
      </c>
      <c r="U31" s="1727">
        <f t="shared" si="13"/>
        <v>100</v>
      </c>
      <c r="V31" s="1726" t="s">
        <v>25</v>
      </c>
      <c r="W31" s="1727">
        <f t="shared" si="14"/>
        <v>100</v>
      </c>
      <c r="X31" s="2075"/>
      <c r="Y31" s="3442"/>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2995"/>
      <c r="M32" s="2991"/>
      <c r="N32" s="2991"/>
      <c r="O32" s="2991"/>
      <c r="P32" s="3443" t="s">
        <v>2276</v>
      </c>
      <c r="Q32" s="2072" t="str">
        <f t="shared" si="11"/>
        <v>商业类型</v>
      </c>
      <c r="R32" s="1726" t="s">
        <v>25</v>
      </c>
      <c r="S32" s="1727">
        <f t="shared" si="12"/>
        <v>100</v>
      </c>
      <c r="T32" s="1726" t="s">
        <v>25</v>
      </c>
      <c r="U32" s="1727">
        <f t="shared" si="13"/>
        <v>100</v>
      </c>
      <c r="V32" s="1726" t="s">
        <v>25</v>
      </c>
      <c r="W32" s="1727">
        <f t="shared" si="14"/>
        <v>100</v>
      </c>
      <c r="X32" s="2075"/>
      <c r="Y32" s="3446"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4"/>
      <c r="M33" s="2060"/>
      <c r="N33" s="2060"/>
      <c r="O33" s="2060"/>
      <c r="P33" s="3444"/>
      <c r="Q33" s="1767" t="str">
        <f t="shared" si="11"/>
        <v>项目建筑规模</v>
      </c>
      <c r="R33" s="1768" t="s">
        <v>25</v>
      </c>
      <c r="S33" s="1769" t="e">
        <f t="shared" si="12"/>
        <v>#N/A</v>
      </c>
      <c r="T33" s="1768" t="s">
        <v>25</v>
      </c>
      <c r="U33" s="1769" t="e">
        <f t="shared" si="13"/>
        <v>#N/A</v>
      </c>
      <c r="V33" s="1768" t="s">
        <v>25</v>
      </c>
      <c r="W33" s="1769" t="e">
        <f t="shared" si="14"/>
        <v>#N/A</v>
      </c>
      <c r="X33" s="1770"/>
      <c r="Y33" s="3446"/>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2995"/>
      <c r="M34" s="2991"/>
      <c r="N34" s="2991"/>
      <c r="O34" s="2991"/>
      <c r="P34" s="3444"/>
      <c r="Q34" s="2072" t="str">
        <f t="shared" si="11"/>
        <v>建筑结构</v>
      </c>
      <c r="R34" s="1726" t="s">
        <v>25</v>
      </c>
      <c r="S34" s="1727">
        <f t="shared" si="12"/>
        <v>100</v>
      </c>
      <c r="T34" s="1726" t="s">
        <v>25</v>
      </c>
      <c r="U34" s="1727">
        <f t="shared" si="13"/>
        <v>100</v>
      </c>
      <c r="V34" s="1726" t="s">
        <v>25</v>
      </c>
      <c r="W34" s="1727">
        <f t="shared" si="14"/>
        <v>100</v>
      </c>
      <c r="X34" s="2075"/>
      <c r="Y34" s="3446"/>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2995"/>
      <c r="M35" s="2991"/>
      <c r="N35" s="2991"/>
      <c r="O35" s="2991"/>
      <c r="P35" s="3444"/>
      <c r="Q35" s="2072" t="str">
        <f t="shared" si="11"/>
        <v>公共部分装修</v>
      </c>
      <c r="R35" s="1726" t="s">
        <v>25</v>
      </c>
      <c r="S35" s="1727">
        <f t="shared" si="12"/>
        <v>100</v>
      </c>
      <c r="T35" s="1726" t="s">
        <v>25</v>
      </c>
      <c r="U35" s="1727">
        <f t="shared" si="13"/>
        <v>100</v>
      </c>
      <c r="V35" s="1726" t="s">
        <v>25</v>
      </c>
      <c r="W35" s="1727">
        <f t="shared" si="14"/>
        <v>100</v>
      </c>
      <c r="X35" s="2075"/>
      <c r="Y35" s="3446"/>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2995"/>
      <c r="M36" s="2991"/>
      <c r="N36" s="2991"/>
      <c r="O36" s="2991"/>
      <c r="P36" s="3444"/>
      <c r="Q36" s="2072" t="str">
        <f t="shared" si="11"/>
        <v>成新度</v>
      </c>
      <c r="R36" s="1726" t="s">
        <v>25</v>
      </c>
      <c r="S36" s="1727" t="e">
        <f t="shared" si="12"/>
        <v>#N/A</v>
      </c>
      <c r="T36" s="1726" t="s">
        <v>25</v>
      </c>
      <c r="U36" s="1727" t="e">
        <f t="shared" si="13"/>
        <v>#N/A</v>
      </c>
      <c r="V36" s="1726" t="s">
        <v>25</v>
      </c>
      <c r="W36" s="1727" t="e">
        <f t="shared" si="14"/>
        <v>#N/A</v>
      </c>
      <c r="X36" s="2075"/>
      <c r="Y36" s="3446"/>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0"/>
      <c r="M37" s="2963"/>
      <c r="N37" s="2963"/>
      <c r="O37" s="2963"/>
      <c r="P37" s="3444"/>
      <c r="Q37" s="2066" t="str">
        <f t="shared" si="11"/>
        <v>市政基础设施</v>
      </c>
      <c r="R37" s="1681" t="s">
        <v>25</v>
      </c>
      <c r="S37" s="1682">
        <f t="shared" si="12"/>
        <v>100</v>
      </c>
      <c r="T37" s="1681" t="s">
        <v>25</v>
      </c>
      <c r="U37" s="1682">
        <f t="shared" si="13"/>
        <v>100</v>
      </c>
      <c r="V37" s="1681" t="s">
        <v>25</v>
      </c>
      <c r="W37" s="1682">
        <f t="shared" si="14"/>
        <v>100</v>
      </c>
      <c r="X37" s="1683"/>
      <c r="Y37" s="3446"/>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2995"/>
      <c r="M38" s="2991"/>
      <c r="N38" s="2991"/>
      <c r="O38" s="2991"/>
      <c r="P38" s="3444" t="s">
        <v>2276</v>
      </c>
      <c r="Q38" s="2072" t="str">
        <f t="shared" si="11"/>
        <v>业态</v>
      </c>
      <c r="R38" s="1726" t="s">
        <v>25</v>
      </c>
      <c r="S38" s="1727">
        <f t="shared" si="12"/>
        <v>100</v>
      </c>
      <c r="T38" s="1726" t="s">
        <v>25</v>
      </c>
      <c r="U38" s="1727">
        <f t="shared" si="13"/>
        <v>100</v>
      </c>
      <c r="V38" s="1726" t="s">
        <v>25</v>
      </c>
      <c r="W38" s="1727">
        <f t="shared" si="14"/>
        <v>100</v>
      </c>
      <c r="X38" s="2075"/>
      <c r="Y38" s="3446"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2995"/>
      <c r="M39" s="2991"/>
      <c r="N39" s="2991"/>
      <c r="O39" s="2991"/>
      <c r="P39" s="3444"/>
      <c r="Q39" s="2072" t="str">
        <f t="shared" si="11"/>
        <v>层高</v>
      </c>
      <c r="R39" s="1726" t="s">
        <v>25</v>
      </c>
      <c r="S39" s="1727">
        <f t="shared" si="12"/>
        <v>100</v>
      </c>
      <c r="T39" s="1726" t="s">
        <v>25</v>
      </c>
      <c r="U39" s="1727">
        <f t="shared" si="13"/>
        <v>100</v>
      </c>
      <c r="V39" s="1726" t="s">
        <v>25</v>
      </c>
      <c r="W39" s="1727">
        <f t="shared" si="14"/>
        <v>100</v>
      </c>
      <c r="X39" s="2075"/>
      <c r="Y39" s="3446"/>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2995"/>
      <c r="M40" s="2991"/>
      <c r="N40" s="2991"/>
      <c r="O40" s="2991"/>
      <c r="P40" s="3444"/>
      <c r="Q40" s="2072" t="str">
        <f t="shared" si="11"/>
        <v>单套建筑面积</v>
      </c>
      <c r="R40" s="1726" t="s">
        <v>25</v>
      </c>
      <c r="S40" s="1727">
        <f t="shared" si="12"/>
        <v>100</v>
      </c>
      <c r="T40" s="1726" t="s">
        <v>25</v>
      </c>
      <c r="U40" s="1727">
        <f t="shared" si="13"/>
        <v>100</v>
      </c>
      <c r="V40" s="1726" t="s">
        <v>25</v>
      </c>
      <c r="W40" s="1727">
        <f t="shared" si="14"/>
        <v>100</v>
      </c>
      <c r="X40" s="2075"/>
      <c r="Y40" s="3446"/>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4"/>
      <c r="M41" s="2060"/>
      <c r="N41" s="2060"/>
      <c r="O41" s="2060"/>
      <c r="P41" s="3444"/>
      <c r="Q41" s="1767" t="str">
        <f t="shared" si="11"/>
        <v>进深比</v>
      </c>
      <c r="R41" s="1768" t="s">
        <v>25</v>
      </c>
      <c r="S41" s="1769">
        <f t="shared" si="12"/>
        <v>100</v>
      </c>
      <c r="T41" s="1768" t="s">
        <v>25</v>
      </c>
      <c r="U41" s="1769">
        <f t="shared" si="13"/>
        <v>100</v>
      </c>
      <c r="V41" s="1768" t="s">
        <v>25</v>
      </c>
      <c r="W41" s="1769">
        <f t="shared" si="14"/>
        <v>100</v>
      </c>
      <c r="X41" s="1770"/>
      <c r="Y41" s="3446"/>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2995"/>
      <c r="M42" s="2991"/>
      <c r="N42" s="2991"/>
      <c r="O42" s="2991"/>
      <c r="P42" s="3444"/>
      <c r="Q42" s="2072" t="str">
        <f t="shared" si="11"/>
        <v>内部装修</v>
      </c>
      <c r="R42" s="1726" t="s">
        <v>25</v>
      </c>
      <c r="S42" s="1727">
        <f t="shared" si="12"/>
        <v>100</v>
      </c>
      <c r="T42" s="1726" t="s">
        <v>25</v>
      </c>
      <c r="U42" s="1727">
        <f t="shared" si="13"/>
        <v>100</v>
      </c>
      <c r="V42" s="1726" t="s">
        <v>25</v>
      </c>
      <c r="W42" s="1727">
        <f t="shared" si="14"/>
        <v>100</v>
      </c>
      <c r="X42" s="2075"/>
      <c r="Y42" s="3446"/>
      <c r="Z42" s="2079" t="str">
        <f t="shared" si="15"/>
        <v>内部装修</v>
      </c>
      <c r="AA42" s="2070">
        <f t="shared" si="3"/>
        <v>1</v>
      </c>
      <c r="AB42" s="2070">
        <f t="shared" si="4"/>
        <v>1</v>
      </c>
      <c r="AC42" s="2070">
        <f t="shared" si="5"/>
        <v>1</v>
      </c>
    </row>
    <row r="43" spans="1:29" ht="28.8">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2995"/>
      <c r="M43" s="2991"/>
      <c r="N43" s="2991"/>
      <c r="O43" s="2991"/>
      <c r="P43" s="3444"/>
      <c r="Q43" s="2072" t="str">
        <f t="shared" si="11"/>
        <v>内部装修维护情况</v>
      </c>
      <c r="R43" s="1726" t="s">
        <v>25</v>
      </c>
      <c r="S43" s="1727">
        <f t="shared" si="12"/>
        <v>100</v>
      </c>
      <c r="T43" s="1726" t="s">
        <v>25</v>
      </c>
      <c r="U43" s="1727">
        <f t="shared" si="13"/>
        <v>100</v>
      </c>
      <c r="V43" s="1726" t="s">
        <v>25</v>
      </c>
      <c r="W43" s="1727">
        <f t="shared" si="14"/>
        <v>100</v>
      </c>
      <c r="X43" s="2075"/>
      <c r="Y43" s="344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0"/>
      <c r="M44" s="2963"/>
      <c r="N44" s="2963"/>
      <c r="O44" s="2963"/>
      <c r="P44" s="3444"/>
      <c r="Q44" s="2066">
        <f t="shared" si="11"/>
        <v>111</v>
      </c>
      <c r="R44" s="1681" t="s">
        <v>25</v>
      </c>
      <c r="S44" s="1682">
        <f t="shared" si="12"/>
        <v>100</v>
      </c>
      <c r="T44" s="1681" t="s">
        <v>25</v>
      </c>
      <c r="U44" s="1682">
        <f t="shared" si="13"/>
        <v>100</v>
      </c>
      <c r="V44" s="1681" t="s">
        <v>25</v>
      </c>
      <c r="W44" s="1682">
        <f t="shared" si="14"/>
        <v>100</v>
      </c>
      <c r="X44" s="1683"/>
      <c r="Y44" s="344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2995"/>
      <c r="M45" s="2991"/>
      <c r="N45" s="2991"/>
      <c r="O45" s="2991"/>
      <c r="P45" s="3444"/>
      <c r="Q45" s="2072">
        <f t="shared" si="11"/>
        <v>111</v>
      </c>
      <c r="R45" s="1726" t="s">
        <v>25</v>
      </c>
      <c r="S45" s="1727">
        <f t="shared" si="12"/>
        <v>100</v>
      </c>
      <c r="T45" s="1726" t="s">
        <v>25</v>
      </c>
      <c r="U45" s="1727">
        <f t="shared" si="13"/>
        <v>100</v>
      </c>
      <c r="V45" s="1726" t="s">
        <v>25</v>
      </c>
      <c r="W45" s="1727">
        <f t="shared" si="14"/>
        <v>100</v>
      </c>
      <c r="X45" s="2075"/>
      <c r="Y45" s="3446"/>
      <c r="Z45" s="2079">
        <f t="shared" si="15"/>
        <v>111</v>
      </c>
      <c r="AA45" s="2070">
        <f t="shared" si="3"/>
        <v>1</v>
      </c>
      <c r="AB45" s="2070">
        <f t="shared" si="4"/>
        <v>1</v>
      </c>
      <c r="AC45" s="2070">
        <f t="shared" si="5"/>
        <v>1</v>
      </c>
    </row>
    <row r="46" spans="1:29" ht="15.6"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2995"/>
      <c r="M46" s="2991"/>
      <c r="N46" s="2991"/>
      <c r="O46" s="2991"/>
      <c r="P46" s="3445"/>
      <c r="Q46" s="2072">
        <f t="shared" si="11"/>
        <v>111</v>
      </c>
      <c r="R46" s="1726" t="s">
        <v>25</v>
      </c>
      <c r="S46" s="1727">
        <f t="shared" si="12"/>
        <v>100</v>
      </c>
      <c r="T46" s="1726" t="s">
        <v>25</v>
      </c>
      <c r="U46" s="1727">
        <f t="shared" si="13"/>
        <v>100</v>
      </c>
      <c r="V46" s="1726" t="s">
        <v>25</v>
      </c>
      <c r="W46" s="1727">
        <f t="shared" si="14"/>
        <v>100</v>
      </c>
      <c r="X46" s="2075"/>
      <c r="Y46" s="3447"/>
      <c r="Z46" s="2079">
        <f t="shared" si="15"/>
        <v>111</v>
      </c>
      <c r="AA46" s="2070">
        <f t="shared" si="3"/>
        <v>1</v>
      </c>
      <c r="AB46" s="2070">
        <f t="shared" si="4"/>
        <v>1</v>
      </c>
      <c r="AC46" s="2070">
        <f t="shared" si="5"/>
        <v>1</v>
      </c>
    </row>
    <row r="47" spans="1:29" ht="14.4">
      <c r="A47" s="1782" t="s">
        <v>2288</v>
      </c>
      <c r="B47" s="1783"/>
      <c r="C47" s="1784" t="s">
        <v>1</v>
      </c>
      <c r="D47" s="1785"/>
      <c r="E47" s="1786"/>
      <c r="F47" s="1787"/>
      <c r="G47" s="1788"/>
      <c r="H47" s="1789"/>
      <c r="I47" s="1786"/>
      <c r="J47" s="1789"/>
      <c r="K47" s="2014"/>
      <c r="L47" s="2996"/>
      <c r="N47" s="2991"/>
      <c r="P47" s="3438" t="str">
        <f>A47</f>
        <v>成交单价（元/平方米）</v>
      </c>
      <c r="Q47" s="3438"/>
      <c r="R47" s="3434">
        <f>E47</f>
        <v>0</v>
      </c>
      <c r="S47" s="3434"/>
      <c r="T47" s="3434">
        <f>G47</f>
        <v>0</v>
      </c>
      <c r="U47" s="3434"/>
      <c r="V47" s="3434">
        <f>I47</f>
        <v>0</v>
      </c>
      <c r="W47" s="3434"/>
      <c r="X47" s="1792"/>
      <c r="Y47" s="2074"/>
      <c r="Z47" s="1792"/>
      <c r="AA47" s="1792"/>
      <c r="AB47" s="1792"/>
      <c r="AC47" s="1792"/>
    </row>
    <row r="48" spans="1:29" ht="15" thickBot="1">
      <c r="A48" s="1794" t="s">
        <v>2371</v>
      </c>
      <c r="B48" s="1795"/>
      <c r="C48" s="1796" t="e">
        <f>R49</f>
        <v>#DIV/0!</v>
      </c>
      <c r="D48" s="1797" t="s">
        <v>2744</v>
      </c>
      <c r="E48" s="1798" t="e">
        <f>R48</f>
        <v>#DIV/0!</v>
      </c>
      <c r="F48" s="1799"/>
      <c r="G48" s="1796" t="e">
        <f>T48</f>
        <v>#DIV/0!</v>
      </c>
      <c r="H48" s="1799"/>
      <c r="I48" s="1798" t="e">
        <f>V48</f>
        <v>#DIV/0!</v>
      </c>
      <c r="J48" s="1799"/>
      <c r="K48" s="2511">
        <f>F48+H48+J48</f>
        <v>0</v>
      </c>
      <c r="L48" s="2996"/>
      <c r="N48" s="2991"/>
      <c r="P48" s="3438" t="str">
        <f>A48</f>
        <v>比较价值（元/平方米）</v>
      </c>
      <c r="Q48" s="3438"/>
      <c r="R48" s="3434" t="e">
        <f>IF(E1="售价",ROUND(PRODUCT(R47,AA7:AA46),0),ROUND(PRODUCT(R47,AA7:AA46),1))</f>
        <v>#DIV/0!</v>
      </c>
      <c r="S48" s="3434"/>
      <c r="T48" s="3434" t="e">
        <f>IF(E1="售价",ROUND(PRODUCT(T47,AB7:AB46),0),ROUND(PRODUCT(T47,AB7:AB46),1))</f>
        <v>#DIV/0!</v>
      </c>
      <c r="U48" s="3434"/>
      <c r="V48" s="3434" t="e">
        <f>IF(E1="售价",ROUND(PRODUCT(V47,AC7:AC46),0),ROUND(PRODUCT(V47,AC7:AC46),1))</f>
        <v>#DIV/0!</v>
      </c>
      <c r="W48" s="3434"/>
      <c r="X48" s="1792"/>
      <c r="Y48" s="1792"/>
      <c r="Z48" s="1792"/>
      <c r="AA48" s="1792"/>
      <c r="AB48" s="1792"/>
      <c r="AC48" s="1792"/>
    </row>
    <row r="49" spans="1:29" ht="15" thickBot="1">
      <c r="A49" s="1800" t="s">
        <v>2372</v>
      </c>
      <c r="B49" s="1801"/>
      <c r="C49" s="1803" t="e">
        <f>R49</f>
        <v>#DIV/0!</v>
      </c>
      <c r="D49" s="1803"/>
      <c r="E49" s="1803"/>
      <c r="F49" s="1803"/>
      <c r="G49" s="1803"/>
      <c r="H49" s="1803"/>
      <c r="I49" s="1803"/>
      <c r="J49" s="1803"/>
      <c r="K49" s="2019"/>
      <c r="L49" s="2996"/>
      <c r="N49" s="2991"/>
      <c r="P49" s="3435" t="str">
        <f>A49</f>
        <v>估价对象XX用房的比较价值（楼面单价，元/平方米）</v>
      </c>
      <c r="Q49" s="3436"/>
      <c r="R49" s="3437" t="e">
        <f>IF(E1="售价",ROUND(IF(D48="简单平均",AVERAGE(R48:V48),R48*F48+T48*H48+V48*J48),0),ROUND(IF(D48="简单平均",AVERAGE(R48:V48),R48*F48+T48*H48+V48*J48),1))</f>
        <v>#DIV/0!</v>
      </c>
      <c r="S49" s="3437"/>
      <c r="T49" s="3437"/>
      <c r="U49" s="3437"/>
      <c r="V49" s="3437"/>
      <c r="W49" s="3437"/>
      <c r="X49" s="1792"/>
      <c r="Y49" s="1792"/>
      <c r="Z49" s="1792"/>
      <c r="AA49" s="1792"/>
      <c r="AB49" s="1792"/>
      <c r="AC49" s="1792"/>
    </row>
    <row r="50" spans="1:29">
      <c r="G50" s="3000"/>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3"/>
      <c r="L54" s="2997"/>
      <c r="P54" s="2481"/>
      <c r="Q54" s="1812"/>
      <c r="R54" s="1812"/>
      <c r="S54" s="1812"/>
      <c r="T54" s="1812"/>
      <c r="U54" s="1812"/>
      <c r="V54" s="1812"/>
      <c r="W54" s="1812"/>
      <c r="X54" s="1812"/>
      <c r="Y54" s="1812"/>
      <c r="Z54" s="1812"/>
      <c r="AA54" s="1812"/>
      <c r="AB54" s="1812"/>
      <c r="AC54" s="1812"/>
    </row>
    <row r="55" spans="1:29" s="1814" customFormat="1">
      <c r="B55" s="3001"/>
      <c r="C55" s="3002"/>
      <c r="K55" s="3003"/>
      <c r="L55" s="2997"/>
      <c r="P55" s="2481"/>
      <c r="Q55" s="1812"/>
      <c r="R55" s="1812"/>
      <c r="S55" s="1812"/>
      <c r="T55" s="1812"/>
      <c r="U55" s="1812"/>
      <c r="V55" s="1812"/>
      <c r="W55" s="1812"/>
      <c r="X55" s="1812"/>
      <c r="Y55" s="1812"/>
      <c r="Z55" s="1812"/>
      <c r="AA55" s="1812"/>
      <c r="AB55" s="1812"/>
      <c r="AC55" s="1812"/>
    </row>
    <row r="56" spans="1:29">
      <c r="B56" s="3001"/>
      <c r="C56" s="3002"/>
      <c r="P56" s="2480"/>
      <c r="Q56" s="1791"/>
      <c r="R56" s="1791"/>
      <c r="S56" s="1791"/>
      <c r="T56" s="1791"/>
      <c r="U56" s="1791"/>
      <c r="V56" s="1791"/>
      <c r="W56" s="1791"/>
      <c r="X56" s="1791"/>
      <c r="Y56" s="1791"/>
      <c r="Z56" s="1791"/>
      <c r="AA56" s="1791"/>
      <c r="AB56" s="1791"/>
      <c r="AC56" s="1791"/>
    </row>
    <row r="57" spans="1:29" ht="22.2" thickBot="1">
      <c r="A57" s="1817" t="s">
        <v>2376</v>
      </c>
      <c r="B57" s="1792"/>
      <c r="C57" s="1818"/>
      <c r="D57" s="1818"/>
      <c r="E57" s="1818"/>
      <c r="F57" s="1818"/>
      <c r="G57" s="1818"/>
      <c r="H57" s="1818"/>
      <c r="I57" s="1818"/>
      <c r="J57" s="1818"/>
      <c r="K57" s="1819"/>
      <c r="L57" s="2045"/>
      <c r="M57" s="2043"/>
      <c r="N57" s="2999"/>
      <c r="O57" s="2999"/>
      <c r="P57" s="2482"/>
      <c r="Q57" s="2483"/>
      <c r="R57" s="1791"/>
      <c r="S57" s="1791"/>
      <c r="T57" s="1791"/>
      <c r="U57" s="1791"/>
      <c r="V57" s="1791"/>
      <c r="W57" s="1791"/>
      <c r="X57" s="1791"/>
      <c r="Y57" s="1791"/>
      <c r="Z57" s="1791"/>
      <c r="AA57" s="1791"/>
      <c r="AB57" s="1791"/>
      <c r="AC57" s="1791"/>
    </row>
    <row r="58" spans="1:29" s="1828" customFormat="1" ht="14.4">
      <c r="A58" s="1823" t="s">
        <v>2258</v>
      </c>
      <c r="B58" s="1824"/>
      <c r="C58" s="1825" t="str">
        <f>YEAR(C7)&amp;"-"&amp;MONTH(C7)</f>
        <v>2021-7</v>
      </c>
      <c r="D58" s="1826">
        <f>EDATE(C58,-1)</f>
        <v>44348</v>
      </c>
      <c r="E58" s="1826">
        <f t="shared" ref="E58:O58" si="16">EDATE(D58,-1)</f>
        <v>44317</v>
      </c>
      <c r="F58" s="1826">
        <f t="shared" si="16"/>
        <v>44287</v>
      </c>
      <c r="G58" s="1826">
        <f t="shared" si="16"/>
        <v>44256</v>
      </c>
      <c r="H58" s="1826">
        <f t="shared" si="16"/>
        <v>44228</v>
      </c>
      <c r="I58" s="1826">
        <f t="shared" si="16"/>
        <v>44197</v>
      </c>
      <c r="J58" s="1826">
        <f t="shared" si="16"/>
        <v>44166</v>
      </c>
      <c r="K58" s="1826">
        <f t="shared" si="16"/>
        <v>44136</v>
      </c>
      <c r="L58" s="1826">
        <f t="shared" si="16"/>
        <v>44105</v>
      </c>
      <c r="M58" s="1826">
        <f t="shared" si="16"/>
        <v>44075</v>
      </c>
      <c r="N58" s="1826">
        <f t="shared" si="16"/>
        <v>44044</v>
      </c>
      <c r="O58" s="1826">
        <f t="shared" si="16"/>
        <v>44013</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2260</v>
      </c>
      <c r="B61" s="1830"/>
      <c r="C61" s="1841" t="s">
        <v>2261</v>
      </c>
      <c r="D61" s="409"/>
      <c r="E61" s="409"/>
      <c r="F61" s="409"/>
      <c r="G61" s="409"/>
      <c r="H61" s="409"/>
      <c r="I61" s="409"/>
      <c r="J61" s="409"/>
      <c r="K61" s="409"/>
      <c r="L61" s="409"/>
      <c r="M61" s="1842"/>
      <c r="N61" s="3008"/>
      <c r="O61" s="3008"/>
      <c r="P61" s="1844"/>
      <c r="Q61" s="1822"/>
    </row>
    <row r="62" spans="1:29" s="1685" customFormat="1" ht="14.4" thickBot="1">
      <c r="A62" s="1840"/>
      <c r="B62" s="1830"/>
      <c r="C62" s="1845">
        <v>100</v>
      </c>
      <c r="D62" s="1832"/>
      <c r="E62" s="1832"/>
      <c r="F62" s="1832"/>
      <c r="G62" s="1832"/>
      <c r="H62" s="1832"/>
      <c r="I62" s="1832"/>
      <c r="J62" s="1832"/>
      <c r="K62" s="1832"/>
      <c r="L62" s="1832"/>
      <c r="M62" s="1846"/>
      <c r="N62" s="3008"/>
      <c r="O62" s="3008"/>
      <c r="P62" s="1834"/>
      <c r="Q62" s="1822"/>
    </row>
    <row r="63" spans="1:29" ht="14.4">
      <c r="A63" s="1847" t="s">
        <v>2299</v>
      </c>
      <c r="B63" s="1848" t="s">
        <v>2264</v>
      </c>
      <c r="C63" s="1849">
        <f>C9</f>
        <v>0</v>
      </c>
      <c r="D63" s="1850"/>
      <c r="E63" s="1850"/>
      <c r="F63" s="1850"/>
      <c r="G63" s="1850"/>
      <c r="H63" s="1850"/>
      <c r="I63" s="1850"/>
      <c r="J63" s="1850"/>
      <c r="K63" s="417"/>
      <c r="L63" s="417"/>
      <c r="M63" s="1851"/>
      <c r="N63" s="3009"/>
      <c r="O63" s="3009"/>
      <c r="P63" s="1853"/>
      <c r="Q63" s="1822"/>
    </row>
    <row r="64" spans="1:29" ht="14.4" thickBot="1">
      <c r="A64" s="1854"/>
      <c r="B64" s="1855"/>
      <c r="C64" s="1856">
        <v>100</v>
      </c>
      <c r="D64" s="1856"/>
      <c r="E64" s="1856"/>
      <c r="F64" s="1856"/>
      <c r="G64" s="1856"/>
      <c r="H64" s="1856"/>
      <c r="I64" s="1856"/>
      <c r="J64" s="1856"/>
      <c r="K64" s="1856"/>
      <c r="L64" s="1856"/>
      <c r="M64" s="1857"/>
      <c r="N64" s="3010"/>
      <c r="O64" s="3010"/>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09"/>
      <c r="O65" s="3009"/>
      <c r="P65" s="1853"/>
      <c r="Q65" s="1822"/>
    </row>
    <row r="66" spans="1:17" ht="14.4"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0"/>
      <c r="O66" s="3010"/>
      <c r="P66" s="1853"/>
      <c r="Q66" s="1822"/>
    </row>
    <row r="67" spans="1:17" ht="1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0"/>
      <c r="O67" s="3010"/>
      <c r="P67" s="1853"/>
      <c r="Q67" s="1822"/>
    </row>
    <row r="68" spans="1:17">
      <c r="A68" s="1854"/>
      <c r="B68" s="1867"/>
      <c r="C68" s="1868"/>
      <c r="D68" s="1868"/>
      <c r="E68" s="1868"/>
      <c r="F68" s="1868"/>
      <c r="G68" s="1868"/>
      <c r="H68" s="1868"/>
      <c r="I68" s="1868"/>
      <c r="J68" s="1868"/>
      <c r="K68" s="438"/>
      <c r="L68" s="438"/>
      <c r="M68" s="1869"/>
      <c r="N68" s="3009"/>
      <c r="O68" s="3009"/>
      <c r="P68" s="1853"/>
      <c r="Q68" s="1822"/>
    </row>
    <row r="69" spans="1:17" ht="14.4"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0"/>
      <c r="O69" s="3010"/>
      <c r="P69" s="1853"/>
      <c r="Q69" s="1822"/>
    </row>
    <row r="70" spans="1:17" s="1772" customFormat="1" ht="14.4" thickTop="1">
      <c r="A70" s="1870"/>
      <c r="B70" s="1859">
        <f>B12</f>
        <v>111</v>
      </c>
      <c r="C70" s="468"/>
      <c r="D70" s="468"/>
      <c r="E70" s="468"/>
      <c r="F70" s="468"/>
      <c r="G70" s="468"/>
      <c r="H70" s="443"/>
      <c r="I70" s="443"/>
      <c r="J70" s="443"/>
      <c r="K70" s="443"/>
      <c r="L70" s="443"/>
      <c r="M70" s="1871"/>
      <c r="N70" s="3011"/>
      <c r="O70" s="3011"/>
      <c r="P70" s="1873"/>
      <c r="Q70" s="1874"/>
    </row>
    <row r="71" spans="1:17" s="1772" customFormat="1" ht="14.4" thickBot="1">
      <c r="A71" s="1870"/>
      <c r="B71" s="1862"/>
      <c r="C71" s="1875"/>
      <c r="D71" s="1856"/>
      <c r="E71" s="1856"/>
      <c r="F71" s="1856"/>
      <c r="G71" s="1856"/>
      <c r="H71" s="1856"/>
      <c r="I71" s="1856"/>
      <c r="J71" s="1856"/>
      <c r="K71" s="1856"/>
      <c r="L71" s="1856"/>
      <c r="M71" s="1857"/>
      <c r="N71" s="3010"/>
      <c r="O71" s="3010"/>
      <c r="P71" s="1873"/>
      <c r="Q71" s="1874"/>
    </row>
    <row r="72" spans="1:17" s="1772" customFormat="1" ht="14.4" thickTop="1">
      <c r="A72" s="1870"/>
      <c r="B72" s="1859">
        <f>B13</f>
        <v>111</v>
      </c>
      <c r="C72" s="468"/>
      <c r="D72" s="468"/>
      <c r="E72" s="468"/>
      <c r="F72" s="468"/>
      <c r="G72" s="468"/>
      <c r="H72" s="443"/>
      <c r="I72" s="443"/>
      <c r="J72" s="443"/>
      <c r="K72" s="443"/>
      <c r="L72" s="443"/>
      <c r="M72" s="1871"/>
      <c r="N72" s="3011"/>
      <c r="O72" s="3011"/>
      <c r="P72" s="1876"/>
      <c r="Q72" s="1877"/>
    </row>
    <row r="73" spans="1:17" s="1772" customFormat="1" ht="14.4" thickBot="1">
      <c r="A73" s="1870"/>
      <c r="B73" s="1862"/>
      <c r="C73" s="1875"/>
      <c r="D73" s="1856"/>
      <c r="E73" s="1856"/>
      <c r="F73" s="1856"/>
      <c r="G73" s="1875"/>
      <c r="H73" s="1878"/>
      <c r="I73" s="1878"/>
      <c r="J73" s="1878"/>
      <c r="K73" s="1878"/>
      <c r="L73" s="1878"/>
      <c r="M73" s="1879"/>
      <c r="N73" s="3011"/>
      <c r="O73" s="3011"/>
      <c r="P73" s="1873"/>
      <c r="Q73" s="1874"/>
    </row>
    <row r="74" spans="1:17" s="1772" customFormat="1" ht="14.4" thickTop="1">
      <c r="A74" s="1870"/>
      <c r="B74" s="1865">
        <f>B14</f>
        <v>111</v>
      </c>
      <c r="C74" s="468"/>
      <c r="D74" s="468"/>
      <c r="E74" s="468"/>
      <c r="F74" s="468"/>
      <c r="G74" s="409"/>
      <c r="H74" s="453"/>
      <c r="I74" s="453"/>
      <c r="J74" s="453"/>
      <c r="K74" s="453"/>
      <c r="L74" s="453"/>
      <c r="M74" s="1880"/>
      <c r="N74" s="3011"/>
      <c r="O74" s="3011"/>
      <c r="P74" s="1873"/>
      <c r="Q74" s="1874"/>
    </row>
    <row r="75" spans="1:17" s="1772" customFormat="1" ht="14.4" thickBot="1">
      <c r="A75" s="1881"/>
      <c r="B75" s="1882"/>
      <c r="C75" s="1883"/>
      <c r="D75" s="1883"/>
      <c r="E75" s="1883"/>
      <c r="F75" s="1883"/>
      <c r="G75" s="1883"/>
      <c r="H75" s="1884"/>
      <c r="I75" s="1884"/>
      <c r="J75" s="1884"/>
      <c r="K75" s="1884"/>
      <c r="L75" s="1884"/>
      <c r="M75" s="1885"/>
      <c r="N75" s="3011"/>
      <c r="O75" s="3011"/>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3009"/>
      <c r="O76" s="3009"/>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3010"/>
      <c r="O77" s="3010"/>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3009"/>
      <c r="O78" s="3009"/>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3010"/>
      <c r="O79" s="3010"/>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3009"/>
      <c r="O80" s="3009"/>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3010"/>
      <c r="O81" s="3010"/>
      <c r="P81" s="1853"/>
      <c r="Q81" s="1822"/>
    </row>
    <row r="82" spans="1:17" ht="15" thickTop="1">
      <c r="A82" s="1854"/>
      <c r="B82" s="1865" t="s">
        <v>2357</v>
      </c>
      <c r="C82" s="1860" t="s">
        <v>2315</v>
      </c>
      <c r="D82" s="1860" t="s">
        <v>2316</v>
      </c>
      <c r="E82" s="1860" t="s">
        <v>2317</v>
      </c>
      <c r="F82" s="1860" t="s">
        <v>2318</v>
      </c>
      <c r="G82" s="1860" t="s">
        <v>2319</v>
      </c>
      <c r="H82" s="1860"/>
      <c r="I82" s="1860"/>
      <c r="J82" s="1860"/>
      <c r="K82" s="1860"/>
      <c r="L82" s="1860"/>
      <c r="M82" s="1888"/>
      <c r="N82" s="3010"/>
      <c r="O82" s="3010"/>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3010"/>
      <c r="O83" s="3010"/>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3009"/>
      <c r="O84" s="3009"/>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3010"/>
      <c r="O85" s="3010"/>
      <c r="P85" s="1853"/>
      <c r="Q85" s="1822"/>
    </row>
    <row r="86" spans="1:17" s="1685" customFormat="1" ht="15" thickTop="1">
      <c r="A86" s="1890"/>
      <c r="B86" s="1859" t="s">
        <v>2377</v>
      </c>
      <c r="C86" s="468"/>
      <c r="D86" s="468"/>
      <c r="E86" s="468"/>
      <c r="F86" s="468"/>
      <c r="G86" s="468"/>
      <c r="H86" s="468"/>
      <c r="I86" s="468"/>
      <c r="J86" s="468"/>
      <c r="K86" s="468"/>
      <c r="L86" s="468"/>
      <c r="M86" s="1891"/>
      <c r="N86" s="3008"/>
      <c r="O86" s="3008"/>
      <c r="P86" s="1853"/>
      <c r="Q86" s="1822"/>
    </row>
    <row r="87" spans="1:17" s="1685" customFormat="1" ht="14.4"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0"/>
      <c r="O87" s="3010"/>
      <c r="P87" s="1853"/>
      <c r="Q87" s="1822"/>
    </row>
    <row r="88" spans="1:17" s="1685" customFormat="1" ht="14.4" thickTop="1">
      <c r="A88" s="1890"/>
      <c r="B88" s="1859" t="str">
        <f>B26</f>
        <v>平面位置/可视性</v>
      </c>
      <c r="C88" s="468"/>
      <c r="D88" s="468"/>
      <c r="E88" s="468"/>
      <c r="F88" s="1893"/>
      <c r="G88" s="468"/>
      <c r="H88" s="468"/>
      <c r="I88" s="468"/>
      <c r="J88" s="468"/>
      <c r="K88" s="468"/>
      <c r="L88" s="468"/>
      <c r="M88" s="1891"/>
      <c r="N88" s="3008"/>
      <c r="O88" s="3008"/>
      <c r="P88" s="1853"/>
      <c r="Q88" s="1822"/>
    </row>
    <row r="89" spans="1:17" s="1685" customFormat="1" ht="14.4" thickBot="1">
      <c r="A89" s="1890"/>
      <c r="B89" s="1862"/>
      <c r="C89" s="1875"/>
      <c r="D89" s="1856"/>
      <c r="E89" s="1856"/>
      <c r="F89" s="1856"/>
      <c r="G89" s="1856"/>
      <c r="H89" s="1856"/>
      <c r="I89" s="1856"/>
      <c r="J89" s="1856"/>
      <c r="K89" s="1856"/>
      <c r="L89" s="1856"/>
      <c r="M89" s="1856"/>
      <c r="N89" s="3010"/>
      <c r="O89" s="3010"/>
      <c r="P89" s="1853"/>
      <c r="Q89" s="1822"/>
    </row>
    <row r="90" spans="1:17" s="1772" customFormat="1" ht="14.4" thickTop="1">
      <c r="A90" s="1870"/>
      <c r="B90" s="1859" t="str">
        <f>B27</f>
        <v>人流量</v>
      </c>
      <c r="C90" s="468"/>
      <c r="D90" s="468"/>
      <c r="E90" s="468"/>
      <c r="F90" s="468"/>
      <c r="G90" s="468"/>
      <c r="H90" s="443"/>
      <c r="I90" s="443"/>
      <c r="J90" s="443"/>
      <c r="K90" s="443"/>
      <c r="L90" s="443"/>
      <c r="M90" s="1871"/>
      <c r="N90" s="3011"/>
      <c r="O90" s="3011"/>
      <c r="P90" s="1873"/>
      <c r="Q90" s="1874"/>
    </row>
    <row r="91" spans="1:17" s="1772" customFormat="1" ht="14.4"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1"/>
      <c r="O91" s="3011"/>
      <c r="P91" s="1873"/>
      <c r="Q91" s="1874"/>
    </row>
    <row r="92" spans="1:17" ht="14.4" thickTop="1">
      <c r="A92" s="1854"/>
      <c r="B92" s="1859" t="str">
        <f>B28</f>
        <v>楼层</v>
      </c>
      <c r="C92" s="468"/>
      <c r="D92" s="468"/>
      <c r="E92" s="468"/>
      <c r="F92" s="468"/>
      <c r="G92" s="468"/>
      <c r="H92" s="468"/>
      <c r="I92" s="468"/>
      <c r="J92" s="468"/>
      <c r="K92" s="468"/>
      <c r="L92" s="468"/>
      <c r="M92" s="1891"/>
      <c r="N92" s="3009"/>
      <c r="O92" s="3009"/>
      <c r="P92" s="1853"/>
      <c r="Q92" s="1822"/>
    </row>
    <row r="93" spans="1:17" ht="14.4" thickBot="1">
      <c r="A93" s="1854"/>
      <c r="B93" s="1862"/>
      <c r="C93" s="1856"/>
      <c r="D93" s="1856"/>
      <c r="E93" s="1856"/>
      <c r="F93" s="1856"/>
      <c r="G93" s="1856"/>
      <c r="H93" s="1856"/>
      <c r="I93" s="1856"/>
      <c r="J93" s="1856"/>
      <c r="K93" s="1856"/>
      <c r="L93" s="1856"/>
      <c r="M93" s="1857"/>
      <c r="N93" s="3010"/>
      <c r="O93" s="3010"/>
      <c r="P93" s="1853"/>
      <c r="Q93" s="1822"/>
    </row>
    <row r="94" spans="1:17" ht="14.4" thickTop="1">
      <c r="A94" s="1854"/>
      <c r="B94" s="1859">
        <f>B29</f>
        <v>111</v>
      </c>
      <c r="C94" s="468"/>
      <c r="D94" s="468"/>
      <c r="E94" s="468"/>
      <c r="F94" s="468"/>
      <c r="G94" s="1578"/>
      <c r="H94" s="1578"/>
      <c r="I94" s="1578"/>
      <c r="J94" s="1578"/>
      <c r="K94" s="473"/>
      <c r="L94" s="473"/>
      <c r="M94" s="1894"/>
      <c r="N94" s="3009"/>
      <c r="O94" s="3009"/>
      <c r="P94" s="1853"/>
      <c r="Q94" s="1822"/>
    </row>
    <row r="95" spans="1:17" ht="14.4" thickBot="1">
      <c r="A95" s="1854"/>
      <c r="B95" s="1862"/>
      <c r="C95" s="1875"/>
      <c r="D95" s="1856"/>
      <c r="E95" s="1856"/>
      <c r="F95" s="1856"/>
      <c r="G95" s="1856"/>
      <c r="H95" s="1856"/>
      <c r="I95" s="1856"/>
      <c r="J95" s="1856"/>
      <c r="K95" s="1856"/>
      <c r="L95" s="1856"/>
      <c r="M95" s="1857"/>
      <c r="N95" s="3010"/>
      <c r="O95" s="3010"/>
      <c r="P95" s="1853"/>
      <c r="Q95" s="1822"/>
    </row>
    <row r="96" spans="1:17" ht="14.4" thickTop="1">
      <c r="A96" s="1854"/>
      <c r="B96" s="1859">
        <f>B30</f>
        <v>111</v>
      </c>
      <c r="C96" s="468"/>
      <c r="D96" s="468"/>
      <c r="E96" s="468"/>
      <c r="F96" s="468"/>
      <c r="G96" s="1578"/>
      <c r="H96" s="1578"/>
      <c r="I96" s="1578"/>
      <c r="J96" s="1578"/>
      <c r="K96" s="473"/>
      <c r="L96" s="473"/>
      <c r="M96" s="1894"/>
      <c r="N96" s="3009"/>
      <c r="O96" s="3009"/>
      <c r="P96" s="1853"/>
      <c r="Q96" s="1822"/>
    </row>
    <row r="97" spans="1:17" ht="14.4" thickBot="1">
      <c r="A97" s="1854"/>
      <c r="B97" s="1862"/>
      <c r="C97" s="1875"/>
      <c r="D97" s="1856"/>
      <c r="E97" s="1856"/>
      <c r="F97" s="1856"/>
      <c r="G97" s="1856"/>
      <c r="H97" s="1856"/>
      <c r="I97" s="1856"/>
      <c r="J97" s="1856"/>
      <c r="K97" s="1856"/>
      <c r="L97" s="1856"/>
      <c r="M97" s="1857"/>
      <c r="N97" s="3010"/>
      <c r="O97" s="3010"/>
      <c r="P97" s="1853"/>
      <c r="Q97" s="1822"/>
    </row>
    <row r="98" spans="1:17" ht="14.4" thickTop="1">
      <c r="A98" s="1854"/>
      <c r="B98" s="1865">
        <f>B31</f>
        <v>111</v>
      </c>
      <c r="C98" s="468"/>
      <c r="D98" s="468"/>
      <c r="E98" s="468"/>
      <c r="F98" s="468"/>
      <c r="G98" s="1895"/>
      <c r="H98" s="1895"/>
      <c r="I98" s="1895"/>
      <c r="J98" s="1895"/>
      <c r="K98" s="477"/>
      <c r="L98" s="477"/>
      <c r="M98" s="1896"/>
      <c r="N98" s="3009"/>
      <c r="O98" s="3009"/>
      <c r="P98" s="1853"/>
      <c r="Q98" s="1822"/>
    </row>
    <row r="99" spans="1:17" ht="14.4" thickBot="1">
      <c r="A99" s="1897"/>
      <c r="B99" s="1882"/>
      <c r="C99" s="1883"/>
      <c r="D99" s="1883"/>
      <c r="E99" s="1883"/>
      <c r="F99" s="1883"/>
      <c r="G99" s="1898"/>
      <c r="H99" s="1898"/>
      <c r="I99" s="1898"/>
      <c r="J99" s="1898"/>
      <c r="K99" s="1898"/>
      <c r="L99" s="1898"/>
      <c r="M99" s="1899"/>
      <c r="N99" s="3010"/>
      <c r="O99" s="3010"/>
      <c r="P99" s="1853"/>
      <c r="Q99" s="1822"/>
    </row>
    <row r="100" spans="1:17" ht="14.4">
      <c r="A100" s="1847" t="s">
        <v>2274</v>
      </c>
      <c r="B100" s="1848" t="s">
        <v>2378</v>
      </c>
      <c r="C100" s="1850"/>
      <c r="D100" s="1850"/>
      <c r="E100" s="1850"/>
      <c r="F100" s="1850"/>
      <c r="G100" s="1850"/>
      <c r="H100" s="1850"/>
      <c r="I100" s="1850"/>
      <c r="J100" s="1850"/>
      <c r="K100" s="417"/>
      <c r="L100" s="417"/>
      <c r="M100" s="1851"/>
      <c r="N100" s="3009"/>
      <c r="O100" s="3009"/>
      <c r="P100" s="1853"/>
      <c r="Q100" s="1822"/>
    </row>
    <row r="101" spans="1:17" ht="14.4"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0"/>
      <c r="O101" s="3010"/>
      <c r="P101" s="1853"/>
      <c r="Q101" s="1822"/>
    </row>
    <row r="102" spans="1:17" ht="1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08"/>
      <c r="O102" s="3008"/>
      <c r="P102" s="1853"/>
      <c r="Q102" s="1822"/>
    </row>
    <row r="103" spans="1:17" s="1772" customFormat="1">
      <c r="A103" s="1900"/>
      <c r="B103" s="1901"/>
      <c r="C103" s="1902"/>
      <c r="D103" s="1902"/>
      <c r="E103" s="1902"/>
      <c r="F103" s="1902"/>
      <c r="G103" s="1902"/>
      <c r="H103" s="1902"/>
      <c r="I103" s="1902"/>
      <c r="J103" s="485"/>
      <c r="K103" s="485"/>
      <c r="L103" s="485"/>
      <c r="M103" s="1903"/>
      <c r="N103" s="3011"/>
      <c r="O103" s="3011"/>
      <c r="P103" s="1873"/>
      <c r="Q103" s="1874"/>
    </row>
    <row r="104" spans="1:17" s="1772" customFormat="1" ht="14.4" thickBot="1">
      <c r="A104" s="1870"/>
      <c r="B104" s="1862"/>
      <c r="C104" s="1875"/>
      <c r="D104" s="1856"/>
      <c r="E104" s="1856"/>
      <c r="F104" s="1856"/>
      <c r="G104" s="1856"/>
      <c r="H104" s="1856"/>
      <c r="I104" s="1856"/>
      <c r="J104" s="1856"/>
      <c r="K104" s="1856"/>
      <c r="L104" s="1856"/>
      <c r="M104" s="1857"/>
      <c r="N104" s="3010"/>
      <c r="O104" s="3010"/>
      <c r="P104" s="1873"/>
      <c r="Q104" s="1874"/>
    </row>
    <row r="105" spans="1:17" ht="15" thickTop="1">
      <c r="A105" s="1904"/>
      <c r="B105" s="1859" t="s">
        <v>2325</v>
      </c>
      <c r="C105" s="468"/>
      <c r="D105" s="468"/>
      <c r="E105" s="1578"/>
      <c r="F105" s="1578"/>
      <c r="G105" s="1578"/>
      <c r="H105" s="1578"/>
      <c r="I105" s="1578"/>
      <c r="J105" s="1578"/>
      <c r="K105" s="473"/>
      <c r="L105" s="473"/>
      <c r="M105" s="1894"/>
      <c r="N105" s="3009"/>
      <c r="O105" s="3009"/>
      <c r="P105" s="1853"/>
      <c r="Q105" s="1822"/>
    </row>
    <row r="106" spans="1:17" ht="14.4"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0"/>
      <c r="O106" s="3010"/>
      <c r="P106" s="1853"/>
      <c r="Q106" s="1822"/>
    </row>
    <row r="107" spans="1:17" ht="15" thickTop="1">
      <c r="A107" s="1904"/>
      <c r="B107" s="1859" t="s">
        <v>2327</v>
      </c>
      <c r="C107" s="468"/>
      <c r="D107" s="468"/>
      <c r="E107" s="468"/>
      <c r="F107" s="1578"/>
      <c r="G107" s="1578"/>
      <c r="H107" s="1578"/>
      <c r="I107" s="1578"/>
      <c r="J107" s="1578"/>
      <c r="K107" s="473"/>
      <c r="L107" s="473"/>
      <c r="M107" s="1894"/>
      <c r="N107" s="3009"/>
      <c r="O107" s="3009"/>
      <c r="P107" s="1853"/>
      <c r="Q107" s="1822"/>
    </row>
    <row r="108" spans="1:17" ht="14.4"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0"/>
      <c r="O108" s="3010"/>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09"/>
      <c r="O109" s="3009"/>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09"/>
      <c r="O110" s="3009"/>
      <c r="P110" s="1853"/>
      <c r="Q110" s="1822"/>
    </row>
    <row r="111" spans="1:17" ht="14.4"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0"/>
      <c r="O111" s="3010"/>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1"/>
      <c r="O112" s="3011"/>
      <c r="P112" s="1873"/>
      <c r="Q112" s="1874"/>
    </row>
    <row r="113" spans="1:17" s="1772" customFormat="1" ht="14.4"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1"/>
      <c r="O113" s="3011"/>
      <c r="P113" s="1873"/>
      <c r="Q113" s="1874"/>
    </row>
    <row r="114" spans="1:17" ht="15" thickTop="1">
      <c r="A114" s="1904"/>
      <c r="B114" s="1859" t="s">
        <v>2379</v>
      </c>
      <c r="C114" s="468"/>
      <c r="D114" s="468"/>
      <c r="E114" s="1578"/>
      <c r="F114" s="1578"/>
      <c r="G114" s="1578"/>
      <c r="H114" s="1578"/>
      <c r="I114" s="1578"/>
      <c r="J114" s="1578"/>
      <c r="K114" s="473"/>
      <c r="L114" s="473"/>
      <c r="M114" s="1894"/>
      <c r="N114" s="3009"/>
      <c r="O114" s="3009"/>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0"/>
      <c r="O115" s="3010"/>
      <c r="P115" s="1853"/>
      <c r="Q115" s="1822"/>
    </row>
    <row r="116" spans="1:17" ht="15" thickTop="1">
      <c r="A116" s="1904"/>
      <c r="B116" s="1859" t="s">
        <v>2380</v>
      </c>
      <c r="C116" s="468"/>
      <c r="D116" s="468"/>
      <c r="E116" s="468"/>
      <c r="F116" s="468"/>
      <c r="G116" s="468"/>
      <c r="H116" s="1578"/>
      <c r="I116" s="1578"/>
      <c r="J116" s="1578"/>
      <c r="K116" s="473"/>
      <c r="L116" s="473"/>
      <c r="M116" s="1894"/>
      <c r="N116" s="3009"/>
      <c r="O116" s="3009"/>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0"/>
      <c r="O117" s="3010"/>
      <c r="P117" s="1853"/>
      <c r="Q117" s="1822"/>
    </row>
    <row r="118" spans="1:17" ht="15" thickTop="1">
      <c r="A118" s="1904"/>
      <c r="B118" s="1859" t="s">
        <v>2381</v>
      </c>
      <c r="C118" s="2486"/>
      <c r="D118" s="2486"/>
      <c r="E118" s="2486"/>
      <c r="F118" s="2486"/>
      <c r="G118" s="2486"/>
      <c r="H118" s="443"/>
      <c r="I118" s="443"/>
      <c r="J118" s="443"/>
      <c r="K118" s="443"/>
      <c r="L118" s="443"/>
      <c r="M118" s="1871"/>
      <c r="N118" s="3009"/>
      <c r="O118" s="3009"/>
      <c r="P118" s="1853"/>
      <c r="Q118" s="1822"/>
    </row>
    <row r="119" spans="1:17" ht="14.4" thickBot="1">
      <c r="A119" s="1854"/>
      <c r="B119" s="1862"/>
      <c r="C119" s="1875"/>
      <c r="D119" s="1856"/>
      <c r="E119" s="1856"/>
      <c r="F119" s="1856"/>
      <c r="G119" s="1856"/>
      <c r="H119" s="1856"/>
      <c r="I119" s="1856"/>
      <c r="J119" s="1856"/>
      <c r="K119" s="1856"/>
      <c r="L119" s="1856"/>
      <c r="M119" s="1857"/>
      <c r="N119" s="3010"/>
      <c r="O119" s="3010"/>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1"/>
      <c r="O120" s="3011"/>
      <c r="P120" s="1873"/>
      <c r="Q120" s="1874"/>
    </row>
    <row r="121" spans="1:17" s="1772" customFormat="1" ht="14.4"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1"/>
      <c r="O121" s="3011"/>
      <c r="P121" s="1873"/>
      <c r="Q121" s="1874"/>
    </row>
    <row r="122" spans="1:17" ht="15" thickTop="1">
      <c r="A122" s="1904"/>
      <c r="B122" s="1859" t="s">
        <v>2332</v>
      </c>
      <c r="C122" s="468"/>
      <c r="D122" s="468"/>
      <c r="E122" s="468"/>
      <c r="F122" s="1578"/>
      <c r="G122" s="1578"/>
      <c r="H122" s="1578"/>
      <c r="I122" s="1578"/>
      <c r="J122" s="1578"/>
      <c r="K122" s="473"/>
      <c r="L122" s="473"/>
      <c r="M122" s="1894"/>
      <c r="N122" s="3009"/>
      <c r="O122" s="3009"/>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0"/>
      <c r="O123" s="3010"/>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3009"/>
      <c r="O124" s="3009"/>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0"/>
      <c r="O125" s="3010"/>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3011"/>
      <c r="O126" s="3011"/>
      <c r="P126" s="1873"/>
      <c r="Q126" s="1874"/>
    </row>
    <row r="127" spans="1:17" s="1772" customFormat="1" ht="14.4" thickBot="1">
      <c r="A127" s="1870"/>
      <c r="B127" s="1862"/>
      <c r="C127" s="1875"/>
      <c r="D127" s="1856"/>
      <c r="E127" s="1856"/>
      <c r="F127" s="1856"/>
      <c r="G127" s="1875"/>
      <c r="H127" s="1878"/>
      <c r="I127" s="1878"/>
      <c r="J127" s="1878"/>
      <c r="K127" s="1878"/>
      <c r="L127" s="1878"/>
      <c r="M127" s="1879"/>
      <c r="N127" s="3011"/>
      <c r="O127" s="3011"/>
      <c r="P127" s="1873"/>
      <c r="Q127" s="1874"/>
    </row>
    <row r="128" spans="1:17" ht="14.4" thickTop="1">
      <c r="A128" s="1904"/>
      <c r="B128" s="1859">
        <f>B45</f>
        <v>111</v>
      </c>
      <c r="C128" s="468"/>
      <c r="D128" s="468"/>
      <c r="E128" s="468"/>
      <c r="F128" s="468"/>
      <c r="G128" s="1578"/>
      <c r="H128" s="1578"/>
      <c r="I128" s="1578"/>
      <c r="J128" s="1578"/>
      <c r="K128" s="473"/>
      <c r="L128" s="473"/>
      <c r="M128" s="1894"/>
      <c r="N128" s="3009"/>
      <c r="O128" s="3009"/>
      <c r="P128" s="1853"/>
      <c r="Q128" s="1822"/>
    </row>
    <row r="129" spans="1:17" ht="14.4" thickBot="1">
      <c r="A129" s="1854"/>
      <c r="B129" s="1862"/>
      <c r="C129" s="1875"/>
      <c r="D129" s="1856"/>
      <c r="E129" s="1856"/>
      <c r="F129" s="1856"/>
      <c r="G129" s="1856"/>
      <c r="H129" s="1856"/>
      <c r="I129" s="1856"/>
      <c r="J129" s="1856"/>
      <c r="K129" s="1856"/>
      <c r="L129" s="1856"/>
      <c r="M129" s="1857"/>
      <c r="N129" s="3010"/>
      <c r="O129" s="3010"/>
      <c r="P129" s="1853"/>
      <c r="Q129" s="1822"/>
    </row>
    <row r="130" spans="1:17" ht="14.4" thickTop="1">
      <c r="A130" s="1904"/>
      <c r="B130" s="1865">
        <f>B46</f>
        <v>111</v>
      </c>
      <c r="C130" s="468"/>
      <c r="D130" s="468"/>
      <c r="E130" s="468"/>
      <c r="F130" s="468"/>
      <c r="G130" s="1895"/>
      <c r="H130" s="1895"/>
      <c r="I130" s="1895"/>
      <c r="J130" s="1895"/>
      <c r="K130" s="409"/>
      <c r="L130" s="409"/>
      <c r="M130" s="1896"/>
      <c r="N130" s="3009"/>
      <c r="O130" s="3009"/>
      <c r="P130" s="1853"/>
      <c r="Q130" s="1822"/>
    </row>
    <row r="131" spans="1:17" ht="14.4" thickBot="1">
      <c r="A131" s="1897"/>
      <c r="B131" s="1882"/>
      <c r="C131" s="1883"/>
      <c r="D131" s="1883"/>
      <c r="E131" s="1883"/>
      <c r="F131" s="1883"/>
      <c r="G131" s="1898"/>
      <c r="H131" s="1898"/>
      <c r="I131" s="1898"/>
      <c r="J131" s="1898"/>
      <c r="K131" s="1898"/>
      <c r="L131" s="1898"/>
      <c r="M131" s="1899"/>
      <c r="N131" s="3010"/>
      <c r="O131" s="301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7" zoomScale="85" zoomScaleNormal="60" zoomScaleSheetLayoutView="85" workbookViewId="0">
      <selection activeCell="B48" sqref="B4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2383</v>
      </c>
      <c r="C1" s="1639" t="s">
        <v>2747</v>
      </c>
      <c r="D1" s="1638"/>
      <c r="E1" s="1641" t="s">
        <v>2745</v>
      </c>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f>IF(D2="——",IF(C2="元",ROUND(C50*D3,0),ROUND(C50*D3/10000,0)),IF(C2="元",ROUND(C50*D3,0),ROUND(C50*D3/10000,0))-E2)</f>
        <v>768</v>
      </c>
      <c r="C2" s="1651" t="str">
        <f>'数据-取费表'!B3</f>
        <v>万元</v>
      </c>
      <c r="D2" s="1652" t="s">
        <v>1240</v>
      </c>
      <c r="E2" s="2488" t="e">
        <f ca="1">SUMIF(INDIRECT("'"&amp;G2&amp;"'"&amp;"!A:A"),"承租人权益价值",INDIRECT("'"&amp;G2&amp;"'"&amp;"!c:c"))</f>
        <v>#REF!</v>
      </c>
      <c r="F2" s="1654" t="str">
        <f>C2</f>
        <v>万元</v>
      </c>
      <c r="G2" s="1655"/>
      <c r="H2" s="3005"/>
      <c r="I2" s="3005"/>
      <c r="J2" s="3005"/>
      <c r="K2" s="3005"/>
      <c r="L2" s="3007"/>
      <c r="M2" s="3005"/>
      <c r="N2" s="3005"/>
      <c r="O2" s="3005"/>
      <c r="P2" s="1957"/>
      <c r="Q2" s="1957"/>
      <c r="R2" s="1957"/>
      <c r="S2" s="1957"/>
      <c r="T2" s="1957"/>
      <c r="U2" s="1957"/>
      <c r="V2" s="1957"/>
      <c r="W2" s="1957"/>
      <c r="X2" s="1957"/>
      <c r="Y2" s="1957"/>
      <c r="Z2" s="1957"/>
      <c r="AA2" s="1957"/>
      <c r="AB2" s="2489"/>
      <c r="AC2" s="1965"/>
    </row>
    <row r="3" spans="1:29" s="1960" customFormat="1" ht="28.5" customHeight="1" thickBot="1">
      <c r="A3" s="1659" t="s">
        <v>1914</v>
      </c>
      <c r="B3" s="1963">
        <f>ROUND(IF(D2="——",C50,IF(C2="万元",B2*10000/D3,B2/D3)),0)</f>
        <v>22146</v>
      </c>
      <c r="C3" s="1660" t="s">
        <v>2244</v>
      </c>
      <c r="D3" s="1660">
        <f>IF(C1="仅计算典型户型",'数据-取费表'!E5,'数据-取费表'!B5)</f>
        <v>346.86</v>
      </c>
      <c r="F3" s="3004"/>
      <c r="G3" s="3005"/>
      <c r="H3" s="3005"/>
      <c r="I3" s="3005"/>
      <c r="J3" s="3005"/>
      <c r="K3" s="3006"/>
      <c r="L3" s="3007"/>
      <c r="M3" s="3005"/>
      <c r="N3" s="3005"/>
      <c r="O3" s="3005"/>
      <c r="P3" s="3012"/>
      <c r="Q3" s="1952"/>
      <c r="R3" s="1952"/>
      <c r="S3" s="1952"/>
      <c r="T3" s="1952"/>
      <c r="U3" s="1952"/>
      <c r="V3" s="1952"/>
      <c r="W3" s="1952"/>
      <c r="X3" s="1957"/>
      <c r="Y3" s="1952"/>
      <c r="Z3" s="1952"/>
      <c r="AA3" s="1952"/>
      <c r="AB3" s="2490"/>
      <c r="AC3" s="1965"/>
    </row>
    <row r="4" spans="1:29" ht="14.4">
      <c r="A4" s="1663" t="s">
        <v>2245</v>
      </c>
      <c r="B4" s="1664"/>
      <c r="C4" s="3465" t="s">
        <v>2246</v>
      </c>
      <c r="D4" s="3466"/>
      <c r="E4" s="3467" t="s">
        <v>2247</v>
      </c>
      <c r="F4" s="3468"/>
      <c r="G4" s="3465" t="s">
        <v>2248</v>
      </c>
      <c r="H4" s="3466"/>
      <c r="I4" s="3465" t="s">
        <v>2249</v>
      </c>
      <c r="J4" s="3466"/>
      <c r="K4" s="1966" t="s">
        <v>2250</v>
      </c>
      <c r="L4" s="2990"/>
      <c r="M4" s="2991"/>
      <c r="N4" s="2991"/>
      <c r="O4" s="2991"/>
      <c r="P4" s="3469" t="s">
        <v>2251</v>
      </c>
      <c r="Q4" s="3470"/>
      <c r="R4" s="3454" t="s">
        <v>2247</v>
      </c>
      <c r="S4" s="3455"/>
      <c r="T4" s="3454" t="s">
        <v>2248</v>
      </c>
      <c r="U4" s="3455"/>
      <c r="V4" s="3475" t="s">
        <v>2249</v>
      </c>
      <c r="W4" s="3475"/>
      <c r="X4" s="2075"/>
      <c r="Y4" s="3454" t="s">
        <v>2251</v>
      </c>
      <c r="Z4" s="3455"/>
      <c r="AA4" s="3462" t="s">
        <v>2247</v>
      </c>
      <c r="AB4" s="3462" t="s">
        <v>2248</v>
      </c>
      <c r="AC4" s="3462" t="s">
        <v>2249</v>
      </c>
    </row>
    <row r="5" spans="1:29">
      <c r="A5" s="1668"/>
      <c r="B5" s="1669"/>
      <c r="C5" s="3450" t="s">
        <v>2252</v>
      </c>
      <c r="D5" s="3451"/>
      <c r="E5" s="3481" t="s">
        <v>2903</v>
      </c>
      <c r="F5" s="3477"/>
      <c r="G5" s="3450" t="str">
        <f>E5</f>
        <v>非中心</v>
      </c>
      <c r="H5" s="3451"/>
      <c r="I5" s="3450" t="str">
        <f>G5</f>
        <v>非中心</v>
      </c>
      <c r="J5" s="3451"/>
      <c r="K5" s="1966"/>
      <c r="L5" s="2990"/>
      <c r="M5" s="2991"/>
      <c r="N5" s="2991"/>
      <c r="O5" s="2991"/>
      <c r="P5" s="3471"/>
      <c r="Q5" s="3472"/>
      <c r="R5" s="3456"/>
      <c r="S5" s="3457"/>
      <c r="T5" s="3456"/>
      <c r="U5" s="3457"/>
      <c r="V5" s="3475"/>
      <c r="W5" s="3475"/>
      <c r="X5" s="2075"/>
      <c r="Y5" s="3456"/>
      <c r="Z5" s="3457"/>
      <c r="AA5" s="3463"/>
      <c r="AB5" s="3463"/>
      <c r="AC5" s="3463"/>
    </row>
    <row r="6" spans="1:29" ht="15" thickBot="1">
      <c r="A6" s="1671"/>
      <c r="B6" s="1672"/>
      <c r="C6" s="3448" t="s">
        <v>2256</v>
      </c>
      <c r="D6" s="3449"/>
      <c r="E6" s="3478" t="s">
        <v>2256</v>
      </c>
      <c r="F6" s="3479"/>
      <c r="G6" s="3448" t="s">
        <v>2256</v>
      </c>
      <c r="H6" s="3449"/>
      <c r="I6" s="3448" t="s">
        <v>2256</v>
      </c>
      <c r="J6" s="3449"/>
      <c r="K6" s="1966" t="s">
        <v>2257</v>
      </c>
      <c r="L6" s="2990"/>
      <c r="M6" s="2991"/>
      <c r="N6" s="2991"/>
      <c r="O6" s="2991"/>
      <c r="P6" s="3473"/>
      <c r="Q6" s="3474"/>
      <c r="R6" s="3456"/>
      <c r="S6" s="3457"/>
      <c r="T6" s="3458"/>
      <c r="U6" s="3459"/>
      <c r="V6" s="3475"/>
      <c r="W6" s="3475"/>
      <c r="X6" s="2075"/>
      <c r="Y6" s="3458"/>
      <c r="Z6" s="3459"/>
      <c r="AA6" s="3464"/>
      <c r="AB6" s="3464"/>
      <c r="AC6" s="3464"/>
    </row>
    <row r="7" spans="1:29" s="1685" customFormat="1" ht="15" thickBot="1">
      <c r="A7" s="1673" t="s">
        <v>2258</v>
      </c>
      <c r="B7" s="1674"/>
      <c r="C7" s="1675">
        <f>'数据-取费表'!B2</f>
        <v>44393</v>
      </c>
      <c r="D7" s="1676">
        <v>100</v>
      </c>
      <c r="E7" s="1677">
        <f>C7</f>
        <v>44393</v>
      </c>
      <c r="F7" s="1678">
        <f>SUMIF(59:59,YEAR(E7)&amp;"-"&amp;MONTH(E7),60:60)</f>
        <v>100</v>
      </c>
      <c r="G7" s="1967">
        <v>44256</v>
      </c>
      <c r="H7" s="1676">
        <f>SUMIF(59:59,YEAR(G7)&amp;"-"&amp;MONTH(G7),60:60)</f>
        <v>100</v>
      </c>
      <c r="I7" s="1967">
        <f>E7</f>
        <v>44393</v>
      </c>
      <c r="J7" s="1676">
        <f>SUMIF(59:59,YEAR(I7)&amp;"-"&amp;MONTH(I7),60:60)</f>
        <v>100</v>
      </c>
      <c r="K7" s="1968"/>
      <c r="L7" s="2990"/>
      <c r="M7" s="2963"/>
      <c r="N7" s="2963"/>
      <c r="O7" s="2963"/>
      <c r="P7" s="3452" t="s">
        <v>2259</v>
      </c>
      <c r="Q7" s="3460"/>
      <c r="R7" s="1681" t="s">
        <v>25</v>
      </c>
      <c r="S7" s="1682">
        <f t="shared" ref="S7:S15" si="0">F7</f>
        <v>100</v>
      </c>
      <c r="T7" s="1681" t="s">
        <v>25</v>
      </c>
      <c r="U7" s="1682">
        <f t="shared" ref="U7:U15" si="1">H7</f>
        <v>100</v>
      </c>
      <c r="V7" s="1681" t="s">
        <v>25</v>
      </c>
      <c r="W7" s="1682">
        <f t="shared" ref="W7:W15" si="2">J7</f>
        <v>100</v>
      </c>
      <c r="X7" s="1683"/>
      <c r="Y7" s="3452" t="s">
        <v>2259</v>
      </c>
      <c r="Z7" s="3453"/>
      <c r="AA7" s="1684">
        <f>D7/F7</f>
        <v>1</v>
      </c>
      <c r="AB7" s="1684">
        <f>D7/H7</f>
        <v>1</v>
      </c>
      <c r="AC7" s="1684">
        <f>D7/J7</f>
        <v>1</v>
      </c>
    </row>
    <row r="8" spans="1:29" s="1685" customFormat="1" ht="15" thickBot="1">
      <c r="A8" s="1673" t="s">
        <v>2260</v>
      </c>
      <c r="B8" s="1674"/>
      <c r="C8" s="1686" t="s">
        <v>2261</v>
      </c>
      <c r="D8" s="1676">
        <v>100</v>
      </c>
      <c r="E8" s="1686" t="s">
        <v>2883</v>
      </c>
      <c r="F8" s="1678">
        <f>SUMIF(62:62,E8,63:63)-SUMIF(62:62,C8,63:63)+100</f>
        <v>100</v>
      </c>
      <c r="G8" s="1686" t="s">
        <v>2883</v>
      </c>
      <c r="H8" s="1676">
        <f>SUMIF(62:62,G8,63:63)-SUMIF(62:62,C8,63:63)+100</f>
        <v>100</v>
      </c>
      <c r="I8" s="1686" t="s">
        <v>2883</v>
      </c>
      <c r="J8" s="1676">
        <f>SUMIF(62:62,I8,63:63)-SUMIF(62:62,C8,63:63)+100</f>
        <v>100</v>
      </c>
      <c r="K8" s="1968"/>
      <c r="L8" s="2990"/>
      <c r="M8" s="2963"/>
      <c r="N8" s="2963"/>
      <c r="O8" s="2963"/>
      <c r="P8" s="3452" t="s">
        <v>2262</v>
      </c>
      <c r="Q8" s="3453"/>
      <c r="R8" s="1681" t="s">
        <v>25</v>
      </c>
      <c r="S8" s="1682">
        <f t="shared" si="0"/>
        <v>100</v>
      </c>
      <c r="T8" s="1681" t="s">
        <v>25</v>
      </c>
      <c r="U8" s="1682">
        <f t="shared" si="1"/>
        <v>100</v>
      </c>
      <c r="V8" s="1681" t="s">
        <v>25</v>
      </c>
      <c r="W8" s="1682">
        <f t="shared" si="2"/>
        <v>100</v>
      </c>
      <c r="X8" s="1683"/>
      <c r="Y8" s="3452" t="s">
        <v>2262</v>
      </c>
      <c r="Z8" s="3453"/>
      <c r="AA8" s="1684">
        <f t="shared" ref="AA8:AA47" si="3">D8/F8</f>
        <v>1</v>
      </c>
      <c r="AB8" s="1684">
        <f t="shared" ref="AB8:AB47" si="4">D8/H8</f>
        <v>1</v>
      </c>
      <c r="AC8" s="1684">
        <f t="shared" ref="AC8:AC47" si="5">D8/J8</f>
        <v>1</v>
      </c>
    </row>
    <row r="9" spans="1:29" s="1685" customFormat="1" ht="14.4">
      <c r="A9" s="2067" t="s">
        <v>2263</v>
      </c>
      <c r="B9" s="1688" t="s">
        <v>2264</v>
      </c>
      <c r="C9" s="3156" t="s">
        <v>2904</v>
      </c>
      <c r="D9" s="1690">
        <v>100</v>
      </c>
      <c r="E9" s="1693" t="s">
        <v>2899</v>
      </c>
      <c r="F9" s="1690">
        <f>SUMIF(64:64,E9,65:65)-SUMIF(64:64,C9,65:65)+100</f>
        <v>100</v>
      </c>
      <c r="G9" s="1693" t="s">
        <v>2899</v>
      </c>
      <c r="H9" s="1690">
        <f>SUMIF(64:64,G9,65:65)-SUMIF(64:64,C9,65:65)+100</f>
        <v>100</v>
      </c>
      <c r="I9" s="1693" t="s">
        <v>2899</v>
      </c>
      <c r="J9" s="1690">
        <f>SUMIF(64:64,I9,65:65)-SUMIF(64:64,C9,65:65)+100</f>
        <v>100</v>
      </c>
      <c r="K9" s="1968"/>
      <c r="L9" s="2990"/>
      <c r="M9" s="2963"/>
      <c r="N9" s="2963"/>
      <c r="O9" s="2963"/>
      <c r="P9" s="3438" t="s">
        <v>2265</v>
      </c>
      <c r="Q9" s="2908"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29" s="1702" customFormat="1" ht="29.4" thickBot="1">
      <c r="A10" s="1695"/>
      <c r="B10" s="1696" t="s">
        <v>2267</v>
      </c>
      <c r="C10" s="1697" t="s">
        <v>2905</v>
      </c>
      <c r="D10" s="1698">
        <v>100</v>
      </c>
      <c r="E10" s="1697" t="s">
        <v>2905</v>
      </c>
      <c r="F10" s="1698">
        <f>SUMIF(66:66,E10,67:67)-SUMIF(66:66,C10,67:67)+100</f>
        <v>100</v>
      </c>
      <c r="G10" s="1697" t="s">
        <v>2905</v>
      </c>
      <c r="H10" s="1698">
        <f>SUMIF(66:66,G10,67:67)-SUMIF(66:66,C10,67:67)+100</f>
        <v>100</v>
      </c>
      <c r="I10" s="1697" t="s">
        <v>2905</v>
      </c>
      <c r="J10" s="1698">
        <f>SUMIF(66:66,I10,67:67)-SUMIF(66:66,C10,67:67)+100</f>
        <v>100</v>
      </c>
      <c r="K10" s="1993">
        <v>3</v>
      </c>
      <c r="L10" s="2992"/>
      <c r="M10" s="2993"/>
      <c r="N10" s="2993"/>
      <c r="O10" s="2993"/>
      <c r="P10" s="3438"/>
      <c r="Q10" s="2908" t="str">
        <f t="shared" si="6"/>
        <v>土地使用年限（年）</v>
      </c>
      <c r="R10" s="1681" t="s">
        <v>25</v>
      </c>
      <c r="S10" s="1682">
        <f t="shared" si="0"/>
        <v>100</v>
      </c>
      <c r="T10" s="1681" t="s">
        <v>25</v>
      </c>
      <c r="U10" s="1682">
        <f t="shared" si="1"/>
        <v>100</v>
      </c>
      <c r="V10" s="1681" t="s">
        <v>25</v>
      </c>
      <c r="W10" s="1682">
        <f t="shared" si="2"/>
        <v>100</v>
      </c>
      <c r="X10" s="1683"/>
      <c r="Y10" s="3299"/>
      <c r="Z10" s="1694" t="str">
        <f t="shared" si="7"/>
        <v>土地使用年限（年）</v>
      </c>
      <c r="AA10" s="1684">
        <f t="shared" si="3"/>
        <v>1</v>
      </c>
      <c r="AB10" s="1684">
        <f t="shared" si="4"/>
        <v>1</v>
      </c>
      <c r="AC10" s="1684">
        <f t="shared" si="5"/>
        <v>1</v>
      </c>
    </row>
    <row r="11" spans="1:29" ht="15" hidden="1">
      <c r="A11" s="1703"/>
      <c r="B11" s="1696" t="s">
        <v>2268</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2994"/>
      <c r="M11" s="2991"/>
      <c r="N11" s="2991"/>
      <c r="O11" s="2991"/>
      <c r="P11" s="3438"/>
      <c r="Q11" s="2908" t="str">
        <f t="shared" si="6"/>
        <v>容积率</v>
      </c>
      <c r="R11" s="1681" t="s">
        <v>25</v>
      </c>
      <c r="S11" s="1682">
        <f t="shared" si="0"/>
        <v>100</v>
      </c>
      <c r="T11" s="1681" t="s">
        <v>25</v>
      </c>
      <c r="U11" s="1682">
        <f t="shared" si="1"/>
        <v>100</v>
      </c>
      <c r="V11" s="1681" t="s">
        <v>25</v>
      </c>
      <c r="W11" s="1682">
        <f t="shared" si="2"/>
        <v>100</v>
      </c>
      <c r="X11" s="1683"/>
      <c r="Y11" s="3299"/>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0"/>
      <c r="M12" s="2963"/>
      <c r="N12" s="2963"/>
      <c r="O12" s="2963"/>
      <c r="P12" s="3438"/>
      <c r="Q12" s="2908">
        <f t="shared" si="6"/>
        <v>111</v>
      </c>
      <c r="R12" s="1681" t="s">
        <v>25</v>
      </c>
      <c r="S12" s="1682">
        <f t="shared" si="0"/>
        <v>100</v>
      </c>
      <c r="T12" s="1681" t="s">
        <v>25</v>
      </c>
      <c r="U12" s="1682">
        <f t="shared" si="1"/>
        <v>100</v>
      </c>
      <c r="V12" s="1681" t="s">
        <v>25</v>
      </c>
      <c r="W12" s="1682">
        <f t="shared" si="2"/>
        <v>100</v>
      </c>
      <c r="X12" s="1683"/>
      <c r="Y12" s="3299"/>
      <c r="Z12" s="1694">
        <f t="shared" si="7"/>
        <v>111</v>
      </c>
      <c r="AA12" s="1684">
        <f>D12/F12</f>
        <v>1</v>
      </c>
      <c r="AB12" s="1684">
        <f>D12/H12</f>
        <v>1</v>
      </c>
      <c r="AC12" s="1684">
        <f>D12/J12</f>
        <v>1</v>
      </c>
    </row>
    <row r="13" spans="1:29" ht="15" hidden="1">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2995"/>
      <c r="M13" s="2991"/>
      <c r="N13" s="2991"/>
      <c r="O13" s="2991"/>
      <c r="P13" s="3438"/>
      <c r="Q13" s="2908">
        <f t="shared" si="6"/>
        <v>111</v>
      </c>
      <c r="R13" s="1681" t="s">
        <v>25</v>
      </c>
      <c r="S13" s="1682">
        <f t="shared" si="0"/>
        <v>100</v>
      </c>
      <c r="T13" s="1681" t="s">
        <v>25</v>
      </c>
      <c r="U13" s="1682">
        <f t="shared" si="1"/>
        <v>100</v>
      </c>
      <c r="V13" s="1681" t="s">
        <v>25</v>
      </c>
      <c r="W13" s="1682">
        <f t="shared" si="2"/>
        <v>100</v>
      </c>
      <c r="X13" s="1683"/>
      <c r="Y13" s="3299"/>
      <c r="Z13" s="1694">
        <f t="shared" si="7"/>
        <v>111</v>
      </c>
      <c r="AA13" s="1684">
        <f t="shared" si="3"/>
        <v>1</v>
      </c>
      <c r="AB13" s="1684">
        <f t="shared" si="4"/>
        <v>1</v>
      </c>
      <c r="AC13" s="1684">
        <f t="shared" si="5"/>
        <v>1</v>
      </c>
    </row>
    <row r="14" spans="1:29" ht="15.6" hidden="1"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2995"/>
      <c r="M14" s="2991"/>
      <c r="N14" s="2991"/>
      <c r="O14" s="2991"/>
      <c r="P14" s="3438"/>
      <c r="Q14" s="2908">
        <f t="shared" si="6"/>
        <v>111</v>
      </c>
      <c r="R14" s="1681" t="s">
        <v>25</v>
      </c>
      <c r="S14" s="1682">
        <f t="shared" si="0"/>
        <v>100</v>
      </c>
      <c r="T14" s="1681" t="s">
        <v>25</v>
      </c>
      <c r="U14" s="1682">
        <f t="shared" si="1"/>
        <v>100</v>
      </c>
      <c r="V14" s="1681" t="s">
        <v>25</v>
      </c>
      <c r="W14" s="1682">
        <f t="shared" si="2"/>
        <v>100</v>
      </c>
      <c r="X14" s="1683"/>
      <c r="Y14" s="3299"/>
      <c r="Z14" s="1694">
        <f t="shared" si="7"/>
        <v>111</v>
      </c>
      <c r="AA14" s="1684">
        <f t="shared" si="3"/>
        <v>1</v>
      </c>
      <c r="AB14" s="1684">
        <f t="shared" si="4"/>
        <v>1</v>
      </c>
      <c r="AC14" s="1684">
        <f t="shared" si="5"/>
        <v>1</v>
      </c>
    </row>
    <row r="15" spans="1:29" ht="82.8">
      <c r="A15" s="1718" t="s">
        <v>2269</v>
      </c>
      <c r="B15" s="2493" t="s">
        <v>2384</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v>2</v>
      </c>
      <c r="L15" s="2995"/>
      <c r="M15" s="2991"/>
      <c r="N15" s="2991"/>
      <c r="O15" s="2991"/>
      <c r="P15" s="3441" t="s">
        <v>2270</v>
      </c>
      <c r="Q15" s="2909" t="str">
        <f t="shared" si="6"/>
        <v>办公集聚程度</v>
      </c>
      <c r="R15" s="1726" t="s">
        <v>25</v>
      </c>
      <c r="S15" s="1727">
        <f t="shared" si="0"/>
        <v>100</v>
      </c>
      <c r="T15" s="1726" t="s">
        <v>25</v>
      </c>
      <c r="U15" s="1727">
        <f t="shared" si="1"/>
        <v>100</v>
      </c>
      <c r="V15" s="1726" t="s">
        <v>25</v>
      </c>
      <c r="W15" s="1727">
        <f t="shared" si="2"/>
        <v>100</v>
      </c>
      <c r="X15" s="2075"/>
      <c r="Y15" s="3441" t="s">
        <v>2270</v>
      </c>
      <c r="Z15" s="2079" t="str">
        <f t="shared" si="7"/>
        <v>办公集聚程度</v>
      </c>
      <c r="AA15" s="2070">
        <f t="shared" si="3"/>
        <v>1</v>
      </c>
      <c r="AB15" s="2070">
        <f t="shared" si="4"/>
        <v>1</v>
      </c>
      <c r="AC15" s="2070">
        <f t="shared" si="5"/>
        <v>1</v>
      </c>
    </row>
    <row r="16" spans="1:29" ht="15">
      <c r="A16" s="1703"/>
      <c r="B16" s="2494"/>
      <c r="C16" s="1976" t="s">
        <v>31</v>
      </c>
      <c r="D16" s="1732"/>
      <c r="E16" s="1976" t="s">
        <v>31</v>
      </c>
      <c r="F16" s="1732"/>
      <c r="G16" s="1976" t="s">
        <v>31</v>
      </c>
      <c r="H16" s="1736"/>
      <c r="I16" s="1976" t="s">
        <v>31</v>
      </c>
      <c r="J16" s="1732"/>
      <c r="K16" s="2474"/>
      <c r="L16" s="2995"/>
      <c r="M16" s="2991"/>
      <c r="N16" s="2991"/>
      <c r="O16" s="2991"/>
      <c r="P16" s="3442"/>
      <c r="Q16" s="2909"/>
      <c r="R16" s="1726"/>
      <c r="S16" s="1727"/>
      <c r="T16" s="1726"/>
      <c r="U16" s="1727"/>
      <c r="V16" s="1726"/>
      <c r="W16" s="1727"/>
      <c r="X16" s="2075"/>
      <c r="Y16" s="3442"/>
      <c r="Z16" s="2079"/>
      <c r="AA16" s="2070">
        <v>1</v>
      </c>
      <c r="AB16" s="2070">
        <v>1</v>
      </c>
      <c r="AC16" s="2070">
        <v>1</v>
      </c>
    </row>
    <row r="17" spans="1:29" ht="96.6">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v>2</v>
      </c>
      <c r="L17" s="2995"/>
      <c r="M17" s="2991"/>
      <c r="N17" s="2991"/>
      <c r="O17" s="2991"/>
      <c r="P17" s="3442"/>
      <c r="Q17" s="2909" t="str">
        <f>B17</f>
        <v>交通便捷度</v>
      </c>
      <c r="R17" s="1726" t="s">
        <v>25</v>
      </c>
      <c r="S17" s="1727">
        <f>F17</f>
        <v>100</v>
      </c>
      <c r="T17" s="1726" t="s">
        <v>25</v>
      </c>
      <c r="U17" s="1727">
        <f>H17</f>
        <v>100</v>
      </c>
      <c r="V17" s="1726" t="s">
        <v>25</v>
      </c>
      <c r="W17" s="1727">
        <f>J17</f>
        <v>100</v>
      </c>
      <c r="X17" s="2075"/>
      <c r="Y17" s="3442"/>
      <c r="Z17" s="2079" t="str">
        <f>Q17</f>
        <v>交通便捷度</v>
      </c>
      <c r="AA17" s="2070">
        <f t="shared" si="3"/>
        <v>1</v>
      </c>
      <c r="AB17" s="2070">
        <f t="shared" si="4"/>
        <v>1</v>
      </c>
      <c r="AC17" s="2070">
        <f t="shared" si="5"/>
        <v>1</v>
      </c>
    </row>
    <row r="18" spans="1:29" ht="15">
      <c r="A18" s="1703"/>
      <c r="B18" s="2496"/>
      <c r="C18" s="1976" t="s">
        <v>31</v>
      </c>
      <c r="D18" s="1736"/>
      <c r="E18" s="1976" t="s">
        <v>31</v>
      </c>
      <c r="F18" s="1736"/>
      <c r="G18" s="1976" t="s">
        <v>31</v>
      </c>
      <c r="H18" s="1732"/>
      <c r="I18" s="1976" t="s">
        <v>31</v>
      </c>
      <c r="J18" s="1732"/>
      <c r="K18" s="2474"/>
      <c r="L18" s="2995"/>
      <c r="M18" s="2991"/>
      <c r="N18" s="2991"/>
      <c r="O18" s="2991"/>
      <c r="P18" s="3442"/>
      <c r="Q18" s="2909"/>
      <c r="R18" s="1726"/>
      <c r="S18" s="1727"/>
      <c r="T18" s="1726"/>
      <c r="U18" s="1727"/>
      <c r="V18" s="1726"/>
      <c r="W18" s="1727"/>
      <c r="X18" s="2075"/>
      <c r="Y18" s="3442"/>
      <c r="Z18" s="2079"/>
      <c r="AA18" s="2070">
        <v>1</v>
      </c>
      <c r="AB18" s="2070">
        <v>1</v>
      </c>
      <c r="AC18" s="2070">
        <v>1</v>
      </c>
    </row>
    <row r="19" spans="1:29" ht="41.4">
      <c r="A19" s="1703"/>
      <c r="B19" s="2495" t="s">
        <v>2385</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v>2</v>
      </c>
      <c r="L19" s="2995"/>
      <c r="M19" s="2991"/>
      <c r="N19" s="2991"/>
      <c r="O19" s="2991"/>
      <c r="P19" s="3442"/>
      <c r="Q19" s="2909" t="str">
        <f>B19</f>
        <v>公共配套设施</v>
      </c>
      <c r="R19" s="1726" t="s">
        <v>25</v>
      </c>
      <c r="S19" s="1727">
        <f>F19</f>
        <v>100</v>
      </c>
      <c r="T19" s="1726" t="s">
        <v>25</v>
      </c>
      <c r="U19" s="1727">
        <f>H19</f>
        <v>100</v>
      </c>
      <c r="V19" s="1726" t="s">
        <v>25</v>
      </c>
      <c r="W19" s="1727">
        <f>J19</f>
        <v>100</v>
      </c>
      <c r="X19" s="2075"/>
      <c r="Y19" s="3442"/>
      <c r="Z19" s="2079" t="str">
        <f>Q19</f>
        <v>公共配套设施</v>
      </c>
      <c r="AA19" s="2070">
        <f t="shared" si="3"/>
        <v>1</v>
      </c>
      <c r="AB19" s="2070">
        <f t="shared" si="4"/>
        <v>1</v>
      </c>
      <c r="AC19" s="2070">
        <f t="shared" si="5"/>
        <v>1</v>
      </c>
    </row>
    <row r="20" spans="1:29" ht="15">
      <c r="A20" s="1703"/>
      <c r="B20" s="2496"/>
      <c r="C20" s="1976" t="s">
        <v>31</v>
      </c>
      <c r="D20" s="1732"/>
      <c r="E20" s="1976" t="s">
        <v>31</v>
      </c>
      <c r="F20" s="1732"/>
      <c r="G20" s="1976" t="s">
        <v>31</v>
      </c>
      <c r="H20" s="1732"/>
      <c r="I20" s="1976" t="s">
        <v>31</v>
      </c>
      <c r="J20" s="1732"/>
      <c r="K20" s="2474"/>
      <c r="L20" s="2995"/>
      <c r="M20" s="2991"/>
      <c r="N20" s="2991"/>
      <c r="O20" s="2991"/>
      <c r="P20" s="3442"/>
      <c r="Q20" s="2909"/>
      <c r="R20" s="1726"/>
      <c r="S20" s="1727"/>
      <c r="T20" s="1726"/>
      <c r="U20" s="1727"/>
      <c r="V20" s="1726"/>
      <c r="W20" s="1727"/>
      <c r="X20" s="2075"/>
      <c r="Y20" s="3442"/>
      <c r="Z20" s="2079"/>
      <c r="AA20" s="2070">
        <v>1</v>
      </c>
      <c r="AB20" s="2070">
        <v>1</v>
      </c>
      <c r="AC20" s="2070">
        <v>1</v>
      </c>
    </row>
    <row r="21" spans="1:29" ht="41.4">
      <c r="A21" s="1703"/>
      <c r="B21" s="2497" t="s">
        <v>2386</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v>2</v>
      </c>
      <c r="L21" s="2995"/>
      <c r="M21" s="2991"/>
      <c r="N21" s="2991"/>
      <c r="O21" s="2991"/>
      <c r="P21" s="3442"/>
      <c r="Q21" s="2909" t="str">
        <f>B21</f>
        <v>基础设施水平</v>
      </c>
      <c r="R21" s="1726" t="s">
        <v>25</v>
      </c>
      <c r="S21" s="1727">
        <f>F21</f>
        <v>100</v>
      </c>
      <c r="T21" s="1726" t="s">
        <v>25</v>
      </c>
      <c r="U21" s="1727">
        <f>H21</f>
        <v>100</v>
      </c>
      <c r="V21" s="1726" t="s">
        <v>25</v>
      </c>
      <c r="W21" s="1727">
        <f>J21</f>
        <v>100</v>
      </c>
      <c r="X21" s="2075"/>
      <c r="Y21" s="3442"/>
      <c r="Z21" s="2079" t="str">
        <f>Q21</f>
        <v>基础设施水平</v>
      </c>
      <c r="AA21" s="2070">
        <f t="shared" ref="AA21" si="8">D21/F21</f>
        <v>1</v>
      </c>
      <c r="AB21" s="2070">
        <f t="shared" ref="AB21" si="9">D21/H21</f>
        <v>1</v>
      </c>
      <c r="AC21" s="2070">
        <f t="shared" ref="AC21" si="10">D21/J21</f>
        <v>1</v>
      </c>
    </row>
    <row r="22" spans="1:29" ht="15">
      <c r="A22" s="1703"/>
      <c r="B22" s="2497"/>
      <c r="C22" s="1980" t="s">
        <v>2906</v>
      </c>
      <c r="D22" s="1732"/>
      <c r="E22" s="1980" t="s">
        <v>2906</v>
      </c>
      <c r="F22" s="1732"/>
      <c r="G22" s="1980" t="s">
        <v>2906</v>
      </c>
      <c r="H22" s="1732"/>
      <c r="I22" s="1980" t="s">
        <v>2906</v>
      </c>
      <c r="J22" s="1732"/>
      <c r="K22" s="2475"/>
      <c r="L22" s="2995"/>
      <c r="M22" s="2991"/>
      <c r="N22" s="2991"/>
      <c r="O22" s="2991"/>
      <c r="P22" s="3442"/>
      <c r="Q22" s="2909"/>
      <c r="R22" s="1726"/>
      <c r="S22" s="1727"/>
      <c r="T22" s="1726"/>
      <c r="U22" s="1727"/>
      <c r="V22" s="1726"/>
      <c r="W22" s="1727"/>
      <c r="X22" s="2075"/>
      <c r="Y22" s="3442"/>
      <c r="Z22" s="2079"/>
      <c r="AA22" s="2070">
        <v>1</v>
      </c>
      <c r="AB22" s="2070">
        <v>1</v>
      </c>
      <c r="AC22" s="2070">
        <v>1</v>
      </c>
    </row>
    <row r="23" spans="1:29" ht="55.2">
      <c r="A23" s="1703"/>
      <c r="B23" s="2495" t="s">
        <v>2387</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v>2</v>
      </c>
      <c r="L23" s="2995"/>
      <c r="M23" s="2991"/>
      <c r="N23" s="2991"/>
      <c r="O23" s="2991"/>
      <c r="P23" s="3442"/>
      <c r="Q23" s="2909" t="str">
        <f>B23</f>
        <v>环境质量</v>
      </c>
      <c r="R23" s="1726" t="s">
        <v>25</v>
      </c>
      <c r="S23" s="1727">
        <f>F23</f>
        <v>100</v>
      </c>
      <c r="T23" s="1726" t="s">
        <v>25</v>
      </c>
      <c r="U23" s="1727">
        <f>H23</f>
        <v>100</v>
      </c>
      <c r="V23" s="1726" t="s">
        <v>25</v>
      </c>
      <c r="W23" s="1727">
        <f>J23</f>
        <v>100</v>
      </c>
      <c r="X23" s="2075"/>
      <c r="Y23" s="3442"/>
      <c r="Z23" s="2079" t="str">
        <f>Q23</f>
        <v>环境质量</v>
      </c>
      <c r="AA23" s="2070">
        <f t="shared" si="3"/>
        <v>1</v>
      </c>
      <c r="AB23" s="2070">
        <f t="shared" si="4"/>
        <v>1</v>
      </c>
      <c r="AC23" s="2070">
        <f t="shared" si="5"/>
        <v>1</v>
      </c>
    </row>
    <row r="24" spans="1:29" ht="15">
      <c r="A24" s="1703"/>
      <c r="B24" s="2497"/>
      <c r="C24" s="1976" t="s">
        <v>30</v>
      </c>
      <c r="D24" s="1732"/>
      <c r="E24" s="1976" t="s">
        <v>30</v>
      </c>
      <c r="F24" s="1732"/>
      <c r="G24" s="1976" t="s">
        <v>30</v>
      </c>
      <c r="H24" s="1732"/>
      <c r="I24" s="1976" t="s">
        <v>30</v>
      </c>
      <c r="J24" s="1732"/>
      <c r="K24" s="2474"/>
      <c r="L24" s="2995"/>
      <c r="M24" s="2991"/>
      <c r="N24" s="2991"/>
      <c r="O24" s="2991"/>
      <c r="P24" s="3442"/>
      <c r="Q24" s="2909"/>
      <c r="R24" s="1726"/>
      <c r="S24" s="1727"/>
      <c r="T24" s="1726"/>
      <c r="U24" s="1727"/>
      <c r="V24" s="1726"/>
      <c r="W24" s="1727"/>
      <c r="X24" s="2075"/>
      <c r="Y24" s="3442"/>
      <c r="Z24" s="2079"/>
      <c r="AA24" s="2070">
        <v>1</v>
      </c>
      <c r="AB24" s="2070">
        <v>1</v>
      </c>
      <c r="AC24" s="2070">
        <v>1</v>
      </c>
    </row>
    <row r="25" spans="1:29" ht="28.8" hidden="1">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2995"/>
      <c r="M25" s="2991"/>
      <c r="N25" s="2991"/>
      <c r="O25" s="2991"/>
      <c r="P25" s="3442"/>
      <c r="Q25" s="2909" t="str">
        <f>B25</f>
        <v>毗邻道路的类型与等级</v>
      </c>
      <c r="R25" s="1726" t="s">
        <v>25</v>
      </c>
      <c r="S25" s="1727">
        <f>F25</f>
        <v>100</v>
      </c>
      <c r="T25" s="1726" t="s">
        <v>25</v>
      </c>
      <c r="U25" s="1727">
        <f>H25</f>
        <v>100</v>
      </c>
      <c r="V25" s="1726" t="s">
        <v>25</v>
      </c>
      <c r="W25" s="1727">
        <f>J25</f>
        <v>100</v>
      </c>
      <c r="X25" s="2075"/>
      <c r="Y25" s="3442"/>
      <c r="Z25" s="2079" t="str">
        <f>Q25</f>
        <v>毗邻道路的类型与等级</v>
      </c>
      <c r="AA25" s="2070">
        <f t="shared" si="3"/>
        <v>1</v>
      </c>
      <c r="AB25" s="2070">
        <f t="shared" si="4"/>
        <v>1</v>
      </c>
      <c r="AC25" s="2070">
        <f t="shared" si="5"/>
        <v>1</v>
      </c>
    </row>
    <row r="26" spans="1:29" ht="15" hidden="1">
      <c r="A26" s="1668"/>
      <c r="B26" s="2496"/>
      <c r="C26" s="1984"/>
      <c r="D26" s="1712"/>
      <c r="E26" s="1992"/>
      <c r="F26" s="1712"/>
      <c r="G26" s="1984"/>
      <c r="H26" s="1712"/>
      <c r="I26" s="1992"/>
      <c r="J26" s="1712"/>
      <c r="K26" s="2474"/>
      <c r="L26" s="2995"/>
      <c r="M26" s="2991"/>
      <c r="N26" s="2991"/>
      <c r="O26" s="2991"/>
      <c r="P26" s="3442"/>
      <c r="Q26" s="2909"/>
      <c r="R26" s="1726"/>
      <c r="S26" s="1727"/>
      <c r="T26" s="1726"/>
      <c r="U26" s="1727"/>
      <c r="V26" s="1726"/>
      <c r="W26" s="1727"/>
      <c r="X26" s="2075"/>
      <c r="Y26" s="3442"/>
      <c r="Z26" s="2079"/>
      <c r="AA26" s="2070">
        <v>1</v>
      </c>
      <c r="AB26" s="2070">
        <v>1</v>
      </c>
      <c r="AC26" s="2070">
        <v>1</v>
      </c>
    </row>
    <row r="27" spans="1:29" ht="15.6" thickBot="1">
      <c r="A27" s="1703"/>
      <c r="B27" s="2496" t="s">
        <v>2361</v>
      </c>
      <c r="C27" s="3158" t="s">
        <v>2912</v>
      </c>
      <c r="D27" s="1712">
        <v>100</v>
      </c>
      <c r="E27" s="3164" t="s">
        <v>2910</v>
      </c>
      <c r="F27" s="1712">
        <f>SUMIF(89:89,E27,90:90)-SUMIF(89:89,C27,90:90)+100</f>
        <v>101</v>
      </c>
      <c r="G27" s="3164" t="s">
        <v>2910</v>
      </c>
      <c r="H27" s="1712">
        <f>SUMIF(89:89,G27,90:90)-SUMIF(89:89,C27,90:90)+100</f>
        <v>101</v>
      </c>
      <c r="I27" s="3158" t="s">
        <v>2910</v>
      </c>
      <c r="J27" s="1712">
        <f>SUMIF(89:89,I27,90:90)-SUMIF(89:89,C27,90:90)+100</f>
        <v>101</v>
      </c>
      <c r="K27" s="1993">
        <v>1</v>
      </c>
      <c r="L27" s="2995"/>
      <c r="M27" s="2991"/>
      <c r="N27" s="2991"/>
      <c r="O27" s="2991"/>
      <c r="P27" s="3442"/>
      <c r="Q27" s="2909" t="str">
        <f t="shared" ref="Q27:Q47" si="11">B27</f>
        <v>楼层</v>
      </c>
      <c r="R27" s="1726" t="s">
        <v>25</v>
      </c>
      <c r="S27" s="1727">
        <f>F27</f>
        <v>101</v>
      </c>
      <c r="T27" s="1726" t="s">
        <v>25</v>
      </c>
      <c r="U27" s="1727">
        <f>H27</f>
        <v>101</v>
      </c>
      <c r="V27" s="1726" t="s">
        <v>25</v>
      </c>
      <c r="W27" s="1727">
        <f>J27</f>
        <v>101</v>
      </c>
      <c r="X27" s="2075"/>
      <c r="Y27" s="3442"/>
      <c r="Z27" s="2079" t="str">
        <f>Q27</f>
        <v>楼层</v>
      </c>
      <c r="AA27" s="2070">
        <f t="shared" si="3"/>
        <v>0.99009900990099009</v>
      </c>
      <c r="AB27" s="2070">
        <f t="shared" si="4"/>
        <v>0.99009900990099009</v>
      </c>
      <c r="AC27" s="2070">
        <f t="shared" si="5"/>
        <v>0.99009900990099009</v>
      </c>
    </row>
    <row r="28" spans="1:29" s="1685" customFormat="1" ht="15" hidden="1">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0"/>
      <c r="M28" s="2963"/>
      <c r="N28" s="2963"/>
      <c r="O28" s="2963"/>
      <c r="P28" s="3442"/>
      <c r="Q28" s="2908" t="str">
        <f t="shared" si="11"/>
        <v>朝向</v>
      </c>
      <c r="R28" s="1681" t="s">
        <v>25</v>
      </c>
      <c r="S28" s="1682">
        <f>F28</f>
        <v>100</v>
      </c>
      <c r="T28" s="1681" t="s">
        <v>25</v>
      </c>
      <c r="U28" s="1682">
        <f>H28</f>
        <v>100</v>
      </c>
      <c r="V28" s="1681" t="s">
        <v>25</v>
      </c>
      <c r="W28" s="1682">
        <f>J28</f>
        <v>100</v>
      </c>
      <c r="X28" s="1683"/>
      <c r="Y28" s="3442"/>
      <c r="Z28" s="1694" t="str">
        <f>Q28</f>
        <v>朝向</v>
      </c>
      <c r="AA28" s="2070">
        <f>D28/F28</f>
        <v>1</v>
      </c>
      <c r="AB28" s="2070">
        <f>D28/H28</f>
        <v>1</v>
      </c>
      <c r="AC28" s="2070">
        <f>D28/J28</f>
        <v>1</v>
      </c>
    </row>
    <row r="29" spans="1:29" ht="15" hidden="1">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2995"/>
      <c r="M29" s="2991"/>
      <c r="N29" s="2991"/>
      <c r="O29" s="2991"/>
      <c r="P29" s="3442"/>
      <c r="Q29" s="2909">
        <f t="shared" si="11"/>
        <v>111</v>
      </c>
      <c r="R29" s="1726" t="s">
        <v>25</v>
      </c>
      <c r="S29" s="1727">
        <f t="shared" ref="S29:S47" si="12">F29</f>
        <v>100</v>
      </c>
      <c r="T29" s="1726" t="s">
        <v>25</v>
      </c>
      <c r="U29" s="1727">
        <f t="shared" ref="U29:U47" si="13">H29</f>
        <v>100</v>
      </c>
      <c r="V29" s="1726" t="s">
        <v>25</v>
      </c>
      <c r="W29" s="1727">
        <f t="shared" ref="W29:W47" si="14">J29</f>
        <v>100</v>
      </c>
      <c r="X29" s="2075"/>
      <c r="Y29" s="3442"/>
      <c r="Z29" s="2079">
        <f t="shared" ref="Z29:Z47" si="15">Q29</f>
        <v>111</v>
      </c>
      <c r="AA29" s="2070">
        <f t="shared" si="3"/>
        <v>1</v>
      </c>
      <c r="AB29" s="2070">
        <f t="shared" si="4"/>
        <v>1</v>
      </c>
      <c r="AC29" s="2070">
        <f t="shared" si="5"/>
        <v>1</v>
      </c>
    </row>
    <row r="30" spans="1:29" ht="15" hidden="1">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2995"/>
      <c r="M30" s="2991"/>
      <c r="N30" s="2991"/>
      <c r="O30" s="2991"/>
      <c r="P30" s="3442"/>
      <c r="Q30" s="2909">
        <f t="shared" si="11"/>
        <v>111</v>
      </c>
      <c r="R30" s="1726" t="s">
        <v>25</v>
      </c>
      <c r="S30" s="1727">
        <f t="shared" si="12"/>
        <v>100</v>
      </c>
      <c r="T30" s="1726" t="s">
        <v>25</v>
      </c>
      <c r="U30" s="1727">
        <f t="shared" si="13"/>
        <v>100</v>
      </c>
      <c r="V30" s="1726" t="s">
        <v>25</v>
      </c>
      <c r="W30" s="1727">
        <f t="shared" si="14"/>
        <v>100</v>
      </c>
      <c r="X30" s="2075"/>
      <c r="Y30" s="3442"/>
      <c r="Z30" s="2079">
        <f t="shared" si="15"/>
        <v>111</v>
      </c>
      <c r="AA30" s="2070">
        <f t="shared" si="3"/>
        <v>1</v>
      </c>
      <c r="AB30" s="2070">
        <f t="shared" si="4"/>
        <v>1</v>
      </c>
      <c r="AC30" s="2070">
        <f t="shared" si="5"/>
        <v>1</v>
      </c>
    </row>
    <row r="31" spans="1:29" ht="15" hidden="1">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2995"/>
      <c r="M31" s="2991"/>
      <c r="N31" s="2991"/>
      <c r="O31" s="2991"/>
      <c r="P31" s="3442"/>
      <c r="Q31" s="2909">
        <f t="shared" si="11"/>
        <v>111</v>
      </c>
      <c r="R31" s="1726" t="s">
        <v>25</v>
      </c>
      <c r="S31" s="1727">
        <f t="shared" si="12"/>
        <v>100</v>
      </c>
      <c r="T31" s="1726" t="s">
        <v>25</v>
      </c>
      <c r="U31" s="1727">
        <f t="shared" si="13"/>
        <v>100</v>
      </c>
      <c r="V31" s="1726" t="s">
        <v>25</v>
      </c>
      <c r="W31" s="1727">
        <f t="shared" si="14"/>
        <v>100</v>
      </c>
      <c r="X31" s="2075"/>
      <c r="Y31" s="3442"/>
      <c r="Z31" s="2079">
        <f t="shared" si="15"/>
        <v>111</v>
      </c>
      <c r="AA31" s="2070">
        <f t="shared" si="3"/>
        <v>1</v>
      </c>
      <c r="AB31" s="2070">
        <f t="shared" si="4"/>
        <v>1</v>
      </c>
      <c r="AC31" s="2070">
        <f t="shared" si="5"/>
        <v>1</v>
      </c>
    </row>
    <row r="32" spans="1:29" ht="15.6" hidden="1"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2995"/>
      <c r="M32" s="2991"/>
      <c r="N32" s="2991"/>
      <c r="O32" s="2991"/>
      <c r="P32" s="3442"/>
      <c r="Q32" s="2909">
        <f t="shared" si="11"/>
        <v>111</v>
      </c>
      <c r="R32" s="1726" t="s">
        <v>25</v>
      </c>
      <c r="S32" s="1727">
        <f t="shared" si="12"/>
        <v>100</v>
      </c>
      <c r="T32" s="1726" t="s">
        <v>25</v>
      </c>
      <c r="U32" s="1727">
        <f t="shared" si="13"/>
        <v>100</v>
      </c>
      <c r="V32" s="1726" t="s">
        <v>25</v>
      </c>
      <c r="W32" s="1727">
        <f t="shared" si="14"/>
        <v>100</v>
      </c>
      <c r="X32" s="2075"/>
      <c r="Y32" s="3442"/>
      <c r="Z32" s="2079">
        <f t="shared" si="15"/>
        <v>111</v>
      </c>
      <c r="AA32" s="2070">
        <f t="shared" si="3"/>
        <v>1</v>
      </c>
      <c r="AB32" s="2070">
        <f t="shared" si="4"/>
        <v>1</v>
      </c>
      <c r="AC32" s="2070">
        <f t="shared" si="5"/>
        <v>1</v>
      </c>
    </row>
    <row r="33" spans="1:29" ht="27.6">
      <c r="A33" s="1718" t="s">
        <v>2274</v>
      </c>
      <c r="B33" s="1688" t="s">
        <v>2390</v>
      </c>
      <c r="C33" s="2503" t="s">
        <v>2908</v>
      </c>
      <c r="D33" s="1763">
        <v>100</v>
      </c>
      <c r="E33" s="2503" t="s">
        <v>2908</v>
      </c>
      <c r="F33" s="1755">
        <f>SUMIF(101:101,E33,102:102)-SUMIF(101:101,C33,102:102)+100</f>
        <v>100</v>
      </c>
      <c r="G33" s="2503" t="s">
        <v>2908</v>
      </c>
      <c r="H33" s="1712">
        <f>SUMIF(101:101,G33,102:102)-SUMIF(101:101,C33,102:102)+100</f>
        <v>100</v>
      </c>
      <c r="I33" s="2503" t="s">
        <v>2908</v>
      </c>
      <c r="J33" s="1763">
        <f>SUMIF(101:101,I33,102:102)-SUMIF(101:101,C33,102:102)+100</f>
        <v>100</v>
      </c>
      <c r="K33" s="1993">
        <v>1</v>
      </c>
      <c r="L33" s="2995"/>
      <c r="M33" s="2991"/>
      <c r="N33" s="2991"/>
      <c r="O33" s="2991"/>
      <c r="P33" s="3480" t="s">
        <v>2276</v>
      </c>
      <c r="Q33" s="2909" t="str">
        <f t="shared" si="11"/>
        <v>建筑类型</v>
      </c>
      <c r="R33" s="1726" t="s">
        <v>25</v>
      </c>
      <c r="S33" s="1727">
        <f t="shared" si="12"/>
        <v>100</v>
      </c>
      <c r="T33" s="1726" t="s">
        <v>25</v>
      </c>
      <c r="U33" s="1727">
        <f t="shared" si="13"/>
        <v>100</v>
      </c>
      <c r="V33" s="1726" t="s">
        <v>25</v>
      </c>
      <c r="W33" s="1727">
        <f t="shared" si="14"/>
        <v>100</v>
      </c>
      <c r="X33" s="2075"/>
      <c r="Y33" s="3446" t="s">
        <v>2276</v>
      </c>
      <c r="Z33" s="2079" t="str">
        <f t="shared" si="15"/>
        <v>建筑类型</v>
      </c>
      <c r="AA33" s="2070">
        <f t="shared" si="3"/>
        <v>1</v>
      </c>
      <c r="AB33" s="2070">
        <f t="shared" si="4"/>
        <v>1</v>
      </c>
      <c r="AC33" s="2070">
        <f t="shared" si="5"/>
        <v>1</v>
      </c>
    </row>
    <row r="34" spans="1:29" s="1772" customFormat="1" ht="15">
      <c r="A34" s="1765"/>
      <c r="B34" s="1696" t="s">
        <v>2277</v>
      </c>
      <c r="C34" s="1766">
        <v>346.86</v>
      </c>
      <c r="D34" s="1698">
        <v>100</v>
      </c>
      <c r="E34" s="1705">
        <v>350</v>
      </c>
      <c r="F34" s="1700">
        <f>LOOKUP(E34,104:104,105:105)-LOOKUP(C34,104:104,105:105)+100</f>
        <v>100</v>
      </c>
      <c r="G34" s="1704">
        <v>3500</v>
      </c>
      <c r="H34" s="1698">
        <f>LOOKUP(G34,104:104,105:105)-LOOKUP(C34,104:104,105:105)+100</f>
        <v>97</v>
      </c>
      <c r="I34" s="1704">
        <v>700</v>
      </c>
      <c r="J34" s="1698">
        <f>LOOKUP(I34,104:104,105:105)-LOOKUP(C34,104:104,105:105)+100</f>
        <v>98</v>
      </c>
      <c r="K34" s="1990"/>
      <c r="L34" s="2994"/>
      <c r="M34" s="2060"/>
      <c r="N34" s="2060"/>
      <c r="O34" s="2060"/>
      <c r="P34" s="3446"/>
      <c r="Q34" s="1767" t="str">
        <f t="shared" si="11"/>
        <v>项目建筑规模</v>
      </c>
      <c r="R34" s="1768" t="s">
        <v>25</v>
      </c>
      <c r="S34" s="1769">
        <f t="shared" si="12"/>
        <v>100</v>
      </c>
      <c r="T34" s="1768" t="s">
        <v>25</v>
      </c>
      <c r="U34" s="1769">
        <f t="shared" si="13"/>
        <v>97</v>
      </c>
      <c r="V34" s="1768" t="s">
        <v>25</v>
      </c>
      <c r="W34" s="1769">
        <f t="shared" si="14"/>
        <v>98</v>
      </c>
      <c r="X34" s="1770"/>
      <c r="Y34" s="3446"/>
      <c r="Z34" s="1771" t="str">
        <f t="shared" si="15"/>
        <v>项目建筑规模</v>
      </c>
      <c r="AA34" s="2070">
        <f t="shared" si="3"/>
        <v>1</v>
      </c>
      <c r="AB34" s="2070">
        <f t="shared" si="4"/>
        <v>1.0309278350515463</v>
      </c>
      <c r="AC34" s="2070">
        <f t="shared" si="5"/>
        <v>1.0204081632653061</v>
      </c>
    </row>
    <row r="35" spans="1:29" ht="15">
      <c r="A35" s="1773"/>
      <c r="B35" s="1696" t="s">
        <v>2278</v>
      </c>
      <c r="C35" s="3160" t="s">
        <v>2915</v>
      </c>
      <c r="D35" s="1712">
        <v>100</v>
      </c>
      <c r="E35" s="3160" t="s">
        <v>2915</v>
      </c>
      <c r="F35" s="1755">
        <f>SUMIF(106:106,E35,107:107)-SUMIF(106:106,C35,107:107)+100</f>
        <v>100</v>
      </c>
      <c r="G35" s="3160" t="s">
        <v>2915</v>
      </c>
      <c r="H35" s="1712">
        <f>SUMIF(106:106,G35,107:107)-SUMIF(106:106,C35,107:107)+100</f>
        <v>100</v>
      </c>
      <c r="I35" s="3160" t="s">
        <v>2915</v>
      </c>
      <c r="J35" s="1712">
        <f>SUMIF(106:106,I35,107:107)-SUMIF(106:106,C35,107:107)+100</f>
        <v>100</v>
      </c>
      <c r="K35" s="1993">
        <v>1</v>
      </c>
      <c r="L35" s="2995"/>
      <c r="M35" s="2991"/>
      <c r="N35" s="2991"/>
      <c r="O35" s="2991"/>
      <c r="P35" s="3446"/>
      <c r="Q35" s="2909" t="str">
        <f t="shared" si="11"/>
        <v>建筑结构</v>
      </c>
      <c r="R35" s="1726" t="s">
        <v>25</v>
      </c>
      <c r="S35" s="1727">
        <f t="shared" si="12"/>
        <v>100</v>
      </c>
      <c r="T35" s="1726" t="s">
        <v>25</v>
      </c>
      <c r="U35" s="1727">
        <f t="shared" si="13"/>
        <v>100</v>
      </c>
      <c r="V35" s="1726" t="s">
        <v>25</v>
      </c>
      <c r="W35" s="1727">
        <f t="shared" si="14"/>
        <v>100</v>
      </c>
      <c r="X35" s="2075"/>
      <c r="Y35" s="3446"/>
      <c r="Z35" s="2079" t="str">
        <f t="shared" si="15"/>
        <v>建筑结构</v>
      </c>
      <c r="AA35" s="2070">
        <f t="shared" si="3"/>
        <v>1</v>
      </c>
      <c r="AB35" s="2070">
        <f t="shared" si="4"/>
        <v>1</v>
      </c>
      <c r="AC35" s="2070">
        <f t="shared" si="5"/>
        <v>1</v>
      </c>
    </row>
    <row r="36" spans="1:29" ht="15">
      <c r="A36" s="1773"/>
      <c r="B36" s="1696" t="s">
        <v>2363</v>
      </c>
      <c r="C36" s="3160" t="s">
        <v>2916</v>
      </c>
      <c r="D36" s="1712">
        <v>100</v>
      </c>
      <c r="E36" s="3160" t="s">
        <v>2916</v>
      </c>
      <c r="F36" s="1755">
        <f>SUMIF(108:108,E36,109:109)-SUMIF(108:108,C36,109:109)+100</f>
        <v>100</v>
      </c>
      <c r="G36" s="3160" t="s">
        <v>2916</v>
      </c>
      <c r="H36" s="1712">
        <f>SUMIF(108:108,G36,109:109)-SUMIF(108:108,C36,109:109)+100</f>
        <v>100</v>
      </c>
      <c r="I36" s="3160" t="s">
        <v>2916</v>
      </c>
      <c r="J36" s="1712">
        <f>SUMIF(108:108,I36,109:109)-SUMIF(108:108,C36,109:109)+100</f>
        <v>100</v>
      </c>
      <c r="K36" s="1993">
        <v>1</v>
      </c>
      <c r="L36" s="2995"/>
      <c r="M36" s="2991"/>
      <c r="N36" s="2991"/>
      <c r="O36" s="2991"/>
      <c r="P36" s="3446"/>
      <c r="Q36" s="2909" t="str">
        <f t="shared" si="11"/>
        <v>公共部分装修</v>
      </c>
      <c r="R36" s="1726" t="s">
        <v>25</v>
      </c>
      <c r="S36" s="1727">
        <f t="shared" si="12"/>
        <v>100</v>
      </c>
      <c r="T36" s="1726" t="s">
        <v>25</v>
      </c>
      <c r="U36" s="1727">
        <f t="shared" si="13"/>
        <v>100</v>
      </c>
      <c r="V36" s="1726" t="s">
        <v>25</v>
      </c>
      <c r="W36" s="1727">
        <f t="shared" si="14"/>
        <v>100</v>
      </c>
      <c r="X36" s="2075"/>
      <c r="Y36" s="3446"/>
      <c r="Z36" s="2079" t="str">
        <f t="shared" si="15"/>
        <v>公共部分装修</v>
      </c>
      <c r="AA36" s="2070">
        <f t="shared" si="3"/>
        <v>1</v>
      </c>
      <c r="AB36" s="2070">
        <f t="shared" si="4"/>
        <v>1</v>
      </c>
      <c r="AC36" s="2070">
        <f t="shared" si="5"/>
        <v>1</v>
      </c>
    </row>
    <row r="37" spans="1:29" ht="15">
      <c r="A37" s="1773"/>
      <c r="B37" s="1696" t="s">
        <v>2364</v>
      </c>
      <c r="C37" s="1777">
        <f>'数据-取费表'!E20</f>
        <v>0.8</v>
      </c>
      <c r="D37" s="1712">
        <v>100</v>
      </c>
      <c r="E37" s="1777">
        <f>C37</f>
        <v>0.8</v>
      </c>
      <c r="F37" s="1755">
        <f>LOOKUP(E37,111:111,112:112)-LOOKUP(C37,111:111,112:112)+100</f>
        <v>100</v>
      </c>
      <c r="G37" s="1777">
        <f>E37</f>
        <v>0.8</v>
      </c>
      <c r="H37" s="1755">
        <f>LOOKUP(G37,111:111,112:112)-LOOKUP(C37,111:111,112:112)+100</f>
        <v>100</v>
      </c>
      <c r="I37" s="1777">
        <f>G37</f>
        <v>0.8</v>
      </c>
      <c r="J37" s="1712">
        <f>LOOKUP(I37,111:111,112:112)-LOOKUP(C37,111:111,112:112)+100</f>
        <v>100</v>
      </c>
      <c r="K37" s="1993">
        <v>1</v>
      </c>
      <c r="L37" s="2995"/>
      <c r="M37" s="2991"/>
      <c r="N37" s="2991"/>
      <c r="O37" s="2991"/>
      <c r="P37" s="3446"/>
      <c r="Q37" s="2909" t="str">
        <f t="shared" si="11"/>
        <v>成新度</v>
      </c>
      <c r="R37" s="1726" t="s">
        <v>25</v>
      </c>
      <c r="S37" s="1727">
        <f t="shared" si="12"/>
        <v>100</v>
      </c>
      <c r="T37" s="1726" t="s">
        <v>25</v>
      </c>
      <c r="U37" s="1727">
        <f t="shared" si="13"/>
        <v>100</v>
      </c>
      <c r="V37" s="1726" t="s">
        <v>25</v>
      </c>
      <c r="W37" s="1727">
        <f t="shared" si="14"/>
        <v>100</v>
      </c>
      <c r="X37" s="2075"/>
      <c r="Y37" s="3446"/>
      <c r="Z37" s="2079" t="str">
        <f t="shared" si="15"/>
        <v>成新度</v>
      </c>
      <c r="AA37" s="2070">
        <f t="shared" si="3"/>
        <v>1</v>
      </c>
      <c r="AB37" s="2070">
        <f t="shared" si="4"/>
        <v>1</v>
      </c>
      <c r="AC37" s="2070">
        <f t="shared" si="5"/>
        <v>1</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0"/>
      <c r="M38" s="2963"/>
      <c r="N38" s="2963"/>
      <c r="O38" s="2963"/>
      <c r="P38" s="3446"/>
      <c r="Q38" s="2908" t="str">
        <f t="shared" si="11"/>
        <v>写字楼等级</v>
      </c>
      <c r="R38" s="1681" t="s">
        <v>25</v>
      </c>
      <c r="S38" s="1682">
        <f t="shared" si="12"/>
        <v>100</v>
      </c>
      <c r="T38" s="1681" t="s">
        <v>25</v>
      </c>
      <c r="U38" s="1682">
        <f t="shared" si="13"/>
        <v>100</v>
      </c>
      <c r="V38" s="1681" t="s">
        <v>25</v>
      </c>
      <c r="W38" s="1682">
        <f t="shared" si="14"/>
        <v>100</v>
      </c>
      <c r="X38" s="1683"/>
      <c r="Y38" s="3446"/>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2995"/>
      <c r="M39" s="2991"/>
      <c r="N39" s="2991"/>
      <c r="O39" s="2991"/>
      <c r="P39" s="3446" t="s">
        <v>2276</v>
      </c>
      <c r="Q39" s="2909" t="str">
        <f t="shared" si="11"/>
        <v>物业管理</v>
      </c>
      <c r="R39" s="1726" t="s">
        <v>25</v>
      </c>
      <c r="S39" s="1727">
        <f t="shared" si="12"/>
        <v>100</v>
      </c>
      <c r="T39" s="1726" t="s">
        <v>25</v>
      </c>
      <c r="U39" s="1727">
        <f t="shared" si="13"/>
        <v>100</v>
      </c>
      <c r="V39" s="1726" t="s">
        <v>25</v>
      </c>
      <c r="W39" s="1727">
        <f t="shared" si="14"/>
        <v>100</v>
      </c>
      <c r="X39" s="2075"/>
      <c r="Y39" s="3446"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2995"/>
      <c r="M40" s="2991"/>
      <c r="N40" s="2991"/>
      <c r="O40" s="2991"/>
      <c r="P40" s="3446"/>
      <c r="Q40" s="2909" t="str">
        <f t="shared" si="11"/>
        <v>市政基础设施</v>
      </c>
      <c r="R40" s="1726" t="s">
        <v>25</v>
      </c>
      <c r="S40" s="1727">
        <f t="shared" si="12"/>
        <v>100</v>
      </c>
      <c r="T40" s="1726" t="s">
        <v>25</v>
      </c>
      <c r="U40" s="1727">
        <f t="shared" si="13"/>
        <v>100</v>
      </c>
      <c r="V40" s="1726" t="s">
        <v>25</v>
      </c>
      <c r="W40" s="1727">
        <f t="shared" si="14"/>
        <v>100</v>
      </c>
      <c r="X40" s="2075"/>
      <c r="Y40" s="3446"/>
      <c r="Z40" s="2079" t="str">
        <f t="shared" si="15"/>
        <v>市政基础设施</v>
      </c>
      <c r="AA40" s="2070">
        <f t="shared" si="3"/>
        <v>1</v>
      </c>
      <c r="AB40" s="2070">
        <f t="shared" si="4"/>
        <v>1</v>
      </c>
      <c r="AC40" s="2070">
        <f t="shared" si="5"/>
        <v>1</v>
      </c>
    </row>
    <row r="41" spans="1:29" ht="15">
      <c r="A41" s="1773"/>
      <c r="B41" s="1696" t="s">
        <v>2367</v>
      </c>
      <c r="C41" s="3161" t="s">
        <v>2917</v>
      </c>
      <c r="D41" s="1712">
        <v>100</v>
      </c>
      <c r="E41" s="3161" t="s">
        <v>2917</v>
      </c>
      <c r="F41" s="1755">
        <f>SUMIF(119:119,E41,120:120)-SUMIF(119:119,C41,120:120)+100</f>
        <v>100</v>
      </c>
      <c r="G41" s="3161" t="s">
        <v>2917</v>
      </c>
      <c r="H41" s="1712">
        <f>SUMIF(119:119,G41,120:120)-SUMIF(119:119,C41,120:120)+100</f>
        <v>100</v>
      </c>
      <c r="I41" s="3161" t="s">
        <v>2917</v>
      </c>
      <c r="J41" s="1712">
        <f>SUMIF(119:119,I41,120:120)-SUMIF(119:119,C41,120:120)+100</f>
        <v>100</v>
      </c>
      <c r="K41" s="1993">
        <v>1</v>
      </c>
      <c r="L41" s="2995"/>
      <c r="M41" s="2991"/>
      <c r="N41" s="2991"/>
      <c r="O41" s="2991"/>
      <c r="P41" s="3446"/>
      <c r="Q41" s="2909" t="str">
        <f t="shared" si="11"/>
        <v>层高</v>
      </c>
      <c r="R41" s="1726" t="s">
        <v>25</v>
      </c>
      <c r="S41" s="1727">
        <f t="shared" si="12"/>
        <v>100</v>
      </c>
      <c r="T41" s="1726" t="s">
        <v>25</v>
      </c>
      <c r="U41" s="1727">
        <f t="shared" si="13"/>
        <v>100</v>
      </c>
      <c r="V41" s="1726" t="s">
        <v>25</v>
      </c>
      <c r="W41" s="1727">
        <f t="shared" si="14"/>
        <v>100</v>
      </c>
      <c r="X41" s="2075"/>
      <c r="Y41" s="3446"/>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4"/>
      <c r="M42" s="2060"/>
      <c r="N42" s="2060"/>
      <c r="O42" s="2060"/>
      <c r="P42" s="3446"/>
      <c r="Q42" s="1767" t="str">
        <f t="shared" si="11"/>
        <v>单套建筑面积</v>
      </c>
      <c r="R42" s="1768" t="s">
        <v>25</v>
      </c>
      <c r="S42" s="1769">
        <f t="shared" si="12"/>
        <v>100</v>
      </c>
      <c r="T42" s="1768" t="s">
        <v>25</v>
      </c>
      <c r="U42" s="1769">
        <f t="shared" si="13"/>
        <v>100</v>
      </c>
      <c r="V42" s="1768" t="s">
        <v>25</v>
      </c>
      <c r="W42" s="1769">
        <f t="shared" si="14"/>
        <v>100</v>
      </c>
      <c r="X42" s="1770"/>
      <c r="Y42" s="3446"/>
      <c r="Z42" s="1771" t="str">
        <f t="shared" si="15"/>
        <v>单套建筑面积</v>
      </c>
      <c r="AA42" s="2070">
        <f t="shared" si="3"/>
        <v>1</v>
      </c>
      <c r="AB42" s="2070">
        <f t="shared" si="4"/>
        <v>1</v>
      </c>
      <c r="AC42" s="2070">
        <f t="shared" si="5"/>
        <v>1</v>
      </c>
    </row>
    <row r="43" spans="1:29" ht="15">
      <c r="A43" s="1773"/>
      <c r="B43" s="1696" t="s">
        <v>2370</v>
      </c>
      <c r="C43" s="3160" t="s">
        <v>2933</v>
      </c>
      <c r="D43" s="1712">
        <v>100</v>
      </c>
      <c r="E43" s="3160" t="s">
        <v>2916</v>
      </c>
      <c r="F43" s="1755">
        <f>SUMIF(123:123,E43,124:124)-SUMIF(123:123,C43,124:124)+100</f>
        <v>104</v>
      </c>
      <c r="G43" s="3160" t="s">
        <v>2916</v>
      </c>
      <c r="H43" s="1712">
        <f>SUMIF(123:123,G43,124:124)-SUMIF(123:123,C43,124:124)+100</f>
        <v>104</v>
      </c>
      <c r="I43" s="3160" t="s">
        <v>2916</v>
      </c>
      <c r="J43" s="1712">
        <f>SUMIF(123:123,I43,124:124)-SUMIF(123:123,C43,124:124)+100</f>
        <v>104</v>
      </c>
      <c r="K43" s="1993">
        <v>2</v>
      </c>
      <c r="L43" s="2995"/>
      <c r="M43" s="2991"/>
      <c r="N43" s="2991"/>
      <c r="O43" s="2991"/>
      <c r="P43" s="3446"/>
      <c r="Q43" s="2909" t="str">
        <f t="shared" si="11"/>
        <v>内部装修</v>
      </c>
      <c r="R43" s="1726" t="s">
        <v>25</v>
      </c>
      <c r="S43" s="1727">
        <f t="shared" si="12"/>
        <v>104</v>
      </c>
      <c r="T43" s="1726" t="s">
        <v>25</v>
      </c>
      <c r="U43" s="1727">
        <f t="shared" si="13"/>
        <v>104</v>
      </c>
      <c r="V43" s="1726" t="s">
        <v>25</v>
      </c>
      <c r="W43" s="1727">
        <f t="shared" si="14"/>
        <v>104</v>
      </c>
      <c r="X43" s="2075"/>
      <c r="Y43" s="3446"/>
      <c r="Z43" s="2079" t="str">
        <f t="shared" si="15"/>
        <v>内部装修</v>
      </c>
      <c r="AA43" s="2070">
        <f t="shared" si="3"/>
        <v>0.96153846153846156</v>
      </c>
      <c r="AB43" s="2070">
        <f t="shared" si="4"/>
        <v>0.96153846153846156</v>
      </c>
      <c r="AC43" s="2070">
        <f t="shared" si="5"/>
        <v>0.96153846153846156</v>
      </c>
    </row>
    <row r="44" spans="1:29" ht="28.8">
      <c r="A44" s="1773"/>
      <c r="B44" s="1696" t="s">
        <v>2287</v>
      </c>
      <c r="C44" s="3160" t="s">
        <v>2918</v>
      </c>
      <c r="D44" s="1712">
        <v>100</v>
      </c>
      <c r="E44" s="3160" t="s">
        <v>2918</v>
      </c>
      <c r="F44" s="1755">
        <f>SUMIF(125:125,E44,126:126)-SUMIF(125:125,C44,126:126)+100</f>
        <v>100</v>
      </c>
      <c r="G44" s="3160" t="s">
        <v>2918</v>
      </c>
      <c r="H44" s="1712">
        <f>SUMIF(125:125,G44,126:126)-SUMIF(125:125,C44,126:126)+100</f>
        <v>100</v>
      </c>
      <c r="I44" s="3160" t="s">
        <v>2918</v>
      </c>
      <c r="J44" s="1712">
        <f>SUMIF(125:125,I44,126:126)-SUMIF(125:125,C44,126:126)+100</f>
        <v>100</v>
      </c>
      <c r="K44" s="1993">
        <v>1</v>
      </c>
      <c r="L44" s="2995"/>
      <c r="M44" s="2991"/>
      <c r="N44" s="2991"/>
      <c r="O44" s="2991"/>
      <c r="P44" s="3446"/>
      <c r="Q44" s="2909" t="str">
        <f t="shared" si="11"/>
        <v>内部装修维护情况</v>
      </c>
      <c r="R44" s="1726" t="s">
        <v>25</v>
      </c>
      <c r="S44" s="1727">
        <f t="shared" si="12"/>
        <v>100</v>
      </c>
      <c r="T44" s="1726" t="s">
        <v>25</v>
      </c>
      <c r="U44" s="1727">
        <f t="shared" si="13"/>
        <v>100</v>
      </c>
      <c r="V44" s="1726" t="s">
        <v>25</v>
      </c>
      <c r="W44" s="1727">
        <f t="shared" si="14"/>
        <v>100</v>
      </c>
      <c r="X44" s="2075"/>
      <c r="Y44" s="344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0"/>
      <c r="M45" s="2963"/>
      <c r="N45" s="2963"/>
      <c r="O45" s="2963"/>
      <c r="P45" s="3446"/>
      <c r="Q45" s="2908">
        <f t="shared" si="11"/>
        <v>111</v>
      </c>
      <c r="R45" s="1681" t="s">
        <v>25</v>
      </c>
      <c r="S45" s="1682">
        <f t="shared" si="12"/>
        <v>100</v>
      </c>
      <c r="T45" s="1681" t="s">
        <v>25</v>
      </c>
      <c r="U45" s="1682">
        <f t="shared" si="13"/>
        <v>100</v>
      </c>
      <c r="V45" s="1681" t="s">
        <v>25</v>
      </c>
      <c r="W45" s="1682">
        <f t="shared" si="14"/>
        <v>100</v>
      </c>
      <c r="X45" s="1683"/>
      <c r="Y45" s="344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2995"/>
      <c r="M46" s="2991"/>
      <c r="N46" s="2991"/>
      <c r="O46" s="2991"/>
      <c r="P46" s="3446"/>
      <c r="Q46" s="2909">
        <f t="shared" si="11"/>
        <v>111</v>
      </c>
      <c r="R46" s="1726" t="s">
        <v>25</v>
      </c>
      <c r="S46" s="1727">
        <f t="shared" si="12"/>
        <v>100</v>
      </c>
      <c r="T46" s="1726" t="s">
        <v>25</v>
      </c>
      <c r="U46" s="1727">
        <f t="shared" si="13"/>
        <v>100</v>
      </c>
      <c r="V46" s="1726" t="s">
        <v>25</v>
      </c>
      <c r="W46" s="1727">
        <f t="shared" si="14"/>
        <v>100</v>
      </c>
      <c r="X46" s="2075"/>
      <c r="Y46" s="3446"/>
      <c r="Z46" s="2079">
        <f t="shared" si="15"/>
        <v>111</v>
      </c>
      <c r="AA46" s="2070">
        <f t="shared" si="3"/>
        <v>1</v>
      </c>
      <c r="AB46" s="2070">
        <f t="shared" si="4"/>
        <v>1</v>
      </c>
      <c r="AC46" s="2070">
        <f t="shared" si="5"/>
        <v>1</v>
      </c>
    </row>
    <row r="47" spans="1:29" ht="15.6" thickBot="1">
      <c r="A47" s="1781"/>
      <c r="B47" s="3170">
        <v>0.98</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2995"/>
      <c r="M47" s="2991"/>
      <c r="N47" s="2991"/>
      <c r="O47" s="2991"/>
      <c r="P47" s="3447"/>
      <c r="Q47" s="2909">
        <f t="shared" si="11"/>
        <v>0.98</v>
      </c>
      <c r="R47" s="1726" t="s">
        <v>25</v>
      </c>
      <c r="S47" s="1727">
        <f t="shared" si="12"/>
        <v>100</v>
      </c>
      <c r="T47" s="1726" t="s">
        <v>25</v>
      </c>
      <c r="U47" s="1727">
        <f t="shared" si="13"/>
        <v>100</v>
      </c>
      <c r="V47" s="1726" t="s">
        <v>25</v>
      </c>
      <c r="W47" s="1727">
        <f t="shared" si="14"/>
        <v>100</v>
      </c>
      <c r="X47" s="2075"/>
      <c r="Y47" s="3447"/>
      <c r="Z47" s="2079">
        <f t="shared" si="15"/>
        <v>0.98</v>
      </c>
      <c r="AA47" s="2070">
        <f t="shared" si="3"/>
        <v>1</v>
      </c>
      <c r="AB47" s="2070">
        <f t="shared" si="4"/>
        <v>1</v>
      </c>
      <c r="AC47" s="2070">
        <f t="shared" si="5"/>
        <v>1</v>
      </c>
    </row>
    <row r="48" spans="1:29" ht="14.4">
      <c r="A48" s="1782" t="s">
        <v>2288</v>
      </c>
      <c r="B48" s="1783"/>
      <c r="C48" s="1784" t="s">
        <v>1</v>
      </c>
      <c r="D48" s="1785"/>
      <c r="E48" s="1786">
        <f>ROUND(23610*B47,0)</f>
        <v>23138</v>
      </c>
      <c r="F48" s="1787"/>
      <c r="G48" s="1788">
        <f>ROUND(21429*B47,0)</f>
        <v>21000</v>
      </c>
      <c r="H48" s="1789"/>
      <c r="I48" s="1786">
        <f>ROUND(25000*B47,0)</f>
        <v>24500</v>
      </c>
      <c r="J48" s="1789"/>
      <c r="K48" s="2014"/>
      <c r="L48" s="2996"/>
      <c r="M48" s="2991"/>
      <c r="N48" s="2991"/>
      <c r="O48" s="2991"/>
      <c r="P48" s="3438" t="str">
        <f>A48</f>
        <v>成交单价（元/平方米）</v>
      </c>
      <c r="Q48" s="3438"/>
      <c r="R48" s="3434">
        <f>E48</f>
        <v>23138</v>
      </c>
      <c r="S48" s="3434"/>
      <c r="T48" s="3434">
        <f>G48</f>
        <v>21000</v>
      </c>
      <c r="U48" s="3434"/>
      <c r="V48" s="3434">
        <f>I48</f>
        <v>24500</v>
      </c>
      <c r="W48" s="3434"/>
      <c r="X48" s="1792"/>
      <c r="Y48" s="2074"/>
      <c r="Z48" s="1792"/>
      <c r="AA48" s="1792"/>
      <c r="AB48" s="1792"/>
      <c r="AC48" s="1792"/>
    </row>
    <row r="49" spans="1:29" ht="15" thickBot="1">
      <c r="A49" s="1794" t="s">
        <v>2371</v>
      </c>
      <c r="B49" s="1795"/>
      <c r="C49" s="1796">
        <f>R50</f>
        <v>22146</v>
      </c>
      <c r="D49" s="1797" t="s">
        <v>2744</v>
      </c>
      <c r="E49" s="1798">
        <f>R49</f>
        <v>22028</v>
      </c>
      <c r="F49" s="1799"/>
      <c r="G49" s="1796">
        <f>T49</f>
        <v>20611</v>
      </c>
      <c r="H49" s="1799"/>
      <c r="I49" s="1798">
        <f>V49</f>
        <v>23800</v>
      </c>
      <c r="J49" s="1799"/>
      <c r="K49" s="2511">
        <f>F49+H49+J49</f>
        <v>0</v>
      </c>
      <c r="L49" s="2996"/>
      <c r="M49" s="2991"/>
      <c r="N49" s="2991"/>
      <c r="O49" s="2991"/>
      <c r="P49" s="3438" t="str">
        <f>A49</f>
        <v>比较价值（元/平方米）</v>
      </c>
      <c r="Q49" s="3438"/>
      <c r="R49" s="3434">
        <f>IF(E1="售价",ROUND(PRODUCT(R48,AA7:AA47),0),ROUND(PRODUCT(R48,AA7:AA47),1))</f>
        <v>22028</v>
      </c>
      <c r="S49" s="3434"/>
      <c r="T49" s="3434">
        <f>IF(E1="售价",ROUND(PRODUCT(T48,AB7:AB47),0),ROUND(PRODUCT(T48,AB7:AB47),1))</f>
        <v>20611</v>
      </c>
      <c r="U49" s="3434"/>
      <c r="V49" s="3434">
        <f>IF(E1="售价",ROUND(PRODUCT(V48,AC7:AC47),0),ROUND(PRODUCT(V48,AC7:AC47),1))</f>
        <v>23800</v>
      </c>
      <c r="W49" s="3434"/>
      <c r="X49" s="1792"/>
      <c r="Y49" s="1792"/>
      <c r="Z49" s="1792"/>
      <c r="AA49" s="1792"/>
      <c r="AB49" s="1792"/>
      <c r="AC49" s="1792"/>
    </row>
    <row r="50" spans="1:29" ht="15" thickBot="1">
      <c r="A50" s="1800" t="s">
        <v>2394</v>
      </c>
      <c r="B50" s="1801"/>
      <c r="C50" s="1803">
        <f>R50</f>
        <v>22146</v>
      </c>
      <c r="D50" s="1803"/>
      <c r="E50" s="1803"/>
      <c r="F50" s="1803"/>
      <c r="G50" s="1803"/>
      <c r="H50" s="1803"/>
      <c r="I50" s="1803"/>
      <c r="J50" s="1803"/>
      <c r="K50" s="2019"/>
      <c r="L50" s="2996"/>
      <c r="M50" s="2991"/>
      <c r="N50" s="2991"/>
      <c r="O50" s="2991"/>
      <c r="P50" s="3435" t="str">
        <f>A50</f>
        <v>估价对象XX用房的比较价值（楼面单价，元/平方米）</v>
      </c>
      <c r="Q50" s="3436"/>
      <c r="R50" s="3437">
        <f>IF(E1="售价",ROUND(IF(D49="简单平均",AVERAGE(R49:V49),R49*F49+T49*H49+V49*J49),0),ROUND(IF(D49="简单平均",AVERAGE(R49:V49),R49*F49+T49*H49+V49*J49),1))</f>
        <v>22146</v>
      </c>
      <c r="S50" s="3437"/>
      <c r="T50" s="3437"/>
      <c r="U50" s="3437"/>
      <c r="V50" s="3437"/>
      <c r="W50" s="3437"/>
      <c r="X50" s="1792"/>
      <c r="Y50" s="1792"/>
      <c r="Z50" s="1792"/>
      <c r="AA50" s="1792"/>
      <c r="AB50" s="1792"/>
      <c r="AC50" s="1792"/>
    </row>
    <row r="51" spans="1:29">
      <c r="G51" s="3000"/>
    </row>
    <row r="52" spans="1:29">
      <c r="E52" s="1667">
        <f>E48*0.04</f>
        <v>925.52</v>
      </c>
    </row>
    <row r="53" spans="1:29" ht="13.5" customHeight="1">
      <c r="C53" s="383" t="s">
        <v>2373</v>
      </c>
      <c r="D53" s="1808"/>
      <c r="E53" s="1809">
        <f>IF(E48&lt;E49,E49/E48-1,E48/E49-1)</f>
        <v>5.039041220265128E-2</v>
      </c>
      <c r="F53" s="1810" t="str">
        <f>IF(OR(E53&gt;=0.3,E53&lt;=-0.3),"超过30%","")</f>
        <v/>
      </c>
      <c r="G53" s="1809">
        <f>IF(G48&lt;G49,G49/G48-1,G48/G49-1)</f>
        <v>1.8873417107369894E-2</v>
      </c>
      <c r="H53" s="1810" t="str">
        <f>IF(OR(G53&gt;=0.3,G53&lt;=-0.3),"超过30%","")</f>
        <v/>
      </c>
      <c r="I53" s="1809">
        <f>IF(I48&lt;I49,I49/I48-1,I48/I49-1)</f>
        <v>2.9411764705882248E-2</v>
      </c>
      <c r="J53" s="1810" t="str">
        <f>IF(OR(I53&gt;=0.3,I53&lt;=-0.3),"超过30%","")</f>
        <v/>
      </c>
    </row>
    <row r="54" spans="1:29" ht="13.5" customHeight="1">
      <c r="C54" s="383" t="s">
        <v>2374</v>
      </c>
      <c r="D54" s="1811"/>
      <c r="E54" s="1809">
        <f>IF(E49&lt;G49,G49/E49-1,E49/G49-1)</f>
        <v>6.8749696763863888E-2</v>
      </c>
      <c r="F54" s="1810" t="str">
        <f>IF(OR(E54&gt;=0.2,E54&lt;=-0.2),"超过20%","")</f>
        <v/>
      </c>
      <c r="G54" s="1809">
        <f>IF(G49&lt;I49,I49/G49-1,G49/I49-1)</f>
        <v>0.15472320605501921</v>
      </c>
      <c r="H54" s="1810" t="str">
        <f>IF(OR(G54&gt;=0.2,G54&lt;=-0.2),"超过20%","")</f>
        <v/>
      </c>
      <c r="I54" s="1809">
        <f>IF(I49&lt;E49,E49/I49-1,I49/E49-1)</f>
        <v>8.0443072453241227E-2</v>
      </c>
      <c r="J54" s="1810" t="str">
        <f>IF(OR(I54&gt;=0.2,I54&lt;=-0.2),"超过20%","")</f>
        <v/>
      </c>
    </row>
    <row r="55" spans="1:29" s="1814" customFormat="1" ht="13.5" customHeight="1">
      <c r="C55" s="383" t="s">
        <v>2375</v>
      </c>
      <c r="D55" s="1811"/>
      <c r="E55" s="1809">
        <f>IF(E48&lt;G48,G48/E48-1,E48/G48-1)</f>
        <v>0.10180952380952379</v>
      </c>
      <c r="F55" s="1810" t="str">
        <f>IF(OR(E55&gt;=0.3,E55&lt;=-0.3),"超过30%","")</f>
        <v/>
      </c>
      <c r="G55" s="1809">
        <f>IF(G48&lt;I48,I48/G48-1,G48/I48-1)</f>
        <v>0.16666666666666674</v>
      </c>
      <c r="H55" s="1810" t="str">
        <f>IF(OR(G55&gt;=0.3,G55&lt;=-0.3),"超过30%","")</f>
        <v/>
      </c>
      <c r="I55" s="1809">
        <f>IF(I48&lt;E48,E48/I48-1,I48/E48-1)</f>
        <v>5.8864206067940295E-2</v>
      </c>
      <c r="J55" s="1810" t="str">
        <f>IF(OR(I55&gt;=0.3,I55&lt;=-0.3),"超过30%","")</f>
        <v/>
      </c>
      <c r="K55" s="3003"/>
      <c r="L55" s="2997"/>
    </row>
    <row r="56" spans="1:29" s="1814" customFormat="1">
      <c r="B56" s="3001"/>
      <c r="C56" s="3002"/>
      <c r="K56" s="3003"/>
      <c r="L56" s="2997"/>
    </row>
    <row r="57" spans="1:29">
      <c r="B57" s="3001"/>
      <c r="C57" s="3002"/>
    </row>
    <row r="58" spans="1:29" ht="22.2" thickBot="1">
      <c r="A58" s="1817" t="s">
        <v>2376</v>
      </c>
      <c r="B58" s="1792"/>
      <c r="C58" s="1818"/>
      <c r="D58" s="1818"/>
      <c r="E58" s="1818"/>
      <c r="F58" s="1818"/>
      <c r="G58" s="1818"/>
      <c r="H58" s="1818"/>
      <c r="I58" s="1818"/>
      <c r="J58" s="1818"/>
      <c r="K58" s="1819"/>
      <c r="L58" s="1820"/>
      <c r="M58" s="1818"/>
      <c r="N58" s="2999"/>
      <c r="O58" s="2999"/>
      <c r="P58" s="2046"/>
      <c r="Q58" s="1822"/>
    </row>
    <row r="59" spans="1:29" s="1828" customFormat="1" ht="14.4">
      <c r="A59" s="1823" t="s">
        <v>2258</v>
      </c>
      <c r="B59" s="1824"/>
      <c r="C59" s="1825" t="str">
        <f>YEAR(C7)&amp;"-"&amp;MONTH(C7)</f>
        <v>2021-7</v>
      </c>
      <c r="D59" s="1826">
        <f>EDATE(C59,-1)</f>
        <v>44348</v>
      </c>
      <c r="E59" s="1826">
        <f t="shared" ref="E59:O59" si="16">EDATE(D59,-1)</f>
        <v>44317</v>
      </c>
      <c r="F59" s="1826">
        <f t="shared" si="16"/>
        <v>44287</v>
      </c>
      <c r="G59" s="1826">
        <f t="shared" si="16"/>
        <v>44256</v>
      </c>
      <c r="H59" s="1826">
        <f t="shared" si="16"/>
        <v>44228</v>
      </c>
      <c r="I59" s="1826">
        <f t="shared" si="16"/>
        <v>44197</v>
      </c>
      <c r="J59" s="1826">
        <f t="shared" si="16"/>
        <v>44166</v>
      </c>
      <c r="K59" s="1826">
        <f t="shared" si="16"/>
        <v>44136</v>
      </c>
      <c r="L59" s="1826">
        <f t="shared" si="16"/>
        <v>44105</v>
      </c>
      <c r="M59" s="1826">
        <f t="shared" si="16"/>
        <v>44075</v>
      </c>
      <c r="N59" s="1826">
        <f t="shared" si="16"/>
        <v>44044</v>
      </c>
      <c r="O59" s="1826">
        <f t="shared" si="16"/>
        <v>44013</v>
      </c>
      <c r="P59" s="2504"/>
    </row>
    <row r="60" spans="1:29" s="1685" customFormat="1">
      <c r="A60" s="1829"/>
      <c r="B60" s="1830"/>
      <c r="C60" s="1831">
        <v>100</v>
      </c>
      <c r="D60" s="1832">
        <v>100</v>
      </c>
      <c r="E60" s="1832">
        <v>100</v>
      </c>
      <c r="F60" s="1832">
        <v>100</v>
      </c>
      <c r="G60" s="1832">
        <v>100</v>
      </c>
      <c r="H60" s="1832">
        <v>100</v>
      </c>
      <c r="I60" s="1832"/>
      <c r="J60" s="1832"/>
      <c r="K60" s="1832"/>
      <c r="L60" s="1832"/>
      <c r="M60" s="1833"/>
      <c r="N60" s="1832"/>
      <c r="O60" s="1846"/>
      <c r="P60" s="1822"/>
    </row>
    <row r="61" spans="1:29" s="1685" customFormat="1" ht="1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4.4">
      <c r="A62" s="1840" t="s">
        <v>2260</v>
      </c>
      <c r="B62" s="1830"/>
      <c r="C62" s="1841" t="s">
        <v>2261</v>
      </c>
      <c r="D62" s="409"/>
      <c r="E62" s="409"/>
      <c r="F62" s="409"/>
      <c r="G62" s="409"/>
      <c r="H62" s="409"/>
      <c r="I62" s="409"/>
      <c r="J62" s="409"/>
      <c r="K62" s="409"/>
      <c r="L62" s="409"/>
      <c r="M62" s="1842"/>
      <c r="N62" s="3008"/>
      <c r="O62" s="3008"/>
      <c r="P62" s="2057"/>
      <c r="Q62" s="1822"/>
    </row>
    <row r="63" spans="1:29" s="1685" customFormat="1" ht="14.4" thickBot="1">
      <c r="A63" s="1840"/>
      <c r="B63" s="1830"/>
      <c r="C63" s="1845">
        <v>100</v>
      </c>
      <c r="D63" s="1832"/>
      <c r="E63" s="1832"/>
      <c r="F63" s="1832"/>
      <c r="G63" s="1832"/>
      <c r="H63" s="1832"/>
      <c r="I63" s="1832"/>
      <c r="J63" s="1832"/>
      <c r="K63" s="1832"/>
      <c r="L63" s="1832"/>
      <c r="M63" s="1846"/>
      <c r="N63" s="3008"/>
      <c r="O63" s="3008"/>
      <c r="P63" s="1822"/>
      <c r="Q63" s="1822"/>
    </row>
    <row r="64" spans="1:29" ht="14.4">
      <c r="A64" s="1847" t="s">
        <v>2299</v>
      </c>
      <c r="B64" s="1848" t="s">
        <v>2264</v>
      </c>
      <c r="C64" s="1849" t="str">
        <f>C9</f>
        <v>办公</v>
      </c>
      <c r="D64" s="1850"/>
      <c r="E64" s="1850"/>
      <c r="F64" s="1850"/>
      <c r="G64" s="1850"/>
      <c r="H64" s="1850"/>
      <c r="I64" s="1850"/>
      <c r="J64" s="1850"/>
      <c r="K64" s="417"/>
      <c r="L64" s="417"/>
      <c r="M64" s="1851"/>
      <c r="N64" s="3009"/>
      <c r="O64" s="3009"/>
      <c r="P64" s="2058"/>
      <c r="Q64" s="1822"/>
    </row>
    <row r="65" spans="1:17" ht="14.4" thickBot="1">
      <c r="A65" s="1854"/>
      <c r="B65" s="1855"/>
      <c r="C65" s="1856">
        <v>100</v>
      </c>
      <c r="D65" s="1856"/>
      <c r="E65" s="1856"/>
      <c r="F65" s="1856"/>
      <c r="G65" s="1856"/>
      <c r="H65" s="1856"/>
      <c r="I65" s="1856"/>
      <c r="J65" s="1856"/>
      <c r="K65" s="1856"/>
      <c r="L65" s="1856"/>
      <c r="M65" s="1857"/>
      <c r="N65" s="3010"/>
      <c r="O65" s="3010"/>
      <c r="P65" s="2058"/>
      <c r="Q65" s="1822"/>
    </row>
    <row r="66" spans="1:17" ht="29.4"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09"/>
      <c r="O66" s="3009"/>
      <c r="P66" s="2058"/>
      <c r="Q66" s="1822"/>
    </row>
    <row r="67" spans="1:17" ht="14.4" thickBot="1">
      <c r="A67" s="1854"/>
      <c r="B67" s="1862"/>
      <c r="C67" s="1863" t="s">
        <v>36</v>
      </c>
      <c r="D67" s="1863" t="s">
        <v>37</v>
      </c>
      <c r="E67" s="1863">
        <v>100</v>
      </c>
      <c r="F67" s="1863">
        <f>E67-$K10</f>
        <v>97</v>
      </c>
      <c r="G67" s="1863">
        <f>F67-$K10</f>
        <v>94</v>
      </c>
      <c r="H67" s="1863">
        <f>G67-$K10</f>
        <v>91</v>
      </c>
      <c r="I67" s="1863">
        <f>H67-$K10</f>
        <v>88</v>
      </c>
      <c r="J67" s="1863"/>
      <c r="K67" s="1863"/>
      <c r="L67" s="1863"/>
      <c r="M67" s="1864"/>
      <c r="N67" s="3010"/>
      <c r="O67" s="3010"/>
      <c r="P67" s="2058"/>
      <c r="Q67" s="1822"/>
    </row>
    <row r="68" spans="1:17" ht="15" thickTop="1">
      <c r="A68" s="1854"/>
      <c r="B68" s="1865" t="s">
        <v>2268</v>
      </c>
      <c r="C68" s="1866" t="str">
        <f>C69&amp;"（含）"&amp;"-"&amp;D69</f>
        <v>0（含）-1</v>
      </c>
      <c r="D68" s="1866" t="str">
        <f t="shared" ref="D68:L68" si="17">D69&amp;"（含）"&amp;"-"&amp;E69</f>
        <v>1（含）-2</v>
      </c>
      <c r="E68" s="1866" t="str">
        <f t="shared" si="17"/>
        <v>2（含）-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0"/>
      <c r="O68" s="3010"/>
      <c r="P68" s="2058"/>
      <c r="Q68" s="1822"/>
    </row>
    <row r="69" spans="1:17">
      <c r="A69" s="1854"/>
      <c r="B69" s="1867"/>
      <c r="C69" s="1868">
        <v>0</v>
      </c>
      <c r="D69" s="1868">
        <v>1</v>
      </c>
      <c r="E69" s="1868">
        <v>2</v>
      </c>
      <c r="F69" s="1868"/>
      <c r="G69" s="1868"/>
      <c r="H69" s="1868"/>
      <c r="I69" s="1868"/>
      <c r="J69" s="1868"/>
      <c r="K69" s="438"/>
      <c r="L69" s="438"/>
      <c r="M69" s="1869"/>
      <c r="N69" s="3009"/>
      <c r="O69" s="3009"/>
      <c r="P69" s="2058"/>
      <c r="Q69" s="1822"/>
    </row>
    <row r="70" spans="1:17" ht="14.4"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0"/>
      <c r="O70" s="3010"/>
      <c r="P70" s="2058"/>
      <c r="Q70" s="1822"/>
    </row>
    <row r="71" spans="1:17" s="1772" customFormat="1" ht="14.4" thickTop="1">
      <c r="A71" s="1870"/>
      <c r="B71" s="1859">
        <f>B12</f>
        <v>111</v>
      </c>
      <c r="C71" s="468"/>
      <c r="D71" s="468"/>
      <c r="E71" s="468"/>
      <c r="F71" s="468"/>
      <c r="G71" s="468"/>
      <c r="H71" s="443"/>
      <c r="I71" s="443"/>
      <c r="J71" s="443"/>
      <c r="K71" s="443"/>
      <c r="L71" s="443"/>
      <c r="M71" s="1871"/>
      <c r="N71" s="3011"/>
      <c r="O71" s="3011"/>
      <c r="P71" s="2059"/>
      <c r="Q71" s="1874"/>
    </row>
    <row r="72" spans="1:17" s="1772" customFormat="1" ht="14.4" thickBot="1">
      <c r="A72" s="1870"/>
      <c r="B72" s="1862"/>
      <c r="C72" s="1875"/>
      <c r="D72" s="1856"/>
      <c r="E72" s="1856"/>
      <c r="F72" s="1856"/>
      <c r="G72" s="1856"/>
      <c r="H72" s="1856"/>
      <c r="I72" s="1856"/>
      <c r="J72" s="1856"/>
      <c r="K72" s="1856"/>
      <c r="L72" s="1856"/>
      <c r="M72" s="1857"/>
      <c r="N72" s="3010"/>
      <c r="O72" s="3010"/>
      <c r="P72" s="2059"/>
      <c r="Q72" s="1874"/>
    </row>
    <row r="73" spans="1:17" s="1772" customFormat="1" ht="14.4" thickTop="1">
      <c r="A73" s="1870"/>
      <c r="B73" s="1859">
        <f>B13</f>
        <v>111</v>
      </c>
      <c r="C73" s="468"/>
      <c r="D73" s="468"/>
      <c r="E73" s="468"/>
      <c r="F73" s="468"/>
      <c r="G73" s="468"/>
      <c r="H73" s="443"/>
      <c r="I73" s="443"/>
      <c r="J73" s="443"/>
      <c r="K73" s="443"/>
      <c r="L73" s="443"/>
      <c r="M73" s="1871"/>
      <c r="N73" s="3011"/>
      <c r="O73" s="3011"/>
      <c r="P73" s="2060"/>
      <c r="Q73" s="1877"/>
    </row>
    <row r="74" spans="1:17" s="1772" customFormat="1" ht="14.4" thickBot="1">
      <c r="A74" s="1870"/>
      <c r="B74" s="1862"/>
      <c r="C74" s="1875"/>
      <c r="D74" s="1875"/>
      <c r="E74" s="1875"/>
      <c r="F74" s="1875"/>
      <c r="G74" s="1875"/>
      <c r="H74" s="1878"/>
      <c r="I74" s="1878"/>
      <c r="J74" s="1878"/>
      <c r="K74" s="1878"/>
      <c r="L74" s="1878"/>
      <c r="M74" s="1879"/>
      <c r="N74" s="3011"/>
      <c r="O74" s="3011"/>
      <c r="P74" s="2059"/>
      <c r="Q74" s="1874"/>
    </row>
    <row r="75" spans="1:17" s="1772" customFormat="1" ht="14.4" thickTop="1">
      <c r="A75" s="1870"/>
      <c r="B75" s="1865">
        <f>B14</f>
        <v>111</v>
      </c>
      <c r="C75" s="409"/>
      <c r="D75" s="409"/>
      <c r="E75" s="409"/>
      <c r="F75" s="409"/>
      <c r="G75" s="409"/>
      <c r="H75" s="453"/>
      <c r="I75" s="453"/>
      <c r="J75" s="453"/>
      <c r="K75" s="453"/>
      <c r="L75" s="453"/>
      <c r="M75" s="1880"/>
      <c r="N75" s="3011"/>
      <c r="O75" s="3011"/>
      <c r="P75" s="2059"/>
      <c r="Q75" s="1874"/>
    </row>
    <row r="76" spans="1:17" s="1772" customFormat="1" ht="14.4" thickBot="1">
      <c r="A76" s="1881"/>
      <c r="B76" s="1882"/>
      <c r="C76" s="1883"/>
      <c r="D76" s="1883"/>
      <c r="E76" s="1883"/>
      <c r="F76" s="1883"/>
      <c r="G76" s="1883"/>
      <c r="H76" s="1884"/>
      <c r="I76" s="1884"/>
      <c r="J76" s="1884"/>
      <c r="K76" s="1884"/>
      <c r="L76" s="1884"/>
      <c r="M76" s="1885"/>
      <c r="N76" s="3011"/>
      <c r="O76" s="3011"/>
      <c r="P76" s="2059"/>
      <c r="Q76" s="1874"/>
    </row>
    <row r="77" spans="1:17" ht="14.4">
      <c r="A77" s="1847" t="s">
        <v>2269</v>
      </c>
      <c r="B77" s="1848" t="s">
        <v>2395</v>
      </c>
      <c r="C77" s="1886" t="s">
        <v>2308</v>
      </c>
      <c r="D77" s="1886" t="s">
        <v>2309</v>
      </c>
      <c r="E77" s="1886" t="s">
        <v>2310</v>
      </c>
      <c r="F77" s="1886" t="s">
        <v>2311</v>
      </c>
      <c r="G77" s="1886" t="s">
        <v>2312</v>
      </c>
      <c r="H77" s="1849"/>
      <c r="I77" s="1849"/>
      <c r="J77" s="1849"/>
      <c r="K77" s="463"/>
      <c r="L77" s="463"/>
      <c r="M77" s="1887"/>
      <c r="N77" s="3009"/>
      <c r="O77" s="3009"/>
      <c r="P77" s="2058"/>
      <c r="Q77" s="1822"/>
    </row>
    <row r="78" spans="1:17" ht="14.4" thickBot="1">
      <c r="A78" s="1854"/>
      <c r="B78" s="1862"/>
      <c r="C78" s="1863">
        <v>100</v>
      </c>
      <c r="D78" s="1863">
        <f>C78-$K15</f>
        <v>98</v>
      </c>
      <c r="E78" s="1863">
        <f>D78-$K15</f>
        <v>96</v>
      </c>
      <c r="F78" s="1863">
        <f>E78-$K15</f>
        <v>94</v>
      </c>
      <c r="G78" s="1863">
        <f>F78-$K15</f>
        <v>92</v>
      </c>
      <c r="H78" s="1863"/>
      <c r="I78" s="1863"/>
      <c r="J78" s="1863"/>
      <c r="K78" s="1863"/>
      <c r="L78" s="1863"/>
      <c r="M78" s="1864"/>
      <c r="N78" s="3010"/>
      <c r="O78" s="3010"/>
      <c r="P78" s="2058"/>
      <c r="Q78" s="1822"/>
    </row>
    <row r="79" spans="1:17" ht="15" thickTop="1">
      <c r="A79" s="1854"/>
      <c r="B79" s="1859" t="s">
        <v>2313</v>
      </c>
      <c r="C79" s="579" t="s">
        <v>2308</v>
      </c>
      <c r="D79" s="579" t="s">
        <v>2309</v>
      </c>
      <c r="E79" s="579" t="s">
        <v>2310</v>
      </c>
      <c r="F79" s="579" t="s">
        <v>2311</v>
      </c>
      <c r="G79" s="579" t="s">
        <v>2312</v>
      </c>
      <c r="H79" s="1860"/>
      <c r="I79" s="1860"/>
      <c r="J79" s="1860"/>
      <c r="K79" s="428"/>
      <c r="L79" s="428"/>
      <c r="M79" s="1861"/>
      <c r="N79" s="3009"/>
      <c r="O79" s="3009"/>
      <c r="P79" s="2058"/>
      <c r="Q79" s="1822"/>
    </row>
    <row r="80" spans="1:17" ht="14.4" thickBot="1">
      <c r="A80" s="1854"/>
      <c r="B80" s="1862"/>
      <c r="C80" s="1863">
        <v>100</v>
      </c>
      <c r="D80" s="1863">
        <f>C80-$K17</f>
        <v>98</v>
      </c>
      <c r="E80" s="1863">
        <f>D80-$K17</f>
        <v>96</v>
      </c>
      <c r="F80" s="1863">
        <f>E80-$K17</f>
        <v>94</v>
      </c>
      <c r="G80" s="1863">
        <f>F80-$K17</f>
        <v>92</v>
      </c>
      <c r="H80" s="1863"/>
      <c r="I80" s="1863"/>
      <c r="J80" s="1863"/>
      <c r="K80" s="1863"/>
      <c r="L80" s="1863"/>
      <c r="M80" s="1864"/>
      <c r="N80" s="3010"/>
      <c r="O80" s="3010"/>
      <c r="P80" s="2058"/>
      <c r="Q80" s="1822"/>
    </row>
    <row r="81" spans="1:17" ht="15" thickTop="1">
      <c r="A81" s="1854"/>
      <c r="B81" s="1859" t="s">
        <v>2314</v>
      </c>
      <c r="C81" s="579" t="s">
        <v>2308</v>
      </c>
      <c r="D81" s="579" t="s">
        <v>2309</v>
      </c>
      <c r="E81" s="579" t="s">
        <v>2310</v>
      </c>
      <c r="F81" s="579" t="s">
        <v>2311</v>
      </c>
      <c r="G81" s="579" t="s">
        <v>2312</v>
      </c>
      <c r="H81" s="1860"/>
      <c r="I81" s="1860"/>
      <c r="J81" s="1860"/>
      <c r="K81" s="428"/>
      <c r="L81" s="428"/>
      <c r="M81" s="1861"/>
      <c r="N81" s="3009"/>
      <c r="O81" s="3009"/>
      <c r="P81" s="2058"/>
      <c r="Q81" s="1822"/>
    </row>
    <row r="82" spans="1:17" ht="14.4" thickBot="1">
      <c r="A82" s="1854"/>
      <c r="B82" s="1862"/>
      <c r="C82" s="1863">
        <v>100</v>
      </c>
      <c r="D82" s="1863">
        <f>C82-$K19</f>
        <v>98</v>
      </c>
      <c r="E82" s="1863">
        <f>D82-$K19</f>
        <v>96</v>
      </c>
      <c r="F82" s="1863">
        <f>E82-$K19</f>
        <v>94</v>
      </c>
      <c r="G82" s="1863">
        <f>F82-$K19</f>
        <v>92</v>
      </c>
      <c r="H82" s="1863"/>
      <c r="I82" s="1863"/>
      <c r="J82" s="1863"/>
      <c r="K82" s="1863"/>
      <c r="L82" s="1863"/>
      <c r="M82" s="1864"/>
      <c r="N82" s="3010"/>
      <c r="O82" s="3010"/>
      <c r="P82" s="2058"/>
      <c r="Q82" s="1822"/>
    </row>
    <row r="83" spans="1:17" ht="15" thickTop="1">
      <c r="A83" s="1854"/>
      <c r="B83" s="1865" t="s">
        <v>2357</v>
      </c>
      <c r="C83" s="1860" t="s">
        <v>2315</v>
      </c>
      <c r="D83" s="1860" t="s">
        <v>2316</v>
      </c>
      <c r="E83" s="1860" t="s">
        <v>2317</v>
      </c>
      <c r="F83" s="1860" t="s">
        <v>2318</v>
      </c>
      <c r="G83" s="1860" t="s">
        <v>2319</v>
      </c>
      <c r="H83" s="1860"/>
      <c r="I83" s="1860"/>
      <c r="J83" s="1860"/>
      <c r="K83" s="1860"/>
      <c r="L83" s="1860"/>
      <c r="M83" s="1888"/>
      <c r="N83" s="3010"/>
      <c r="O83" s="3010"/>
      <c r="P83" s="2058"/>
      <c r="Q83" s="1822"/>
    </row>
    <row r="84" spans="1:17" ht="14.4" thickBot="1">
      <c r="A84" s="1854"/>
      <c r="B84" s="1865"/>
      <c r="C84" s="1863">
        <v>100</v>
      </c>
      <c r="D84" s="1863">
        <f>C84-$K21</f>
        <v>98</v>
      </c>
      <c r="E84" s="1863">
        <f>D84-$K21</f>
        <v>96</v>
      </c>
      <c r="F84" s="1863">
        <f>E84-$K21</f>
        <v>94</v>
      </c>
      <c r="G84" s="1863">
        <f>F84-$K21</f>
        <v>92</v>
      </c>
      <c r="H84" s="1889"/>
      <c r="I84" s="1889"/>
      <c r="J84" s="1889"/>
      <c r="K84" s="1889"/>
      <c r="L84" s="1889"/>
      <c r="M84" s="1736"/>
      <c r="N84" s="3010"/>
      <c r="O84" s="3010"/>
      <c r="P84" s="2058"/>
      <c r="Q84" s="1822"/>
    </row>
    <row r="85" spans="1:17" ht="15" thickTop="1">
      <c r="A85" s="1854"/>
      <c r="B85" s="1859" t="s">
        <v>2396</v>
      </c>
      <c r="C85" s="579" t="s">
        <v>2308</v>
      </c>
      <c r="D85" s="579" t="s">
        <v>2309</v>
      </c>
      <c r="E85" s="579" t="s">
        <v>2310</v>
      </c>
      <c r="F85" s="579" t="s">
        <v>2311</v>
      </c>
      <c r="G85" s="579" t="s">
        <v>2312</v>
      </c>
      <c r="H85" s="1860"/>
      <c r="I85" s="1860"/>
      <c r="J85" s="1860"/>
      <c r="K85" s="428"/>
      <c r="L85" s="428"/>
      <c r="M85" s="1861"/>
      <c r="N85" s="3009"/>
      <c r="O85" s="3009"/>
      <c r="P85" s="2058"/>
      <c r="Q85" s="1822"/>
    </row>
    <row r="86" spans="1:17" ht="14.4" thickBot="1">
      <c r="A86" s="1854"/>
      <c r="B86" s="1862"/>
      <c r="C86" s="1863">
        <v>100</v>
      </c>
      <c r="D86" s="1863">
        <f>C86-$K23</f>
        <v>98</v>
      </c>
      <c r="E86" s="1863">
        <f>D86-$K23</f>
        <v>96</v>
      </c>
      <c r="F86" s="1863">
        <f>E86-$K23</f>
        <v>94</v>
      </c>
      <c r="G86" s="1863">
        <f>F86-$K23</f>
        <v>92</v>
      </c>
      <c r="H86" s="1863"/>
      <c r="I86" s="1863"/>
      <c r="J86" s="1863"/>
      <c r="K86" s="1863"/>
      <c r="L86" s="1863"/>
      <c r="M86" s="1864"/>
      <c r="N86" s="3010"/>
      <c r="O86" s="3010"/>
      <c r="P86" s="2058"/>
      <c r="Q86" s="1822"/>
    </row>
    <row r="87" spans="1:17" s="1685" customFormat="1" ht="29.4" thickTop="1">
      <c r="A87" s="1890"/>
      <c r="B87" s="1859" t="s">
        <v>2397</v>
      </c>
      <c r="C87" s="468"/>
      <c r="D87" s="468"/>
      <c r="E87" s="468"/>
      <c r="F87" s="468"/>
      <c r="G87" s="468"/>
      <c r="H87" s="468"/>
      <c r="I87" s="468"/>
      <c r="J87" s="468"/>
      <c r="K87" s="468"/>
      <c r="L87" s="468"/>
      <c r="M87" s="1891"/>
      <c r="N87" s="3008"/>
      <c r="O87" s="3008"/>
      <c r="P87" s="2058"/>
      <c r="Q87" s="1822"/>
    </row>
    <row r="88" spans="1:17" s="1685" customFormat="1" ht="14.4"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0"/>
      <c r="O88" s="3010"/>
      <c r="P88" s="2058"/>
      <c r="Q88" s="1822"/>
    </row>
    <row r="89" spans="1:17" s="1685" customFormat="1" ht="15" thickTop="1">
      <c r="A89" s="1890"/>
      <c r="B89" s="1859" t="str">
        <f>B27</f>
        <v>楼层</v>
      </c>
      <c r="C89" s="3159" t="s">
        <v>2911</v>
      </c>
      <c r="D89" s="3159" t="s">
        <v>2910</v>
      </c>
      <c r="E89" s="3159" t="s">
        <v>2913</v>
      </c>
      <c r="F89" s="1893"/>
      <c r="G89" s="468"/>
      <c r="H89" s="468"/>
      <c r="I89" s="468"/>
      <c r="J89" s="468"/>
      <c r="K89" s="468"/>
      <c r="L89" s="468"/>
      <c r="M89" s="1891"/>
      <c r="N89" s="3008"/>
      <c r="O89" s="3008"/>
      <c r="P89" s="2058"/>
      <c r="Q89" s="1822"/>
    </row>
    <row r="90" spans="1:17" s="1685" customFormat="1" ht="14.4" thickBot="1">
      <c r="A90" s="1890"/>
      <c r="B90" s="1862"/>
      <c r="C90" s="1892">
        <v>100</v>
      </c>
      <c r="D90" s="1863">
        <f>C90-$K27</f>
        <v>99</v>
      </c>
      <c r="E90" s="1863">
        <f t="shared" ref="E90:M90" si="20">D90-$K27</f>
        <v>98</v>
      </c>
      <c r="F90" s="1863">
        <f t="shared" si="20"/>
        <v>97</v>
      </c>
      <c r="G90" s="1863">
        <f t="shared" si="20"/>
        <v>96</v>
      </c>
      <c r="H90" s="1863">
        <f t="shared" si="20"/>
        <v>95</v>
      </c>
      <c r="I90" s="1863">
        <f t="shared" si="20"/>
        <v>94</v>
      </c>
      <c r="J90" s="1863">
        <f t="shared" si="20"/>
        <v>93</v>
      </c>
      <c r="K90" s="1863">
        <f t="shared" si="20"/>
        <v>92</v>
      </c>
      <c r="L90" s="1863">
        <f t="shared" si="20"/>
        <v>91</v>
      </c>
      <c r="M90" s="1863">
        <f t="shared" si="20"/>
        <v>90</v>
      </c>
      <c r="N90" s="3010"/>
      <c r="O90" s="3010"/>
      <c r="P90" s="2058"/>
      <c r="Q90" s="1822"/>
    </row>
    <row r="91" spans="1:17" s="1772" customFormat="1" ht="14.4" thickTop="1">
      <c r="A91" s="1870"/>
      <c r="B91" s="1859" t="str">
        <f>B28</f>
        <v>朝向</v>
      </c>
      <c r="C91" s="468"/>
      <c r="D91" s="468"/>
      <c r="E91" s="468"/>
      <c r="F91" s="468"/>
      <c r="G91" s="468"/>
      <c r="H91" s="443"/>
      <c r="I91" s="443"/>
      <c r="J91" s="443"/>
      <c r="K91" s="443"/>
      <c r="L91" s="443"/>
      <c r="M91" s="1871"/>
      <c r="N91" s="3011"/>
      <c r="O91" s="3011"/>
      <c r="P91" s="2059"/>
      <c r="Q91" s="1874"/>
    </row>
    <row r="92" spans="1:17" s="1772" customFormat="1" ht="14.4"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1"/>
      <c r="O92" s="3011"/>
      <c r="P92" s="2059"/>
      <c r="Q92" s="1874"/>
    </row>
    <row r="93" spans="1:17" ht="14.4" thickTop="1">
      <c r="A93" s="1854"/>
      <c r="B93" s="1859">
        <f>B29</f>
        <v>111</v>
      </c>
      <c r="C93" s="468"/>
      <c r="D93" s="468"/>
      <c r="E93" s="468"/>
      <c r="F93" s="468"/>
      <c r="G93" s="468"/>
      <c r="H93" s="468"/>
      <c r="I93" s="468"/>
      <c r="J93" s="468"/>
      <c r="K93" s="468"/>
      <c r="L93" s="468"/>
      <c r="M93" s="1891"/>
      <c r="N93" s="3009"/>
      <c r="O93" s="3009"/>
      <c r="P93" s="2058"/>
      <c r="Q93" s="1822"/>
    </row>
    <row r="94" spans="1:17" ht="14.4" thickBot="1">
      <c r="A94" s="1854"/>
      <c r="B94" s="1862"/>
      <c r="C94" s="1875"/>
      <c r="D94" s="1856"/>
      <c r="E94" s="1856"/>
      <c r="F94" s="1856"/>
      <c r="G94" s="1856"/>
      <c r="H94" s="1856"/>
      <c r="I94" s="1856"/>
      <c r="J94" s="1856"/>
      <c r="K94" s="1856"/>
      <c r="L94" s="1856"/>
      <c r="M94" s="1857"/>
      <c r="N94" s="3010"/>
      <c r="O94" s="3010"/>
      <c r="P94" s="2058"/>
      <c r="Q94" s="1822"/>
    </row>
    <row r="95" spans="1:17" ht="14.4" thickTop="1">
      <c r="A95" s="1854"/>
      <c r="B95" s="1859">
        <f>B30</f>
        <v>111</v>
      </c>
      <c r="C95" s="468"/>
      <c r="D95" s="468"/>
      <c r="E95" s="468"/>
      <c r="F95" s="468"/>
      <c r="G95" s="1578"/>
      <c r="H95" s="1578"/>
      <c r="I95" s="1578"/>
      <c r="J95" s="1578"/>
      <c r="K95" s="473"/>
      <c r="L95" s="473"/>
      <c r="M95" s="1894"/>
      <c r="N95" s="3009"/>
      <c r="O95" s="3009"/>
      <c r="P95" s="2058"/>
      <c r="Q95" s="1822"/>
    </row>
    <row r="96" spans="1:17" ht="14.4" thickBot="1">
      <c r="A96" s="1854"/>
      <c r="B96" s="1862"/>
      <c r="C96" s="1875"/>
      <c r="D96" s="1875"/>
      <c r="E96" s="1875"/>
      <c r="F96" s="1875"/>
      <c r="G96" s="1856"/>
      <c r="H96" s="1856"/>
      <c r="I96" s="1856"/>
      <c r="J96" s="1856"/>
      <c r="K96" s="1856"/>
      <c r="L96" s="1856"/>
      <c r="M96" s="1857"/>
      <c r="N96" s="3010"/>
      <c r="O96" s="3010"/>
      <c r="P96" s="2058"/>
      <c r="Q96" s="1822"/>
    </row>
    <row r="97" spans="1:17" ht="14.4" thickTop="1">
      <c r="A97" s="1854"/>
      <c r="B97" s="1859">
        <f>B31</f>
        <v>111</v>
      </c>
      <c r="C97" s="468"/>
      <c r="D97" s="468"/>
      <c r="E97" s="468"/>
      <c r="F97" s="468"/>
      <c r="G97" s="1578"/>
      <c r="H97" s="1578"/>
      <c r="I97" s="1578"/>
      <c r="J97" s="1578"/>
      <c r="K97" s="473"/>
      <c r="L97" s="473"/>
      <c r="M97" s="1894"/>
      <c r="N97" s="3009"/>
      <c r="O97" s="3009"/>
      <c r="P97" s="2058"/>
      <c r="Q97" s="1822"/>
    </row>
    <row r="98" spans="1:17" ht="14.4" thickBot="1">
      <c r="A98" s="1854"/>
      <c r="B98" s="1862"/>
      <c r="C98" s="1875"/>
      <c r="D98" s="1856"/>
      <c r="E98" s="1856"/>
      <c r="F98" s="1856"/>
      <c r="G98" s="1856"/>
      <c r="H98" s="1856"/>
      <c r="I98" s="1856"/>
      <c r="J98" s="1856"/>
      <c r="K98" s="1856"/>
      <c r="L98" s="1856"/>
      <c r="M98" s="1857"/>
      <c r="N98" s="3010"/>
      <c r="O98" s="3010"/>
      <c r="P98" s="2058"/>
      <c r="Q98" s="1822"/>
    </row>
    <row r="99" spans="1:17" ht="14.4" thickTop="1">
      <c r="A99" s="1854"/>
      <c r="B99" s="1865">
        <f>B32</f>
        <v>111</v>
      </c>
      <c r="C99" s="409"/>
      <c r="D99" s="409"/>
      <c r="E99" s="409"/>
      <c r="F99" s="409"/>
      <c r="G99" s="1895"/>
      <c r="H99" s="1895"/>
      <c r="I99" s="1895"/>
      <c r="J99" s="1895"/>
      <c r="K99" s="477"/>
      <c r="L99" s="477"/>
      <c r="M99" s="1896"/>
      <c r="N99" s="3009"/>
      <c r="O99" s="3009"/>
      <c r="P99" s="2058"/>
      <c r="Q99" s="1822"/>
    </row>
    <row r="100" spans="1:17" ht="14.4" thickBot="1">
      <c r="A100" s="1897"/>
      <c r="B100" s="1882"/>
      <c r="C100" s="1883"/>
      <c r="D100" s="1883"/>
      <c r="E100" s="1883"/>
      <c r="F100" s="1883"/>
      <c r="G100" s="1898"/>
      <c r="H100" s="1898"/>
      <c r="I100" s="1898"/>
      <c r="J100" s="1898"/>
      <c r="K100" s="1898"/>
      <c r="L100" s="1898"/>
      <c r="M100" s="1899"/>
      <c r="N100" s="3010"/>
      <c r="O100" s="3010"/>
      <c r="P100" s="2058"/>
      <c r="Q100" s="1822"/>
    </row>
    <row r="101" spans="1:17" ht="28.8">
      <c r="A101" s="1847" t="s">
        <v>2274</v>
      </c>
      <c r="B101" s="1848" t="s">
        <v>2323</v>
      </c>
      <c r="C101" s="3157" t="s">
        <v>2907</v>
      </c>
      <c r="D101" s="3157" t="s">
        <v>2909</v>
      </c>
      <c r="E101" s="1850"/>
      <c r="F101" s="1850"/>
      <c r="G101" s="1850"/>
      <c r="H101" s="1850"/>
      <c r="I101" s="1850"/>
      <c r="J101" s="1850"/>
      <c r="K101" s="417"/>
      <c r="L101" s="417"/>
      <c r="M101" s="1851"/>
      <c r="N101" s="3009"/>
      <c r="O101" s="3009"/>
      <c r="P101" s="2058"/>
      <c r="Q101" s="1822"/>
    </row>
    <row r="102" spans="1:17" ht="14.4" thickBot="1">
      <c r="A102" s="1854"/>
      <c r="B102" s="1862"/>
      <c r="C102" s="1863">
        <v>100</v>
      </c>
      <c r="D102" s="1863">
        <f t="shared" ref="D102:M102" si="22">C102-$K33</f>
        <v>99</v>
      </c>
      <c r="E102" s="1863">
        <f t="shared" si="22"/>
        <v>98</v>
      </c>
      <c r="F102" s="1863">
        <f t="shared" si="22"/>
        <v>97</v>
      </c>
      <c r="G102" s="1863">
        <f t="shared" si="22"/>
        <v>96</v>
      </c>
      <c r="H102" s="1863">
        <f t="shared" si="22"/>
        <v>95</v>
      </c>
      <c r="I102" s="1863">
        <f t="shared" si="22"/>
        <v>94</v>
      </c>
      <c r="J102" s="1863">
        <f t="shared" si="22"/>
        <v>93</v>
      </c>
      <c r="K102" s="1863">
        <f t="shared" si="22"/>
        <v>92</v>
      </c>
      <c r="L102" s="1863">
        <f t="shared" si="22"/>
        <v>91</v>
      </c>
      <c r="M102" s="1864">
        <f t="shared" si="22"/>
        <v>90</v>
      </c>
      <c r="N102" s="3010"/>
      <c r="O102" s="3010"/>
      <c r="P102" s="2058"/>
      <c r="Q102" s="1822"/>
    </row>
    <row r="103" spans="1:17" ht="15" thickTop="1">
      <c r="A103" s="1854"/>
      <c r="B103" s="1859" t="s">
        <v>2324</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2061" t="str">
        <f>M104&amp;"(含)"&amp;"-"&amp;P104</f>
        <v>(含)-</v>
      </c>
      <c r="N103" s="3008"/>
      <c r="O103" s="3008"/>
      <c r="P103" s="2058"/>
      <c r="Q103" s="1822"/>
    </row>
    <row r="104" spans="1:17" s="1772" customFormat="1">
      <c r="A104" s="1900"/>
      <c r="B104" s="1901"/>
      <c r="C104" s="1902">
        <v>0</v>
      </c>
      <c r="D104" s="1902">
        <v>200</v>
      </c>
      <c r="E104" s="1902">
        <v>400</v>
      </c>
      <c r="F104" s="1902">
        <v>600</v>
      </c>
      <c r="G104" s="1902">
        <v>800</v>
      </c>
      <c r="H104" s="1902"/>
      <c r="I104" s="1902"/>
      <c r="J104" s="485"/>
      <c r="K104" s="485"/>
      <c r="L104" s="485"/>
      <c r="M104" s="1903"/>
      <c r="N104" s="3011"/>
      <c r="O104" s="3011"/>
      <c r="P104" s="2059"/>
      <c r="Q104" s="1874"/>
    </row>
    <row r="105" spans="1:17" s="1772" customFormat="1" ht="14.4" thickBot="1">
      <c r="A105" s="1870"/>
      <c r="B105" s="1862"/>
      <c r="C105" s="1875">
        <v>100</v>
      </c>
      <c r="D105" s="1856">
        <v>99</v>
      </c>
      <c r="E105" s="1856">
        <v>98</v>
      </c>
      <c r="F105" s="1856">
        <v>97</v>
      </c>
      <c r="G105" s="1856">
        <v>96</v>
      </c>
      <c r="H105" s="1856"/>
      <c r="I105" s="1856"/>
      <c r="J105" s="1856"/>
      <c r="K105" s="1856"/>
      <c r="L105" s="1856"/>
      <c r="M105" s="1857"/>
      <c r="N105" s="3010"/>
      <c r="O105" s="3010"/>
      <c r="P105" s="2059"/>
      <c r="Q105" s="1874"/>
    </row>
    <row r="106" spans="1:17" ht="15" thickTop="1">
      <c r="A106" s="1904"/>
      <c r="B106" s="1859" t="s">
        <v>2325</v>
      </c>
      <c r="C106" s="468"/>
      <c r="D106" s="468"/>
      <c r="E106" s="1578"/>
      <c r="F106" s="1578"/>
      <c r="G106" s="1578"/>
      <c r="H106" s="1578"/>
      <c r="I106" s="1578"/>
      <c r="J106" s="1578"/>
      <c r="K106" s="473"/>
      <c r="L106" s="473"/>
      <c r="M106" s="1894"/>
      <c r="N106" s="3009"/>
      <c r="O106" s="3009"/>
      <c r="P106" s="2058"/>
      <c r="Q106" s="1822"/>
    </row>
    <row r="107" spans="1:17" ht="14.4" thickBot="1">
      <c r="A107" s="1854"/>
      <c r="B107" s="1862"/>
      <c r="C107" s="1863">
        <v>100</v>
      </c>
      <c r="D107" s="1863">
        <f t="shared" ref="D107:M107" si="24">C107-$K35</f>
        <v>99</v>
      </c>
      <c r="E107" s="1863">
        <f t="shared" si="24"/>
        <v>98</v>
      </c>
      <c r="F107" s="1863">
        <f t="shared" si="24"/>
        <v>97</v>
      </c>
      <c r="G107" s="1863">
        <f t="shared" si="24"/>
        <v>96</v>
      </c>
      <c r="H107" s="1863">
        <f t="shared" si="24"/>
        <v>95</v>
      </c>
      <c r="I107" s="1863">
        <f t="shared" si="24"/>
        <v>94</v>
      </c>
      <c r="J107" s="1863">
        <f t="shared" si="24"/>
        <v>93</v>
      </c>
      <c r="K107" s="1863">
        <f t="shared" si="24"/>
        <v>92</v>
      </c>
      <c r="L107" s="1863">
        <f t="shared" si="24"/>
        <v>91</v>
      </c>
      <c r="M107" s="1864">
        <f t="shared" si="24"/>
        <v>90</v>
      </c>
      <c r="N107" s="3010"/>
      <c r="O107" s="3010"/>
      <c r="P107" s="2058"/>
      <c r="Q107" s="1822"/>
    </row>
    <row r="108" spans="1:17" ht="15" thickTop="1">
      <c r="A108" s="1904"/>
      <c r="B108" s="1859" t="s">
        <v>2327</v>
      </c>
      <c r="C108" s="468"/>
      <c r="D108" s="468"/>
      <c r="E108" s="468"/>
      <c r="F108" s="1578"/>
      <c r="G108" s="1578"/>
      <c r="H108" s="1578"/>
      <c r="I108" s="1578"/>
      <c r="J108" s="1578"/>
      <c r="K108" s="473"/>
      <c r="L108" s="473"/>
      <c r="M108" s="1894"/>
      <c r="N108" s="3009"/>
      <c r="O108" s="3009"/>
      <c r="P108" s="2058"/>
      <c r="Q108" s="1822"/>
    </row>
    <row r="109" spans="1:17" ht="14.4" thickBot="1">
      <c r="A109" s="1854"/>
      <c r="B109" s="1862"/>
      <c r="C109" s="1863">
        <v>100</v>
      </c>
      <c r="D109" s="1863">
        <f t="shared" ref="D109:M109" si="25">C109-$K36</f>
        <v>99</v>
      </c>
      <c r="E109" s="1863">
        <f t="shared" si="25"/>
        <v>98</v>
      </c>
      <c r="F109" s="1863">
        <f t="shared" si="25"/>
        <v>97</v>
      </c>
      <c r="G109" s="1863">
        <f t="shared" si="25"/>
        <v>96</v>
      </c>
      <c r="H109" s="1863">
        <f t="shared" si="25"/>
        <v>95</v>
      </c>
      <c r="I109" s="1863">
        <f t="shared" si="25"/>
        <v>94</v>
      </c>
      <c r="J109" s="1863">
        <f t="shared" si="25"/>
        <v>93</v>
      </c>
      <c r="K109" s="1863">
        <f t="shared" si="25"/>
        <v>92</v>
      </c>
      <c r="L109" s="1863">
        <f t="shared" si="25"/>
        <v>91</v>
      </c>
      <c r="M109" s="1864">
        <f t="shared" si="25"/>
        <v>90</v>
      </c>
      <c r="N109" s="3010"/>
      <c r="O109" s="3010"/>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09"/>
      <c r="O110" s="3009"/>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09"/>
      <c r="O111" s="3009"/>
      <c r="P111" s="2058"/>
      <c r="Q111" s="1822"/>
    </row>
    <row r="112" spans="1:17" ht="14.4" thickBot="1">
      <c r="A112" s="1854"/>
      <c r="B112" s="1862"/>
      <c r="C112" s="1892">
        <v>100</v>
      </c>
      <c r="D112" s="1863">
        <f>C112+$K37</f>
        <v>101</v>
      </c>
      <c r="E112" s="1863">
        <f t="shared" ref="E112:M112" si="26">D112+$K37</f>
        <v>102</v>
      </c>
      <c r="F112" s="1863">
        <f t="shared" si="26"/>
        <v>103</v>
      </c>
      <c r="G112" s="1863">
        <f t="shared" si="26"/>
        <v>104</v>
      </c>
      <c r="H112" s="1863">
        <f t="shared" si="26"/>
        <v>105</v>
      </c>
      <c r="I112" s="1863">
        <f t="shared" si="26"/>
        <v>106</v>
      </c>
      <c r="J112" s="1863">
        <f t="shared" si="26"/>
        <v>107</v>
      </c>
      <c r="K112" s="1863">
        <f t="shared" si="26"/>
        <v>108</v>
      </c>
      <c r="L112" s="1863">
        <f t="shared" si="26"/>
        <v>109</v>
      </c>
      <c r="M112" s="1863">
        <f t="shared" si="26"/>
        <v>110</v>
      </c>
      <c r="N112" s="3010"/>
      <c r="O112" s="3010"/>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1"/>
      <c r="O113" s="3011"/>
      <c r="P113" s="2059"/>
      <c r="Q113" s="1874"/>
    </row>
    <row r="114" spans="1:17" s="1772" customFormat="1" ht="14.4"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1"/>
      <c r="O114" s="3011"/>
      <c r="P114" s="2059"/>
      <c r="Q114" s="1874"/>
    </row>
    <row r="115" spans="1:17" ht="15" thickTop="1">
      <c r="A115" s="1904"/>
      <c r="B115" s="1859" t="s">
        <v>2329</v>
      </c>
      <c r="C115" s="468"/>
      <c r="D115" s="468"/>
      <c r="E115" s="1578"/>
      <c r="F115" s="1578"/>
      <c r="G115" s="1578"/>
      <c r="H115" s="1578"/>
      <c r="I115" s="1578"/>
      <c r="J115" s="1578"/>
      <c r="K115" s="473"/>
      <c r="L115" s="473"/>
      <c r="M115" s="1894"/>
      <c r="N115" s="3009"/>
      <c r="O115" s="3009"/>
      <c r="P115" s="2058"/>
      <c r="Q115" s="1822"/>
    </row>
    <row r="116" spans="1:17" ht="14.4"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0"/>
      <c r="O116" s="3010"/>
      <c r="P116" s="2058"/>
      <c r="Q116" s="1822"/>
    </row>
    <row r="117" spans="1:17" ht="15" thickTop="1">
      <c r="A117" s="1904"/>
      <c r="B117" s="1859" t="s">
        <v>2330</v>
      </c>
      <c r="C117" s="468"/>
      <c r="D117" s="468"/>
      <c r="E117" s="468"/>
      <c r="F117" s="468"/>
      <c r="G117" s="468"/>
      <c r="H117" s="1578"/>
      <c r="I117" s="1578"/>
      <c r="J117" s="1578"/>
      <c r="K117" s="473"/>
      <c r="L117" s="473"/>
      <c r="M117" s="1894"/>
      <c r="N117" s="3009"/>
      <c r="O117" s="3009"/>
      <c r="P117" s="2058"/>
      <c r="Q117" s="1822"/>
    </row>
    <row r="118" spans="1:17" ht="14.4"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0"/>
      <c r="O118" s="3010"/>
      <c r="P118" s="2058"/>
      <c r="Q118" s="1822"/>
    </row>
    <row r="119" spans="1:17" ht="15" thickTop="1">
      <c r="A119" s="1904"/>
      <c r="B119" s="2506" t="s">
        <v>2399</v>
      </c>
      <c r="C119" s="1578"/>
      <c r="D119" s="1578"/>
      <c r="E119" s="1578"/>
      <c r="F119" s="1578"/>
      <c r="G119" s="1578"/>
      <c r="H119" s="1578"/>
      <c r="I119" s="1578"/>
      <c r="J119" s="1578"/>
      <c r="K119" s="1578"/>
      <c r="L119" s="1578"/>
      <c r="M119" s="2507"/>
      <c r="N119" s="3010"/>
      <c r="O119" s="3010"/>
      <c r="P119" s="2508"/>
      <c r="Q119" s="2509"/>
    </row>
    <row r="120" spans="1:17" ht="14.4" thickBot="1">
      <c r="A120" s="1854"/>
      <c r="B120" s="1862"/>
      <c r="C120" s="1892">
        <v>100</v>
      </c>
      <c r="D120" s="1863">
        <f>C120-$K41</f>
        <v>99</v>
      </c>
      <c r="E120" s="1863">
        <f t="shared" ref="E120:M120" si="29">D120-$K41</f>
        <v>98</v>
      </c>
      <c r="F120" s="1863">
        <f t="shared" si="29"/>
        <v>97</v>
      </c>
      <c r="G120" s="1863">
        <f t="shared" si="29"/>
        <v>96</v>
      </c>
      <c r="H120" s="1863">
        <f t="shared" si="29"/>
        <v>95</v>
      </c>
      <c r="I120" s="1863">
        <f t="shared" si="29"/>
        <v>94</v>
      </c>
      <c r="J120" s="1863">
        <f t="shared" si="29"/>
        <v>93</v>
      </c>
      <c r="K120" s="1863">
        <f t="shared" si="29"/>
        <v>92</v>
      </c>
      <c r="L120" s="1863">
        <f t="shared" si="29"/>
        <v>91</v>
      </c>
      <c r="M120" s="1863">
        <f t="shared" si="29"/>
        <v>90</v>
      </c>
      <c r="N120" s="3010"/>
      <c r="O120" s="3010"/>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1"/>
      <c r="O121" s="3011"/>
      <c r="P121" s="2059"/>
      <c r="Q121" s="1874"/>
    </row>
    <row r="122" spans="1:17" s="1772" customFormat="1" ht="14.4" thickBot="1">
      <c r="A122" s="1870"/>
      <c r="B122" s="1855"/>
      <c r="C122" s="1875"/>
      <c r="D122" s="1875"/>
      <c r="E122" s="1875"/>
      <c r="F122" s="1875"/>
      <c r="G122" s="1875"/>
      <c r="H122" s="1875"/>
      <c r="I122" s="1875"/>
      <c r="J122" s="1875"/>
      <c r="K122" s="1875"/>
      <c r="L122" s="1875"/>
      <c r="M122" s="1875"/>
      <c r="N122" s="3011"/>
      <c r="O122" s="3011"/>
      <c r="P122" s="2059"/>
      <c r="Q122" s="1874"/>
    </row>
    <row r="123" spans="1:17" ht="15" thickTop="1">
      <c r="A123" s="1904"/>
      <c r="B123" s="1859" t="s">
        <v>2332</v>
      </c>
      <c r="C123" s="3159" t="s">
        <v>2919</v>
      </c>
      <c r="D123" s="3159" t="s">
        <v>2920</v>
      </c>
      <c r="E123" s="3159" t="s">
        <v>2921</v>
      </c>
      <c r="F123" s="3162" t="s">
        <v>2922</v>
      </c>
      <c r="G123" s="1578"/>
      <c r="H123" s="1578"/>
      <c r="I123" s="1578"/>
      <c r="J123" s="1578"/>
      <c r="K123" s="473"/>
      <c r="L123" s="473"/>
      <c r="M123" s="1894"/>
      <c r="N123" s="3009"/>
      <c r="O123" s="3009"/>
      <c r="P123" s="2058"/>
      <c r="Q123" s="1822"/>
    </row>
    <row r="124" spans="1:17" ht="14.4" thickBot="1">
      <c r="A124" s="1854"/>
      <c r="B124" s="1862"/>
      <c r="C124" s="1863">
        <v>100</v>
      </c>
      <c r="D124" s="1863">
        <f t="shared" ref="D124:M124" si="30">C124-$K43</f>
        <v>98</v>
      </c>
      <c r="E124" s="1863">
        <f t="shared" si="30"/>
        <v>96</v>
      </c>
      <c r="F124" s="1863">
        <f t="shared" si="30"/>
        <v>94</v>
      </c>
      <c r="G124" s="1863">
        <f t="shared" si="30"/>
        <v>92</v>
      </c>
      <c r="H124" s="1863">
        <f t="shared" si="30"/>
        <v>90</v>
      </c>
      <c r="I124" s="1863">
        <f t="shared" si="30"/>
        <v>88</v>
      </c>
      <c r="J124" s="1863">
        <f t="shared" si="30"/>
        <v>86</v>
      </c>
      <c r="K124" s="1863">
        <f t="shared" si="30"/>
        <v>84</v>
      </c>
      <c r="L124" s="1863">
        <f t="shared" si="30"/>
        <v>82</v>
      </c>
      <c r="M124" s="1864">
        <f t="shared" si="30"/>
        <v>80</v>
      </c>
      <c r="N124" s="3010"/>
      <c r="O124" s="3010"/>
      <c r="P124" s="2058"/>
      <c r="Q124" s="1822"/>
    </row>
    <row r="125" spans="1:17" ht="29.4" thickTop="1">
      <c r="A125" s="1904"/>
      <c r="B125" s="1859" t="s">
        <v>2333</v>
      </c>
      <c r="C125" s="579" t="s">
        <v>2308</v>
      </c>
      <c r="D125" s="579" t="s">
        <v>2309</v>
      </c>
      <c r="E125" s="579" t="s">
        <v>2310</v>
      </c>
      <c r="F125" s="579" t="s">
        <v>2311</v>
      </c>
      <c r="G125" s="579" t="s">
        <v>2312</v>
      </c>
      <c r="H125" s="1860"/>
      <c r="I125" s="1860"/>
      <c r="J125" s="1860"/>
      <c r="K125" s="428"/>
      <c r="L125" s="428"/>
      <c r="M125" s="1861"/>
      <c r="N125" s="3009"/>
      <c r="O125" s="3009"/>
      <c r="P125" s="2059"/>
      <c r="Q125" s="1822"/>
    </row>
    <row r="126" spans="1:17" ht="14.4" thickBot="1">
      <c r="A126" s="1854"/>
      <c r="B126" s="1862"/>
      <c r="C126" s="1863">
        <v>100</v>
      </c>
      <c r="D126" s="1863">
        <f>C126-$K44</f>
        <v>99</v>
      </c>
      <c r="E126" s="1863">
        <f>D126-$K44</f>
        <v>98</v>
      </c>
      <c r="F126" s="1863">
        <f>E126-$K44</f>
        <v>97</v>
      </c>
      <c r="G126" s="1863">
        <f>F126-$K44</f>
        <v>96</v>
      </c>
      <c r="H126" s="1863"/>
      <c r="I126" s="1863"/>
      <c r="J126" s="1863"/>
      <c r="K126" s="1863"/>
      <c r="L126" s="1863"/>
      <c r="M126" s="1864"/>
      <c r="N126" s="3010"/>
      <c r="O126" s="3010"/>
      <c r="P126" s="2058"/>
      <c r="Q126" s="1822"/>
    </row>
    <row r="127" spans="1:17" s="1772" customFormat="1" ht="14.4" thickTop="1">
      <c r="A127" s="1900"/>
      <c r="B127" s="1859">
        <f>B45</f>
        <v>111</v>
      </c>
      <c r="C127" s="468"/>
      <c r="D127" s="468"/>
      <c r="E127" s="468"/>
      <c r="F127" s="468"/>
      <c r="G127" s="468"/>
      <c r="H127" s="443"/>
      <c r="I127" s="443"/>
      <c r="J127" s="443"/>
      <c r="K127" s="443"/>
      <c r="L127" s="443"/>
      <c r="M127" s="1871"/>
      <c r="N127" s="3011"/>
      <c r="O127" s="3011"/>
      <c r="P127" s="2059"/>
      <c r="Q127" s="1874"/>
    </row>
    <row r="128" spans="1:17" s="1772" customFormat="1" ht="14.4" thickBot="1">
      <c r="A128" s="1870"/>
      <c r="B128" s="1862"/>
      <c r="C128" s="1875"/>
      <c r="D128" s="1856"/>
      <c r="E128" s="1856"/>
      <c r="F128" s="1856"/>
      <c r="G128" s="1875"/>
      <c r="H128" s="1878"/>
      <c r="I128" s="1878"/>
      <c r="J128" s="1878"/>
      <c r="K128" s="1878"/>
      <c r="L128" s="1878"/>
      <c r="M128" s="1879"/>
      <c r="N128" s="3011"/>
      <c r="O128" s="3011"/>
      <c r="P128" s="2059"/>
      <c r="Q128" s="1874"/>
    </row>
    <row r="129" spans="1:17" ht="14.4" thickTop="1">
      <c r="A129" s="1904"/>
      <c r="B129" s="1859">
        <f>B46</f>
        <v>111</v>
      </c>
      <c r="C129" s="468"/>
      <c r="D129" s="468"/>
      <c r="E129" s="468"/>
      <c r="F129" s="468"/>
      <c r="G129" s="1578"/>
      <c r="H129" s="1578"/>
      <c r="I129" s="1578"/>
      <c r="J129" s="1578"/>
      <c r="K129" s="473"/>
      <c r="L129" s="473"/>
      <c r="M129" s="1894"/>
      <c r="N129" s="3009"/>
      <c r="O129" s="3009"/>
      <c r="P129" s="2058"/>
      <c r="Q129" s="1822"/>
    </row>
    <row r="130" spans="1:17" ht="14.4" thickBot="1">
      <c r="A130" s="1854"/>
      <c r="B130" s="1862"/>
      <c r="C130" s="1875"/>
      <c r="D130" s="1875"/>
      <c r="E130" s="1875"/>
      <c r="F130" s="1875"/>
      <c r="G130" s="1856"/>
      <c r="H130" s="1856"/>
      <c r="I130" s="1856"/>
      <c r="J130" s="1856"/>
      <c r="K130" s="1856"/>
      <c r="L130" s="1856"/>
      <c r="M130" s="1857"/>
      <c r="N130" s="3010"/>
      <c r="O130" s="3010"/>
      <c r="P130" s="2058"/>
      <c r="Q130" s="1822"/>
    </row>
    <row r="131" spans="1:17" ht="14.4" thickTop="1">
      <c r="A131" s="1904"/>
      <c r="B131" s="1865">
        <f>B47</f>
        <v>0.98</v>
      </c>
      <c r="C131" s="409"/>
      <c r="D131" s="409"/>
      <c r="E131" s="409"/>
      <c r="F131" s="409"/>
      <c r="G131" s="1895"/>
      <c r="H131" s="1895"/>
      <c r="I131" s="1895"/>
      <c r="J131" s="1895"/>
      <c r="K131" s="409"/>
      <c r="L131" s="409"/>
      <c r="M131" s="1896"/>
      <c r="N131" s="3009"/>
      <c r="O131" s="3009"/>
      <c r="P131" s="2058"/>
      <c r="Q131" s="1822"/>
    </row>
    <row r="132" spans="1:17" ht="14.4" thickBot="1">
      <c r="A132" s="2510"/>
      <c r="B132" s="1882"/>
      <c r="C132" s="1883"/>
      <c r="D132" s="1883"/>
      <c r="E132" s="1883"/>
      <c r="F132" s="1883"/>
      <c r="G132" s="1898"/>
      <c r="H132" s="1898"/>
      <c r="I132" s="1898"/>
      <c r="J132" s="1898"/>
      <c r="K132" s="1898"/>
      <c r="L132" s="1898"/>
      <c r="M132" s="1899"/>
      <c r="N132" s="3010"/>
      <c r="O132" s="301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3"/>
      <c r="I2" s="3013"/>
      <c r="J2" s="3013"/>
      <c r="K2" s="3013"/>
      <c r="L2" s="3014"/>
      <c r="M2" s="3015"/>
      <c r="N2" s="3015"/>
      <c r="O2" s="3015"/>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346.86</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8"/>
      <c r="M4" s="3019"/>
      <c r="N4" s="3019"/>
      <c r="O4" s="3019"/>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8"/>
      <c r="M5" s="3019"/>
      <c r="N5" s="3019"/>
      <c r="O5" s="3019"/>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8"/>
      <c r="M6" s="3019"/>
      <c r="N6" s="3019"/>
      <c r="O6" s="3019"/>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44393</v>
      </c>
      <c r="D7" s="304">
        <v>100</v>
      </c>
      <c r="E7" s="305"/>
      <c r="F7" s="306">
        <f>SUMIF(52:52,YEAR(E7)&amp;"-"&amp;MONTH(E7),53:53)</f>
        <v>0</v>
      </c>
      <c r="G7" s="305"/>
      <c r="H7" s="304">
        <f>SUMIF(52:52,YEAR(G7)&amp;"-"&amp;MONTH(G7),53:53)</f>
        <v>0</v>
      </c>
      <c r="I7" s="305"/>
      <c r="J7" s="304">
        <f>SUMIF(52:52,YEAR(I7)&amp;"-"&amp;MONTH(I7),53:53)</f>
        <v>0</v>
      </c>
      <c r="K7" s="497"/>
      <c r="L7" s="3020"/>
      <c r="M7" s="3021"/>
      <c r="N7" s="3021"/>
      <c r="O7" s="3021"/>
      <c r="P7" s="3490" t="s">
        <v>2259</v>
      </c>
      <c r="Q7" s="3498"/>
      <c r="R7" s="627" t="s">
        <v>25</v>
      </c>
      <c r="S7" s="628">
        <f t="shared" ref="S7:S15" si="0">F7</f>
        <v>0</v>
      </c>
      <c r="T7" s="627" t="s">
        <v>25</v>
      </c>
      <c r="U7" s="628">
        <f t="shared" ref="U7:U15" si="1">H7</f>
        <v>0</v>
      </c>
      <c r="V7" s="627" t="s">
        <v>25</v>
      </c>
      <c r="W7" s="628">
        <f t="shared" ref="W7:W15" si="2">J7</f>
        <v>0</v>
      </c>
      <c r="X7" s="629"/>
      <c r="Y7" s="3490" t="s">
        <v>2259</v>
      </c>
      <c r="Z7" s="3491"/>
      <c r="AA7" s="630" t="e">
        <f>D7/F7</f>
        <v>#DIV/0!</v>
      </c>
      <c r="AB7" s="630" t="e">
        <f>D7/H7</f>
        <v>#DIV/0!</v>
      </c>
      <c r="AC7" s="630" t="e">
        <f>D7/J7</f>
        <v>#DIV/0!</v>
      </c>
    </row>
    <row r="8" spans="1:29" s="25" customFormat="1" ht="1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0"/>
      <c r="M8" s="3021"/>
      <c r="N8" s="3021"/>
      <c r="O8" s="3021"/>
      <c r="P8" s="3490" t="s">
        <v>2262</v>
      </c>
      <c r="Q8" s="3491"/>
      <c r="R8" s="627" t="s">
        <v>25</v>
      </c>
      <c r="S8" s="628">
        <f t="shared" si="0"/>
        <v>0</v>
      </c>
      <c r="T8" s="627" t="s">
        <v>25</v>
      </c>
      <c r="U8" s="628">
        <f t="shared" si="1"/>
        <v>0</v>
      </c>
      <c r="V8" s="627" t="s">
        <v>25</v>
      </c>
      <c r="W8" s="628">
        <f t="shared" si="2"/>
        <v>0</v>
      </c>
      <c r="X8" s="629"/>
      <c r="Y8" s="3490" t="s">
        <v>2262</v>
      </c>
      <c r="Z8" s="3491"/>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0"/>
      <c r="M9" s="3021"/>
      <c r="N9" s="3021"/>
      <c r="O9" s="3022"/>
      <c r="P9" s="3482" t="s">
        <v>2265</v>
      </c>
      <c r="Q9" s="1327" t="str">
        <f t="shared" ref="Q9:Q15" si="6">B9</f>
        <v>用途</v>
      </c>
      <c r="R9" s="627" t="s">
        <v>25</v>
      </c>
      <c r="S9" s="628">
        <f t="shared" si="0"/>
        <v>100</v>
      </c>
      <c r="T9" s="627" t="s">
        <v>25</v>
      </c>
      <c r="U9" s="628">
        <f t="shared" si="1"/>
        <v>100</v>
      </c>
      <c r="V9" s="627" t="s">
        <v>25</v>
      </c>
      <c r="W9" s="628">
        <f t="shared" si="2"/>
        <v>100</v>
      </c>
      <c r="X9" s="629"/>
      <c r="Y9" s="3501"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3"/>
      <c r="M10" s="3024"/>
      <c r="N10" s="3024"/>
      <c r="O10" s="3025"/>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6"/>
      <c r="M11" s="3019"/>
      <c r="N11" s="3019"/>
      <c r="O11" s="3027"/>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0"/>
      <c r="M12" s="3021"/>
      <c r="N12" s="3021"/>
      <c r="O12" s="3022"/>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28"/>
      <c r="M13" s="3019"/>
      <c r="N13" s="3019"/>
      <c r="O13" s="3027"/>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28"/>
      <c r="M14" s="3019"/>
      <c r="N14" s="3019"/>
      <c r="O14" s="3027"/>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69">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8"/>
      <c r="M15" s="3019"/>
      <c r="N15" s="3019"/>
      <c r="O15" s="3027"/>
      <c r="P15" s="3499" t="s">
        <v>2270</v>
      </c>
      <c r="Q15" s="1334" t="str">
        <f t="shared" si="6"/>
        <v>产业集聚程度</v>
      </c>
      <c r="R15" s="631" t="s">
        <v>25</v>
      </c>
      <c r="S15" s="632">
        <f t="shared" si="0"/>
        <v>100</v>
      </c>
      <c r="T15" s="631" t="s">
        <v>25</v>
      </c>
      <c r="U15" s="632">
        <f t="shared" si="1"/>
        <v>100</v>
      </c>
      <c r="V15" s="631" t="s">
        <v>25</v>
      </c>
      <c r="W15" s="632">
        <f t="shared" si="2"/>
        <v>100</v>
      </c>
      <c r="X15" s="1335"/>
      <c r="Y15" s="3499"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8"/>
      <c r="M16" s="3019"/>
      <c r="N16" s="3019"/>
      <c r="O16" s="3027"/>
      <c r="P16" s="3500"/>
      <c r="Q16" s="1334"/>
      <c r="R16" s="631"/>
      <c r="S16" s="632"/>
      <c r="T16" s="631"/>
      <c r="U16" s="632"/>
      <c r="V16" s="631"/>
      <c r="W16" s="632"/>
      <c r="X16" s="1335"/>
      <c r="Y16" s="3500"/>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8"/>
      <c r="M17" s="3019"/>
      <c r="N17" s="3019"/>
      <c r="O17" s="3027"/>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28"/>
      <c r="M18" s="3019"/>
      <c r="N18" s="3019"/>
      <c r="O18" s="3027"/>
      <c r="P18" s="3500"/>
      <c r="Q18" s="1334"/>
      <c r="R18" s="631"/>
      <c r="S18" s="632"/>
      <c r="T18" s="631"/>
      <c r="U18" s="632"/>
      <c r="V18" s="631"/>
      <c r="W18" s="632"/>
      <c r="X18" s="1335"/>
      <c r="Y18" s="3500"/>
      <c r="Z18" s="1336"/>
      <c r="AA18" s="1337">
        <v>1</v>
      </c>
      <c r="AB18" s="1337">
        <v>1</v>
      </c>
      <c r="AC18" s="1337">
        <v>1</v>
      </c>
    </row>
    <row r="19" spans="1:29" ht="41.4">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8"/>
      <c r="M19" s="3019"/>
      <c r="N19" s="3019"/>
      <c r="O19" s="3027"/>
      <c r="P19" s="3500"/>
      <c r="Q19" s="1334" t="str">
        <f>B19</f>
        <v>公共配套设施</v>
      </c>
      <c r="R19" s="631" t="s">
        <v>25</v>
      </c>
      <c r="S19" s="632">
        <f>F19</f>
        <v>100</v>
      </c>
      <c r="T19" s="631" t="s">
        <v>25</v>
      </c>
      <c r="U19" s="632">
        <f>H19</f>
        <v>100</v>
      </c>
      <c r="V19" s="631" t="s">
        <v>25</v>
      </c>
      <c r="W19" s="632">
        <f>J19</f>
        <v>100</v>
      </c>
      <c r="X19" s="1335"/>
      <c r="Y19" s="350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28"/>
      <c r="M20" s="3019"/>
      <c r="N20" s="3019"/>
      <c r="O20" s="3027"/>
      <c r="P20" s="3500"/>
      <c r="Q20" s="1334"/>
      <c r="R20" s="631"/>
      <c r="S20" s="632"/>
      <c r="T20" s="631"/>
      <c r="U20" s="632"/>
      <c r="V20" s="631"/>
      <c r="W20" s="632"/>
      <c r="X20" s="1335"/>
      <c r="Y20" s="3500"/>
      <c r="Z20" s="1336"/>
      <c r="AA20" s="1337">
        <v>1</v>
      </c>
      <c r="AB20" s="1337">
        <v>1</v>
      </c>
      <c r="AC20" s="1337">
        <v>1</v>
      </c>
    </row>
    <row r="21" spans="1:29" ht="41.4">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8"/>
      <c r="M21" s="3019"/>
      <c r="N21" s="3019"/>
      <c r="O21" s="3027"/>
      <c r="P21" s="3500"/>
      <c r="Q21" s="1334" t="str">
        <f>B21</f>
        <v>基础设施水平</v>
      </c>
      <c r="R21" s="631" t="s">
        <v>25</v>
      </c>
      <c r="S21" s="632">
        <f>F21</f>
        <v>100</v>
      </c>
      <c r="T21" s="631" t="s">
        <v>25</v>
      </c>
      <c r="U21" s="632">
        <f>H21</f>
        <v>100</v>
      </c>
      <c r="V21" s="631" t="s">
        <v>25</v>
      </c>
      <c r="W21" s="632">
        <f>J21</f>
        <v>100</v>
      </c>
      <c r="X21" s="1335"/>
      <c r="Y21" s="350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28"/>
      <c r="M22" s="3019"/>
      <c r="N22" s="3019"/>
      <c r="O22" s="3027"/>
      <c r="P22" s="3500"/>
      <c r="Q22" s="1334"/>
      <c r="R22" s="631"/>
      <c r="S22" s="632"/>
      <c r="T22" s="631"/>
      <c r="U22" s="632"/>
      <c r="V22" s="631"/>
      <c r="W22" s="632"/>
      <c r="X22" s="1335"/>
      <c r="Y22" s="3500"/>
      <c r="Z22" s="1336"/>
      <c r="AA22" s="1337">
        <v>1</v>
      </c>
      <c r="AB22" s="1337">
        <v>1</v>
      </c>
      <c r="AC22" s="1337">
        <v>1</v>
      </c>
    </row>
    <row r="23" spans="1:29" ht="82.8">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8"/>
      <c r="M23" s="3019"/>
      <c r="N23" s="3019"/>
      <c r="O23" s="3027"/>
      <c r="P23" s="3500"/>
      <c r="Q23" s="1334" t="str">
        <f>B23</f>
        <v>环境质量</v>
      </c>
      <c r="R23" s="631" t="s">
        <v>25</v>
      </c>
      <c r="S23" s="632">
        <f>F23</f>
        <v>100</v>
      </c>
      <c r="T23" s="631" t="s">
        <v>25</v>
      </c>
      <c r="U23" s="632">
        <f>H23</f>
        <v>100</v>
      </c>
      <c r="V23" s="631" t="s">
        <v>25</v>
      </c>
      <c r="W23" s="632">
        <f>J23</f>
        <v>100</v>
      </c>
      <c r="X23" s="1335"/>
      <c r="Y23" s="350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28"/>
      <c r="M24" s="3019"/>
      <c r="N24" s="3019"/>
      <c r="O24" s="3027"/>
      <c r="P24" s="3500"/>
      <c r="Q24" s="1334"/>
      <c r="R24" s="631"/>
      <c r="S24" s="632"/>
      <c r="T24" s="631"/>
      <c r="U24" s="632"/>
      <c r="V24" s="631"/>
      <c r="W24" s="632"/>
      <c r="X24" s="1335"/>
      <c r="Y24" s="350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28"/>
      <c r="M25" s="3019"/>
      <c r="N25" s="3019"/>
      <c r="O25" s="3027"/>
      <c r="P25" s="3500"/>
      <c r="Q25" s="1334">
        <f>B25</f>
        <v>111</v>
      </c>
      <c r="R25" s="631" t="s">
        <v>25</v>
      </c>
      <c r="S25" s="632">
        <f>F25</f>
        <v>100</v>
      </c>
      <c r="T25" s="631" t="s">
        <v>25</v>
      </c>
      <c r="U25" s="632">
        <f>H25</f>
        <v>100</v>
      </c>
      <c r="V25" s="631" t="s">
        <v>25</v>
      </c>
      <c r="W25" s="632">
        <f>J25</f>
        <v>100</v>
      </c>
      <c r="X25" s="1335"/>
      <c r="Y25" s="350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28"/>
      <c r="M26" s="3019"/>
      <c r="N26" s="3019"/>
      <c r="O26" s="3027"/>
      <c r="P26" s="3500"/>
      <c r="Q26" s="1334">
        <f t="shared" ref="Q26:Q40" si="11">B26</f>
        <v>111</v>
      </c>
      <c r="R26" s="631" t="s">
        <v>25</v>
      </c>
      <c r="S26" s="632">
        <f>F26</f>
        <v>100</v>
      </c>
      <c r="T26" s="631" t="s">
        <v>25</v>
      </c>
      <c r="U26" s="632">
        <f>H26</f>
        <v>100</v>
      </c>
      <c r="V26" s="631" t="s">
        <v>25</v>
      </c>
      <c r="W26" s="632">
        <f>J26</f>
        <v>100</v>
      </c>
      <c r="X26" s="1335"/>
      <c r="Y26" s="350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0"/>
      <c r="M27" s="3021"/>
      <c r="N27" s="3021"/>
      <c r="O27" s="3022"/>
      <c r="P27" s="3500"/>
      <c r="Q27" s="1327">
        <f t="shared" si="11"/>
        <v>111</v>
      </c>
      <c r="R27" s="627" t="s">
        <v>25</v>
      </c>
      <c r="S27" s="628">
        <f>F27</f>
        <v>100</v>
      </c>
      <c r="T27" s="627" t="s">
        <v>25</v>
      </c>
      <c r="U27" s="628">
        <f>H27</f>
        <v>100</v>
      </c>
      <c r="V27" s="627" t="s">
        <v>25</v>
      </c>
      <c r="W27" s="628">
        <f>J27</f>
        <v>100</v>
      </c>
      <c r="X27" s="629"/>
      <c r="Y27" s="3500"/>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28"/>
      <c r="M28" s="3019"/>
      <c r="N28" s="3019"/>
      <c r="O28" s="3027"/>
      <c r="P28" s="3500"/>
      <c r="Q28" s="1334">
        <f t="shared" si="11"/>
        <v>111</v>
      </c>
      <c r="R28" s="631" t="s">
        <v>25</v>
      </c>
      <c r="S28" s="632">
        <f t="shared" ref="S28:S40" si="12">F28</f>
        <v>100</v>
      </c>
      <c r="T28" s="631" t="s">
        <v>25</v>
      </c>
      <c r="U28" s="632">
        <f t="shared" ref="U28:U40" si="13">H28</f>
        <v>100</v>
      </c>
      <c r="V28" s="631" t="s">
        <v>25</v>
      </c>
      <c r="W28" s="632">
        <f t="shared" ref="W28:W40" si="14">J28</f>
        <v>100</v>
      </c>
      <c r="X28" s="1335"/>
      <c r="Y28" s="3500"/>
      <c r="Z28" s="1336">
        <f t="shared" ref="Z28:Z40" si="15">Q28</f>
        <v>111</v>
      </c>
      <c r="AA28" s="1337">
        <f t="shared" si="3"/>
        <v>1</v>
      </c>
      <c r="AB28" s="1337">
        <f t="shared" si="4"/>
        <v>1</v>
      </c>
      <c r="AC28" s="1337">
        <f t="shared" si="5"/>
        <v>1</v>
      </c>
    </row>
    <row r="29" spans="1:29" ht="30">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28"/>
      <c r="M29" s="3019"/>
      <c r="N29" s="3019"/>
      <c r="O29" s="3027"/>
      <c r="P29" s="3487" t="s">
        <v>2276</v>
      </c>
      <c r="Q29" s="1334" t="str">
        <f t="shared" si="11"/>
        <v>建筑类型</v>
      </c>
      <c r="R29" s="631" t="s">
        <v>25</v>
      </c>
      <c r="S29" s="632">
        <f t="shared" si="12"/>
        <v>100</v>
      </c>
      <c r="T29" s="631" t="s">
        <v>25</v>
      </c>
      <c r="U29" s="632">
        <f t="shared" si="13"/>
        <v>100</v>
      </c>
      <c r="V29" s="631" t="s">
        <v>25</v>
      </c>
      <c r="W29" s="632">
        <f t="shared" si="14"/>
        <v>100</v>
      </c>
      <c r="X29" s="1335"/>
      <c r="Y29" s="3488"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6"/>
      <c r="M30" s="358"/>
      <c r="N30" s="358"/>
      <c r="O30" s="3029"/>
      <c r="P30" s="3488"/>
      <c r="Q30" s="633" t="str">
        <f t="shared" si="11"/>
        <v>项目建筑规模</v>
      </c>
      <c r="R30" s="634" t="s">
        <v>25</v>
      </c>
      <c r="S30" s="635" t="e">
        <f t="shared" si="12"/>
        <v>#N/A</v>
      </c>
      <c r="T30" s="634" t="s">
        <v>25</v>
      </c>
      <c r="U30" s="635" t="e">
        <f t="shared" si="13"/>
        <v>#N/A</v>
      </c>
      <c r="V30" s="634" t="s">
        <v>25</v>
      </c>
      <c r="W30" s="635" t="e">
        <f t="shared" si="14"/>
        <v>#N/A</v>
      </c>
      <c r="X30" s="636"/>
      <c r="Y30" s="3488"/>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8"/>
      <c r="M31" s="3019"/>
      <c r="N31" s="3019"/>
      <c r="O31" s="3027"/>
      <c r="P31" s="3488"/>
      <c r="Q31" s="1334" t="str">
        <f t="shared" si="11"/>
        <v>建筑结构</v>
      </c>
      <c r="R31" s="631" t="s">
        <v>25</v>
      </c>
      <c r="S31" s="632">
        <f t="shared" si="12"/>
        <v>100</v>
      </c>
      <c r="T31" s="631" t="s">
        <v>25</v>
      </c>
      <c r="U31" s="632">
        <f t="shared" si="13"/>
        <v>100</v>
      </c>
      <c r="V31" s="631" t="s">
        <v>25</v>
      </c>
      <c r="W31" s="632">
        <f t="shared" si="14"/>
        <v>100</v>
      </c>
      <c r="X31" s="1335"/>
      <c r="Y31" s="3488"/>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8"/>
      <c r="M32" s="3019"/>
      <c r="N32" s="3019"/>
      <c r="O32" s="3027"/>
      <c r="P32" s="3488"/>
      <c r="Q32" s="1334" t="str">
        <f t="shared" si="11"/>
        <v>公共部分装修</v>
      </c>
      <c r="R32" s="631" t="s">
        <v>25</v>
      </c>
      <c r="S32" s="632">
        <f t="shared" si="12"/>
        <v>100</v>
      </c>
      <c r="T32" s="631" t="s">
        <v>25</v>
      </c>
      <c r="U32" s="632">
        <f t="shared" si="13"/>
        <v>100</v>
      </c>
      <c r="V32" s="631" t="s">
        <v>25</v>
      </c>
      <c r="W32" s="632">
        <f t="shared" si="14"/>
        <v>100</v>
      </c>
      <c r="X32" s="1335"/>
      <c r="Y32" s="3488"/>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8"/>
      <c r="M33" s="3019"/>
      <c r="N33" s="3019"/>
      <c r="O33" s="3027"/>
      <c r="P33" s="3488"/>
      <c r="Q33" s="1334" t="str">
        <f t="shared" si="11"/>
        <v>成新度</v>
      </c>
      <c r="R33" s="631" t="s">
        <v>25</v>
      </c>
      <c r="S33" s="632" t="e">
        <f t="shared" si="12"/>
        <v>#N/A</v>
      </c>
      <c r="T33" s="631" t="s">
        <v>25</v>
      </c>
      <c r="U33" s="632" t="e">
        <f t="shared" si="13"/>
        <v>#N/A</v>
      </c>
      <c r="V33" s="631" t="s">
        <v>25</v>
      </c>
      <c r="W33" s="632" t="e">
        <f t="shared" si="14"/>
        <v>#N/A</v>
      </c>
      <c r="X33" s="1335"/>
      <c r="Y33" s="3488"/>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0"/>
      <c r="M34" s="3021"/>
      <c r="N34" s="3021"/>
      <c r="O34" s="3022"/>
      <c r="P34" s="3488"/>
      <c r="Q34" s="1327" t="str">
        <f t="shared" si="11"/>
        <v>物业管理</v>
      </c>
      <c r="R34" s="627" t="s">
        <v>25</v>
      </c>
      <c r="S34" s="628">
        <f t="shared" si="12"/>
        <v>100</v>
      </c>
      <c r="T34" s="627" t="s">
        <v>25</v>
      </c>
      <c r="U34" s="628">
        <f t="shared" si="13"/>
        <v>100</v>
      </c>
      <c r="V34" s="627" t="s">
        <v>25</v>
      </c>
      <c r="W34" s="628">
        <f t="shared" si="14"/>
        <v>100</v>
      </c>
      <c r="X34" s="629"/>
      <c r="Y34" s="348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8"/>
      <c r="M35" s="3019"/>
      <c r="N35" s="3019"/>
      <c r="O35" s="3027"/>
      <c r="P35" s="3488" t="s">
        <v>2276</v>
      </c>
      <c r="Q35" s="1334" t="str">
        <f t="shared" si="11"/>
        <v>市政基础设施</v>
      </c>
      <c r="R35" s="631" t="s">
        <v>25</v>
      </c>
      <c r="S35" s="632">
        <f t="shared" si="12"/>
        <v>100</v>
      </c>
      <c r="T35" s="631" t="s">
        <v>25</v>
      </c>
      <c r="U35" s="632">
        <f t="shared" si="13"/>
        <v>100</v>
      </c>
      <c r="V35" s="631" t="s">
        <v>25</v>
      </c>
      <c r="W35" s="632">
        <f t="shared" si="14"/>
        <v>100</v>
      </c>
      <c r="X35" s="1335"/>
      <c r="Y35" s="3488"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8"/>
      <c r="M36" s="3019"/>
      <c r="N36" s="3019"/>
      <c r="O36" s="3027"/>
      <c r="P36" s="3488"/>
      <c r="Q36" s="1334" t="str">
        <f t="shared" si="11"/>
        <v>内部装修</v>
      </c>
      <c r="R36" s="631" t="s">
        <v>25</v>
      </c>
      <c r="S36" s="632">
        <f t="shared" si="12"/>
        <v>100</v>
      </c>
      <c r="T36" s="631" t="s">
        <v>25</v>
      </c>
      <c r="U36" s="632">
        <f t="shared" si="13"/>
        <v>100</v>
      </c>
      <c r="V36" s="631" t="s">
        <v>25</v>
      </c>
      <c r="W36" s="632">
        <f t="shared" si="14"/>
        <v>100</v>
      </c>
      <c r="X36" s="1335"/>
      <c r="Y36" s="3488"/>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8"/>
      <c r="M37" s="3019"/>
      <c r="N37" s="3019"/>
      <c r="O37" s="3027"/>
      <c r="P37" s="3488"/>
      <c r="Q37" s="1334" t="str">
        <f t="shared" si="11"/>
        <v>内部装修状况</v>
      </c>
      <c r="R37" s="631" t="s">
        <v>25</v>
      </c>
      <c r="S37" s="632">
        <f t="shared" si="12"/>
        <v>100</v>
      </c>
      <c r="T37" s="631" t="s">
        <v>25</v>
      </c>
      <c r="U37" s="632">
        <f t="shared" si="13"/>
        <v>100</v>
      </c>
      <c r="V37" s="631" t="s">
        <v>25</v>
      </c>
      <c r="W37" s="632">
        <f t="shared" si="14"/>
        <v>100</v>
      </c>
      <c r="X37" s="1335"/>
      <c r="Y37" s="348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6"/>
      <c r="M38" s="358"/>
      <c r="N38" s="358"/>
      <c r="O38" s="3029"/>
      <c r="P38" s="3488"/>
      <c r="Q38" s="633">
        <f t="shared" si="11"/>
        <v>111</v>
      </c>
      <c r="R38" s="634" t="s">
        <v>25</v>
      </c>
      <c r="S38" s="635">
        <f t="shared" si="12"/>
        <v>100</v>
      </c>
      <c r="T38" s="634" t="s">
        <v>25</v>
      </c>
      <c r="U38" s="635">
        <f t="shared" si="13"/>
        <v>100</v>
      </c>
      <c r="V38" s="634" t="s">
        <v>25</v>
      </c>
      <c r="W38" s="635">
        <f t="shared" si="14"/>
        <v>100</v>
      </c>
      <c r="X38" s="636"/>
      <c r="Y38" s="348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8"/>
      <c r="M39" s="3019"/>
      <c r="N39" s="3019"/>
      <c r="O39" s="3027"/>
      <c r="P39" s="3488"/>
      <c r="Q39" s="1334">
        <f t="shared" si="11"/>
        <v>111</v>
      </c>
      <c r="R39" s="631" t="s">
        <v>25</v>
      </c>
      <c r="S39" s="632">
        <f t="shared" si="12"/>
        <v>100</v>
      </c>
      <c r="T39" s="631" t="s">
        <v>25</v>
      </c>
      <c r="U39" s="632">
        <f t="shared" si="13"/>
        <v>100</v>
      </c>
      <c r="V39" s="631" t="s">
        <v>25</v>
      </c>
      <c r="W39" s="632">
        <f t="shared" si="14"/>
        <v>100</v>
      </c>
      <c r="X39" s="1335"/>
      <c r="Y39" s="3488"/>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8"/>
      <c r="M40" s="3019"/>
      <c r="N40" s="3019"/>
      <c r="O40" s="3027"/>
      <c r="P40" s="3489"/>
      <c r="Q40" s="1334">
        <f t="shared" si="11"/>
        <v>111</v>
      </c>
      <c r="R40" s="631" t="s">
        <v>25</v>
      </c>
      <c r="S40" s="632">
        <f t="shared" si="12"/>
        <v>100</v>
      </c>
      <c r="T40" s="631" t="s">
        <v>25</v>
      </c>
      <c r="U40" s="632">
        <f t="shared" si="13"/>
        <v>100</v>
      </c>
      <c r="V40" s="631" t="s">
        <v>25</v>
      </c>
      <c r="W40" s="632">
        <f t="shared" si="14"/>
        <v>100</v>
      </c>
      <c r="X40" s="1335"/>
      <c r="Y40" s="3489"/>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0"/>
      <c r="N41" s="3019"/>
      <c r="P41" s="3482" t="str">
        <f>A41</f>
        <v>成交单价（元/平方米）</v>
      </c>
      <c r="Q41" s="3482"/>
      <c r="R41" s="3483">
        <f>E41</f>
        <v>0</v>
      </c>
      <c r="S41" s="3483"/>
      <c r="T41" s="3483">
        <f>G41</f>
        <v>0</v>
      </c>
      <c r="U41" s="3483"/>
      <c r="V41" s="3483">
        <f>I41</f>
        <v>0</v>
      </c>
      <c r="W41" s="3483"/>
      <c r="X41" s="618"/>
      <c r="Y41" s="638"/>
      <c r="Z41" s="618"/>
      <c r="AA41" s="618"/>
      <c r="AB41" s="618"/>
      <c r="AC41" s="618"/>
    </row>
    <row r="42" spans="1:29" ht="15" thickBot="1">
      <c r="A42" s="374" t="s">
        <v>2371</v>
      </c>
      <c r="B42" s="375"/>
      <c r="C42" s="1159" t="e">
        <f>R43</f>
        <v>#DIV/0!</v>
      </c>
      <c r="D42" s="1797" t="s">
        <v>2744</v>
      </c>
      <c r="E42" s="1160" t="e">
        <f>R42</f>
        <v>#DIV/0!</v>
      </c>
      <c r="F42" s="1799"/>
      <c r="G42" s="1159" t="e">
        <f>T42</f>
        <v>#DIV/0!</v>
      </c>
      <c r="H42" s="1799"/>
      <c r="I42" s="1160" t="e">
        <f>V42</f>
        <v>#DIV/0!</v>
      </c>
      <c r="J42" s="1799"/>
      <c r="K42" s="2511">
        <f>F42+H42+J42</f>
        <v>0</v>
      </c>
      <c r="L42" s="3030"/>
      <c r="N42" s="3019"/>
      <c r="P42" s="3482" t="str">
        <f>A42</f>
        <v>比较价值（元/平方米）</v>
      </c>
      <c r="Q42" s="3482"/>
      <c r="R42" s="3483" t="e">
        <f>IF(E1="售价",ROUND(PRODUCT(R41,AA7:AA40),0),ROUND(PRODUCT(R41,AA7:AA40),1))</f>
        <v>#DIV/0!</v>
      </c>
      <c r="S42" s="3483"/>
      <c r="T42" s="3483" t="e">
        <f>IF(E1="售价",ROUND(PRODUCT(T41,AB7:AB40),0),ROUND(PRODUCT(T41,AB7:AB40),1))</f>
        <v>#DIV/0!</v>
      </c>
      <c r="U42" s="3483"/>
      <c r="V42" s="3483" t="e">
        <f>IF(E1="售价",ROUND(PRODUCT(V41,AC7:AC40),0),ROUND(PRODUCT(V41,AC7:AC40),1))</f>
        <v>#DIV/0!</v>
      </c>
      <c r="W42" s="3483"/>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0"/>
      <c r="P43" s="3484" t="str">
        <f>A43</f>
        <v>估价对象XX用房的比较价值（楼面单价，元/平方米）</v>
      </c>
      <c r="Q43" s="3485"/>
      <c r="R43" s="3486" t="e">
        <f>IF(E1="售价",ROUND(IF(D42="简单平均",AVERAGE(R42:V42),R42*F42+T42*H42+V42*J42),0),ROUND(IF(D42="简单平均",AVERAGE(R42:V42),R42*F42+T42*H42+V42*J42),1))</f>
        <v>#DIV/0!</v>
      </c>
      <c r="S43" s="3486"/>
      <c r="T43" s="3486"/>
      <c r="U43" s="3486"/>
      <c r="V43" s="3486"/>
      <c r="W43" s="3486"/>
      <c r="X43" s="618"/>
      <c r="Y43" s="618"/>
      <c r="Z43" s="618"/>
      <c r="AA43" s="618"/>
      <c r="AB43" s="618"/>
      <c r="AC43" s="618"/>
    </row>
    <row r="44" spans="1:29">
      <c r="G44" s="303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c r="B49" s="3032"/>
      <c r="C49" s="3035"/>
      <c r="K49" s="3034"/>
      <c r="L49" s="3031"/>
    </row>
    <row r="50" spans="1:17">
      <c r="B50" s="3032"/>
      <c r="C50" s="3035"/>
    </row>
    <row r="51" spans="1:17" ht="22.2" thickBot="1">
      <c r="A51" s="620" t="s">
        <v>2376</v>
      </c>
      <c r="B51" s="618"/>
      <c r="C51" s="621"/>
      <c r="D51" s="621"/>
      <c r="E51" s="621"/>
      <c r="F51" s="622"/>
      <c r="G51" s="622"/>
      <c r="H51" s="621"/>
      <c r="I51" s="621"/>
      <c r="J51" s="621"/>
      <c r="K51" s="623"/>
      <c r="L51" s="624"/>
      <c r="M51" s="621"/>
      <c r="N51" s="3036"/>
      <c r="O51" s="3036"/>
      <c r="P51" s="389"/>
      <c r="Q51" s="390"/>
    </row>
    <row r="52" spans="1:17" s="394" customFormat="1" ht="14.4">
      <c r="A52" s="391" t="s">
        <v>2258</v>
      </c>
      <c r="B52" s="392"/>
      <c r="C52" s="1187" t="str">
        <f>YEAR(C7)&amp;"-"&amp;MONTH(C7)</f>
        <v>2021-7</v>
      </c>
      <c r="D52" s="1188">
        <f>EDATE(C52,-1)</f>
        <v>44348</v>
      </c>
      <c r="E52" s="1189">
        <f t="shared" ref="E52:O52" si="16">EDATE(D52,-1)</f>
        <v>44317</v>
      </c>
      <c r="F52" s="1189">
        <f t="shared" si="16"/>
        <v>44287</v>
      </c>
      <c r="G52" s="1189">
        <f t="shared" si="16"/>
        <v>44256</v>
      </c>
      <c r="H52" s="1189">
        <f t="shared" si="16"/>
        <v>44228</v>
      </c>
      <c r="I52" s="1189">
        <f t="shared" si="16"/>
        <v>44197</v>
      </c>
      <c r="J52" s="1189">
        <f t="shared" si="16"/>
        <v>44166</v>
      </c>
      <c r="K52" s="1189">
        <f t="shared" si="16"/>
        <v>44136</v>
      </c>
      <c r="L52" s="1189">
        <f t="shared" si="16"/>
        <v>44105</v>
      </c>
      <c r="M52" s="1189">
        <f t="shared" si="16"/>
        <v>44075</v>
      </c>
      <c r="N52" s="1189">
        <f t="shared" si="16"/>
        <v>44044</v>
      </c>
      <c r="O52" s="1189">
        <f t="shared" si="16"/>
        <v>44013</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346.86</v>
      </c>
      <c r="E3" s="839" t="s">
        <v>2406</v>
      </c>
      <c r="F3" s="293">
        <f>'数据-取费表'!B42</f>
        <v>0</v>
      </c>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8"/>
      <c r="M4" s="3019"/>
      <c r="N4" s="3019"/>
      <c r="O4" s="3019"/>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8"/>
      <c r="M5" s="3019"/>
      <c r="N5" s="3019"/>
      <c r="O5" s="3019"/>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8"/>
      <c r="M6" s="3019"/>
      <c r="N6" s="3019"/>
      <c r="O6" s="3019"/>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44393</v>
      </c>
      <c r="D7" s="304">
        <v>100</v>
      </c>
      <c r="E7" s="305"/>
      <c r="F7" s="306">
        <f>SUMIF(48:48,YEAR(E7)&amp;"-"&amp;MONTH(E7),49:49)</f>
        <v>0</v>
      </c>
      <c r="G7" s="305"/>
      <c r="H7" s="304">
        <f>SUMIF(48:48,YEAR(G7)&amp;"-"&amp;MONTH(G7),49:49)</f>
        <v>0</v>
      </c>
      <c r="I7" s="305"/>
      <c r="J7" s="304">
        <f>SUMIF(48:48,YEAR(I7)&amp;"-"&amp;MONTH(I7),49:49)</f>
        <v>0</v>
      </c>
      <c r="K7" s="497"/>
      <c r="L7" s="3020"/>
      <c r="M7" s="3021"/>
      <c r="N7" s="3021"/>
      <c r="O7" s="3021"/>
      <c r="P7" s="3490" t="s">
        <v>2259</v>
      </c>
      <c r="Q7" s="3498"/>
      <c r="R7" s="627" t="s">
        <v>25</v>
      </c>
      <c r="S7" s="628">
        <f t="shared" ref="S7:S14" si="0">F7</f>
        <v>0</v>
      </c>
      <c r="T7" s="627" t="s">
        <v>25</v>
      </c>
      <c r="U7" s="628">
        <f t="shared" ref="U7:U14" si="1">H7</f>
        <v>0</v>
      </c>
      <c r="V7" s="627" t="s">
        <v>25</v>
      </c>
      <c r="W7" s="628">
        <f t="shared" ref="W7:W14" si="2">J7</f>
        <v>0</v>
      </c>
      <c r="X7" s="629"/>
      <c r="Y7" s="3490" t="s">
        <v>2259</v>
      </c>
      <c r="Z7" s="3491"/>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0"/>
      <c r="M8" s="3021"/>
      <c r="N8" s="3021"/>
      <c r="O8" s="3021"/>
      <c r="P8" s="3490" t="s">
        <v>2262</v>
      </c>
      <c r="Q8" s="3491"/>
      <c r="R8" s="627" t="s">
        <v>25</v>
      </c>
      <c r="S8" s="628">
        <f t="shared" si="0"/>
        <v>0</v>
      </c>
      <c r="T8" s="627" t="s">
        <v>25</v>
      </c>
      <c r="U8" s="628">
        <f t="shared" si="1"/>
        <v>0</v>
      </c>
      <c r="V8" s="627" t="s">
        <v>25</v>
      </c>
      <c r="W8" s="628">
        <f t="shared" si="2"/>
        <v>0</v>
      </c>
      <c r="X8" s="629"/>
      <c r="Y8" s="3490" t="s">
        <v>2262</v>
      </c>
      <c r="Z8" s="3491"/>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0"/>
      <c r="M9" s="3021"/>
      <c r="N9" s="3021"/>
      <c r="O9" s="3022"/>
      <c r="P9" s="3482" t="s">
        <v>2265</v>
      </c>
      <c r="Q9" s="1327" t="str">
        <f t="shared" ref="Q9:Q14" si="6">B9</f>
        <v>用途</v>
      </c>
      <c r="R9" s="627" t="s">
        <v>25</v>
      </c>
      <c r="S9" s="628">
        <f t="shared" si="0"/>
        <v>100</v>
      </c>
      <c r="T9" s="627" t="s">
        <v>25</v>
      </c>
      <c r="U9" s="628">
        <f t="shared" si="1"/>
        <v>100</v>
      </c>
      <c r="V9" s="627" t="s">
        <v>25</v>
      </c>
      <c r="W9" s="628">
        <f t="shared" si="2"/>
        <v>100</v>
      </c>
      <c r="X9" s="629"/>
      <c r="Y9" s="3501"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3"/>
      <c r="M10" s="3024"/>
      <c r="N10" s="3024"/>
      <c r="O10" s="3025"/>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6"/>
      <c r="M11" s="3019"/>
      <c r="N11" s="3019"/>
      <c r="O11" s="3027"/>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0"/>
      <c r="M12" s="3021"/>
      <c r="N12" s="3021"/>
      <c r="O12" s="3022"/>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8"/>
      <c r="M13" s="3019"/>
      <c r="N13" s="3019"/>
      <c r="O13" s="3027"/>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8"/>
      <c r="M14" s="3019"/>
      <c r="N14" s="3019"/>
      <c r="O14" s="3027"/>
      <c r="P14" s="3499" t="s">
        <v>2270</v>
      </c>
      <c r="Q14" s="1334" t="str">
        <f t="shared" si="6"/>
        <v>交通便捷度</v>
      </c>
      <c r="R14" s="631" t="s">
        <v>25</v>
      </c>
      <c r="S14" s="632">
        <f t="shared" si="0"/>
        <v>100</v>
      </c>
      <c r="T14" s="631" t="s">
        <v>25</v>
      </c>
      <c r="U14" s="632">
        <f t="shared" si="1"/>
        <v>100</v>
      </c>
      <c r="V14" s="631" t="s">
        <v>25</v>
      </c>
      <c r="W14" s="632">
        <f t="shared" si="2"/>
        <v>100</v>
      </c>
      <c r="X14" s="1335"/>
      <c r="Y14" s="3499"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8"/>
      <c r="M15" s="3019"/>
      <c r="N15" s="3019"/>
      <c r="O15" s="3027"/>
      <c r="P15" s="3500"/>
      <c r="Q15" s="1334"/>
      <c r="R15" s="631"/>
      <c r="S15" s="632"/>
      <c r="T15" s="631"/>
      <c r="U15" s="632"/>
      <c r="V15" s="631"/>
      <c r="W15" s="632"/>
      <c r="X15" s="1335"/>
      <c r="Y15" s="3500"/>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8"/>
      <c r="M16" s="3019"/>
      <c r="N16" s="3019"/>
      <c r="O16" s="3027"/>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8"/>
      <c r="M17" s="3019"/>
      <c r="N17" s="3019"/>
      <c r="O17" s="3027"/>
      <c r="P17" s="3500"/>
      <c r="Q17" s="1334"/>
      <c r="R17" s="631"/>
      <c r="S17" s="632"/>
      <c r="T17" s="631"/>
      <c r="U17" s="632"/>
      <c r="V17" s="631"/>
      <c r="W17" s="632"/>
      <c r="X17" s="1335"/>
      <c r="Y17" s="3500"/>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8"/>
      <c r="M18" s="3019"/>
      <c r="N18" s="3019"/>
      <c r="O18" s="3027"/>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8"/>
      <c r="M19" s="3019"/>
      <c r="N19" s="3019"/>
      <c r="O19" s="3027"/>
      <c r="P19" s="3500"/>
      <c r="Q19" s="1334"/>
      <c r="R19" s="631"/>
      <c r="S19" s="632"/>
      <c r="T19" s="631"/>
      <c r="U19" s="632"/>
      <c r="V19" s="631"/>
      <c r="W19" s="632"/>
      <c r="X19" s="1335"/>
      <c r="Y19" s="3500"/>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8"/>
      <c r="M20" s="3019"/>
      <c r="N20" s="3019"/>
      <c r="O20" s="3027"/>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8"/>
      <c r="M21" s="3019"/>
      <c r="N21" s="3019"/>
      <c r="O21" s="3027"/>
      <c r="P21" s="3500"/>
      <c r="Q21" s="1334"/>
      <c r="R21" s="631"/>
      <c r="S21" s="632"/>
      <c r="T21" s="631"/>
      <c r="U21" s="632"/>
      <c r="V21" s="631"/>
      <c r="W21" s="632"/>
      <c r="X21" s="1335"/>
      <c r="Y21" s="3500"/>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8"/>
      <c r="M22" s="3019"/>
      <c r="N22" s="3019"/>
      <c r="O22" s="3027"/>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8"/>
      <c r="M23" s="3019"/>
      <c r="N23" s="3019"/>
      <c r="O23" s="3027"/>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8"/>
      <c r="M24" s="3019"/>
      <c r="N24" s="3019"/>
      <c r="O24" s="3027"/>
      <c r="P24" s="3500"/>
      <c r="Q24" s="1334">
        <f t="shared" ref="Q24:Q36"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0"/>
      <c r="M25" s="3021"/>
      <c r="N25" s="3021"/>
      <c r="O25" s="3022"/>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30">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28"/>
      <c r="M26" s="3019"/>
      <c r="N26" s="3019"/>
      <c r="O26" s="3027"/>
      <c r="P26" s="3487"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8"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6"/>
      <c r="M27" s="358"/>
      <c r="N27" s="358"/>
      <c r="O27" s="3029"/>
      <c r="P27" s="3488"/>
      <c r="Q27" s="633" t="str">
        <f t="shared" si="11"/>
        <v>项目停车位配比</v>
      </c>
      <c r="R27" s="634" t="s">
        <v>25</v>
      </c>
      <c r="S27" s="635">
        <f t="shared" si="12"/>
        <v>100</v>
      </c>
      <c r="T27" s="634" t="s">
        <v>25</v>
      </c>
      <c r="U27" s="635">
        <f t="shared" si="13"/>
        <v>100</v>
      </c>
      <c r="V27" s="634" t="s">
        <v>25</v>
      </c>
      <c r="W27" s="635">
        <f t="shared" si="14"/>
        <v>100</v>
      </c>
      <c r="X27" s="636"/>
      <c r="Y27" s="3488"/>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8"/>
      <c r="M28" s="3019"/>
      <c r="N28" s="3019"/>
      <c r="O28" s="3027"/>
      <c r="P28" s="3488"/>
      <c r="Q28" s="1334" t="str">
        <f t="shared" si="11"/>
        <v>公共部分装修</v>
      </c>
      <c r="R28" s="631" t="s">
        <v>25</v>
      </c>
      <c r="S28" s="632">
        <f t="shared" si="12"/>
        <v>100</v>
      </c>
      <c r="T28" s="631" t="s">
        <v>25</v>
      </c>
      <c r="U28" s="632">
        <f t="shared" si="13"/>
        <v>100</v>
      </c>
      <c r="V28" s="631" t="s">
        <v>25</v>
      </c>
      <c r="W28" s="632">
        <f t="shared" si="14"/>
        <v>100</v>
      </c>
      <c r="X28" s="1335"/>
      <c r="Y28" s="3488"/>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8"/>
      <c r="M29" s="3019"/>
      <c r="N29" s="3019"/>
      <c r="O29" s="3027"/>
      <c r="P29" s="3488"/>
      <c r="Q29" s="1334" t="str">
        <f t="shared" si="11"/>
        <v>成新率</v>
      </c>
      <c r="R29" s="631" t="s">
        <v>25</v>
      </c>
      <c r="S29" s="632" t="e">
        <f t="shared" si="12"/>
        <v>#N/A</v>
      </c>
      <c r="T29" s="631" t="s">
        <v>25</v>
      </c>
      <c r="U29" s="632" t="e">
        <f t="shared" si="13"/>
        <v>#N/A</v>
      </c>
      <c r="V29" s="631" t="s">
        <v>25</v>
      </c>
      <c r="W29" s="632" t="e">
        <f t="shared" si="14"/>
        <v>#N/A</v>
      </c>
      <c r="X29" s="1335"/>
      <c r="Y29" s="3488"/>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8"/>
      <c r="M30" s="3019"/>
      <c r="N30" s="3019"/>
      <c r="O30" s="3027"/>
      <c r="P30" s="3488"/>
      <c r="Q30" s="1334" t="str">
        <f t="shared" si="11"/>
        <v>物业等级</v>
      </c>
      <c r="R30" s="631" t="s">
        <v>25</v>
      </c>
      <c r="S30" s="632">
        <f t="shared" si="12"/>
        <v>100</v>
      </c>
      <c r="T30" s="631" t="s">
        <v>25</v>
      </c>
      <c r="U30" s="632">
        <f t="shared" si="13"/>
        <v>100</v>
      </c>
      <c r="V30" s="631" t="s">
        <v>25</v>
      </c>
      <c r="W30" s="632">
        <f t="shared" si="14"/>
        <v>100</v>
      </c>
      <c r="X30" s="1335"/>
      <c r="Y30" s="3488"/>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0"/>
      <c r="M31" s="3021"/>
      <c r="N31" s="3021"/>
      <c r="O31" s="3022"/>
      <c r="P31" s="3488"/>
      <c r="Q31" s="1327" t="str">
        <f t="shared" si="11"/>
        <v>停车位面积</v>
      </c>
      <c r="R31" s="627" t="s">
        <v>25</v>
      </c>
      <c r="S31" s="628" t="e">
        <f t="shared" si="12"/>
        <v>#N/A</v>
      </c>
      <c r="T31" s="627" t="s">
        <v>25</v>
      </c>
      <c r="U31" s="628" t="e">
        <f t="shared" si="13"/>
        <v>#N/A</v>
      </c>
      <c r="V31" s="627" t="s">
        <v>25</v>
      </c>
      <c r="W31" s="628" t="e">
        <f t="shared" si="14"/>
        <v>#N/A</v>
      </c>
      <c r="X31" s="629"/>
      <c r="Y31" s="348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8"/>
      <c r="M32" s="3019"/>
      <c r="N32" s="3019"/>
      <c r="O32" s="3027"/>
      <c r="P32" s="3488" t="s">
        <v>2276</v>
      </c>
      <c r="Q32" s="1334" t="str">
        <f t="shared" si="11"/>
        <v>车位类型</v>
      </c>
      <c r="R32" s="631" t="s">
        <v>25</v>
      </c>
      <c r="S32" s="632">
        <f t="shared" si="12"/>
        <v>100</v>
      </c>
      <c r="T32" s="631" t="s">
        <v>25</v>
      </c>
      <c r="U32" s="632">
        <f t="shared" si="13"/>
        <v>100</v>
      </c>
      <c r="V32" s="631" t="s">
        <v>25</v>
      </c>
      <c r="W32" s="632">
        <f t="shared" si="14"/>
        <v>100</v>
      </c>
      <c r="X32" s="1335"/>
      <c r="Y32" s="3488"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8"/>
      <c r="M33" s="3019"/>
      <c r="N33" s="3019"/>
      <c r="O33" s="3027"/>
      <c r="P33" s="3488"/>
      <c r="Q33" s="1334" t="str">
        <f t="shared" si="11"/>
        <v>是否直接入户</v>
      </c>
      <c r="R33" s="631" t="s">
        <v>25</v>
      </c>
      <c r="S33" s="632">
        <f t="shared" si="12"/>
        <v>100</v>
      </c>
      <c r="T33" s="631" t="s">
        <v>25</v>
      </c>
      <c r="U33" s="632">
        <f t="shared" si="13"/>
        <v>100</v>
      </c>
      <c r="V33" s="631" t="s">
        <v>25</v>
      </c>
      <c r="W33" s="632">
        <f t="shared" si="14"/>
        <v>100</v>
      </c>
      <c r="X33" s="1335"/>
      <c r="Y33" s="348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8"/>
      <c r="M34" s="3019"/>
      <c r="N34" s="3019"/>
      <c r="O34" s="3027"/>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6"/>
      <c r="M35" s="358"/>
      <c r="N35" s="358"/>
      <c r="O35" s="3029"/>
      <c r="P35" s="3488"/>
      <c r="Q35" s="633">
        <f t="shared" si="11"/>
        <v>111</v>
      </c>
      <c r="R35" s="634" t="s">
        <v>25</v>
      </c>
      <c r="S35" s="635">
        <f t="shared" si="12"/>
        <v>100</v>
      </c>
      <c r="T35" s="634" t="s">
        <v>25</v>
      </c>
      <c r="U35" s="635">
        <f t="shared" si="13"/>
        <v>100</v>
      </c>
      <c r="V35" s="634" t="s">
        <v>25</v>
      </c>
      <c r="W35" s="635">
        <f t="shared" si="14"/>
        <v>100</v>
      </c>
      <c r="X35" s="636"/>
      <c r="Y35" s="3488"/>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8"/>
      <c r="M36" s="3019"/>
      <c r="N36" s="3019"/>
      <c r="O36" s="3027"/>
      <c r="P36" s="3488"/>
      <c r="Q36" s="1334">
        <f t="shared" si="11"/>
        <v>111</v>
      </c>
      <c r="R36" s="631" t="s">
        <v>25</v>
      </c>
      <c r="S36" s="632">
        <f t="shared" si="12"/>
        <v>100</v>
      </c>
      <c r="T36" s="631" t="s">
        <v>25</v>
      </c>
      <c r="U36" s="632">
        <f t="shared" si="13"/>
        <v>100</v>
      </c>
      <c r="V36" s="631" t="s">
        <v>25</v>
      </c>
      <c r="W36" s="632">
        <f t="shared" si="14"/>
        <v>100</v>
      </c>
      <c r="X36" s="1335"/>
      <c r="Y36" s="3488"/>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0"/>
      <c r="N37" s="3019"/>
      <c r="P37" s="3482" t="str">
        <f>A37</f>
        <v>成交单价</v>
      </c>
      <c r="Q37" s="3482"/>
      <c r="R37" s="3483">
        <f>E37</f>
        <v>0</v>
      </c>
      <c r="S37" s="3483"/>
      <c r="T37" s="3483">
        <f>G37</f>
        <v>0</v>
      </c>
      <c r="U37" s="3483"/>
      <c r="V37" s="3483">
        <f>I37</f>
        <v>0</v>
      </c>
      <c r="W37" s="3483"/>
      <c r="X37" s="618"/>
      <c r="Y37" s="638"/>
      <c r="Z37" s="618"/>
      <c r="AA37" s="618"/>
      <c r="AB37" s="618"/>
      <c r="AC37" s="618"/>
    </row>
    <row r="38" spans="1:29" ht="1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0"/>
      <c r="P38" s="3482" t="str">
        <f>A38</f>
        <v>比较价值</v>
      </c>
      <c r="Q38" s="3482"/>
      <c r="R38" s="3483" t="e">
        <f>IF(E1="售价",ROUND(PRODUCT(R37,AA7:AA36),0),ROUND(PRODUCT(R37,AA7:AA36),1))</f>
        <v>#DIV/0!</v>
      </c>
      <c r="S38" s="3483"/>
      <c r="T38" s="3483" t="e">
        <f>IF(E1="售价",ROUND(PRODUCT(T37,AB7:AB36),0),ROUND(PRODUCT(T37,AB7:AB36),1))</f>
        <v>#DIV/0!</v>
      </c>
      <c r="U38" s="3483"/>
      <c r="V38" s="3483" t="e">
        <f>IF(E1="售价",ROUND(PRODUCT(V37,AC7:AC36),0),ROUND(PRODUCT(V37,AC7:AC36),1))</f>
        <v>#DIV/0!</v>
      </c>
      <c r="W38" s="3483"/>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0"/>
      <c r="P39" s="3484" t="str">
        <f>A39</f>
        <v>估价对象XX用房的比较价值（楼面单价，元/平方米）</v>
      </c>
      <c r="Q39" s="3485"/>
      <c r="R39" s="3486" t="e">
        <f>IF(E1="售价",ROUND(IF(D38="简单平均",AVERAGE(R38:W38),R38*F38+T38*H38+V38*J38),0),ROUND(IF(D38="简单平均",AVERAGE(R38:V38),R38*F38+T38*H38+V38*J38),1))</f>
        <v>#DIV/0!</v>
      </c>
      <c r="S39" s="3486"/>
      <c r="T39" s="3486"/>
      <c r="U39" s="3486"/>
      <c r="V39" s="3486"/>
      <c r="W39" s="3486"/>
      <c r="X39" s="618"/>
      <c r="Y39" s="618"/>
      <c r="Z39" s="618"/>
      <c r="AA39" s="618"/>
      <c r="AB39" s="618"/>
      <c r="AC39" s="618"/>
    </row>
    <row r="40" spans="1:29">
      <c r="G40" s="303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4"/>
      <c r="L44" s="3031"/>
      <c r="P44" s="619"/>
      <c r="Q44" s="619"/>
      <c r="R44" s="619"/>
      <c r="S44" s="619"/>
      <c r="T44" s="619"/>
      <c r="U44" s="619"/>
      <c r="V44" s="619"/>
      <c r="W44" s="619"/>
      <c r="X44" s="619"/>
      <c r="Y44" s="619"/>
      <c r="Z44" s="619"/>
      <c r="AA44" s="619"/>
      <c r="AB44" s="619"/>
      <c r="AC44" s="619"/>
    </row>
    <row r="45" spans="1:29" s="388" customFormat="1">
      <c r="B45" s="3032"/>
      <c r="C45" s="3035"/>
      <c r="K45" s="3034"/>
      <c r="L45" s="3031"/>
      <c r="P45" s="619"/>
      <c r="Q45" s="619"/>
      <c r="R45" s="619"/>
      <c r="S45" s="619"/>
      <c r="T45" s="619"/>
      <c r="U45" s="619"/>
      <c r="V45" s="619"/>
      <c r="W45" s="619"/>
      <c r="X45" s="619"/>
      <c r="Y45" s="619"/>
      <c r="Z45" s="619"/>
      <c r="AA45" s="619"/>
      <c r="AB45" s="619"/>
      <c r="AC45" s="619"/>
    </row>
    <row r="46" spans="1:29">
      <c r="B46" s="3032"/>
      <c r="C46" s="3035"/>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2021-7</v>
      </c>
      <c r="D48" s="1188">
        <f>EDATE(C48,-1)</f>
        <v>44348</v>
      </c>
      <c r="E48" s="1188">
        <f t="shared" ref="E48:O48" si="16">EDATE(D48,-1)</f>
        <v>44317</v>
      </c>
      <c r="F48" s="1188">
        <f t="shared" si="16"/>
        <v>44287</v>
      </c>
      <c r="G48" s="1188">
        <f t="shared" si="16"/>
        <v>44256</v>
      </c>
      <c r="H48" s="1188">
        <f t="shared" si="16"/>
        <v>44228</v>
      </c>
      <c r="I48" s="1188">
        <f t="shared" si="16"/>
        <v>44197</v>
      </c>
      <c r="J48" s="1188">
        <f t="shared" si="16"/>
        <v>44166</v>
      </c>
      <c r="K48" s="1188">
        <f t="shared" si="16"/>
        <v>44136</v>
      </c>
      <c r="L48" s="1188">
        <f t="shared" si="16"/>
        <v>44105</v>
      </c>
      <c r="M48" s="1188">
        <f t="shared" si="16"/>
        <v>44075</v>
      </c>
      <c r="N48" s="1188">
        <f t="shared" si="16"/>
        <v>44044</v>
      </c>
      <c r="O48" s="1188">
        <f t="shared" si="16"/>
        <v>44013</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346.86</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8"/>
      <c r="M4" s="3019"/>
      <c r="N4" s="3019"/>
      <c r="O4" s="3019"/>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8"/>
      <c r="M5" s="3019"/>
      <c r="N5" s="3019"/>
      <c r="O5" s="3019"/>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8"/>
      <c r="M6" s="3019"/>
      <c r="N6" s="3019"/>
      <c r="O6" s="3019"/>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44393</v>
      </c>
      <c r="D7" s="304">
        <v>100</v>
      </c>
      <c r="E7" s="1575"/>
      <c r="F7" s="304">
        <f>SUMIF(46:46,YEAR(E7)&amp;"-"&amp;MONTH(E7),47:47)</f>
        <v>0</v>
      </c>
      <c r="G7" s="305"/>
      <c r="H7" s="304">
        <f>SUMIF(46:46,YEAR(G7)&amp;"-"&amp;MONTH(G7),47:47)</f>
        <v>0</v>
      </c>
      <c r="I7" s="305"/>
      <c r="J7" s="304">
        <f>SUMIF(46:46,YEAR(I7)&amp;"-"&amp;MONTH(I7),47:47)</f>
        <v>0</v>
      </c>
      <c r="K7" s="497"/>
      <c r="L7" s="3020"/>
      <c r="M7" s="3021"/>
      <c r="N7" s="3021"/>
      <c r="O7" s="3021"/>
      <c r="P7" s="3490" t="s">
        <v>2259</v>
      </c>
      <c r="Q7" s="3498"/>
      <c r="R7" s="627" t="s">
        <v>25</v>
      </c>
      <c r="S7" s="628">
        <f t="shared" ref="S7:S14" si="0">F7</f>
        <v>0</v>
      </c>
      <c r="T7" s="627" t="s">
        <v>25</v>
      </c>
      <c r="U7" s="628">
        <f t="shared" ref="U7:U14" si="1">H7</f>
        <v>0</v>
      </c>
      <c r="V7" s="627" t="s">
        <v>25</v>
      </c>
      <c r="W7" s="628">
        <f t="shared" ref="W7:W14" si="2">J7</f>
        <v>0</v>
      </c>
      <c r="X7" s="629"/>
      <c r="Y7" s="3490" t="s">
        <v>2259</v>
      </c>
      <c r="Z7" s="3491"/>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0"/>
      <c r="M8" s="3021"/>
      <c r="N8" s="3021"/>
      <c r="O8" s="3021"/>
      <c r="P8" s="3490" t="s">
        <v>2262</v>
      </c>
      <c r="Q8" s="3491"/>
      <c r="R8" s="627" t="s">
        <v>25</v>
      </c>
      <c r="S8" s="628">
        <f t="shared" si="0"/>
        <v>0</v>
      </c>
      <c r="T8" s="627" t="s">
        <v>25</v>
      </c>
      <c r="U8" s="628">
        <f t="shared" si="1"/>
        <v>0</v>
      </c>
      <c r="V8" s="627" t="s">
        <v>25</v>
      </c>
      <c r="W8" s="628">
        <f t="shared" si="2"/>
        <v>0</v>
      </c>
      <c r="X8" s="629"/>
      <c r="Y8" s="3490" t="s">
        <v>2262</v>
      </c>
      <c r="Z8" s="3491"/>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0"/>
      <c r="M9" s="3021"/>
      <c r="N9" s="3021"/>
      <c r="O9" s="3022"/>
      <c r="P9" s="3482" t="s">
        <v>2265</v>
      </c>
      <c r="Q9" s="1327" t="str">
        <f t="shared" ref="Q9:Q14" si="6">B9</f>
        <v>用途</v>
      </c>
      <c r="R9" s="627" t="s">
        <v>25</v>
      </c>
      <c r="S9" s="628">
        <f t="shared" si="0"/>
        <v>100</v>
      </c>
      <c r="T9" s="627" t="s">
        <v>25</v>
      </c>
      <c r="U9" s="628">
        <f t="shared" si="1"/>
        <v>100</v>
      </c>
      <c r="V9" s="627" t="s">
        <v>25</v>
      </c>
      <c r="W9" s="628">
        <f t="shared" si="2"/>
        <v>100</v>
      </c>
      <c r="X9" s="629"/>
      <c r="Y9" s="3501"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3"/>
      <c r="M10" s="3024"/>
      <c r="N10" s="3024"/>
      <c r="O10" s="3025"/>
      <c r="P10" s="3482"/>
      <c r="Q10" s="1327" t="str">
        <f t="shared" si="6"/>
        <v>土地使用年限（年）</v>
      </c>
      <c r="R10" s="627" t="s">
        <v>25</v>
      </c>
      <c r="S10" s="628">
        <f t="shared" si="0"/>
        <v>100</v>
      </c>
      <c r="T10" s="627" t="s">
        <v>25</v>
      </c>
      <c r="U10" s="628">
        <f t="shared" si="1"/>
        <v>100</v>
      </c>
      <c r="V10" s="627" t="s">
        <v>25</v>
      </c>
      <c r="W10" s="628">
        <f t="shared" si="2"/>
        <v>100</v>
      </c>
      <c r="X10" s="629"/>
      <c r="Y10" s="350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26"/>
      <c r="M11" s="3019"/>
      <c r="N11" s="3019"/>
      <c r="O11" s="3027"/>
      <c r="P11" s="3482"/>
      <c r="Q11" s="1327">
        <f t="shared" si="6"/>
        <v>111</v>
      </c>
      <c r="R11" s="627" t="s">
        <v>25</v>
      </c>
      <c r="S11" s="628">
        <f t="shared" si="0"/>
        <v>100</v>
      </c>
      <c r="T11" s="627" t="s">
        <v>25</v>
      </c>
      <c r="U11" s="628">
        <f t="shared" si="1"/>
        <v>100</v>
      </c>
      <c r="V11" s="627" t="s">
        <v>25</v>
      </c>
      <c r="W11" s="628">
        <f t="shared" si="2"/>
        <v>100</v>
      </c>
      <c r="X11" s="629"/>
      <c r="Y11" s="350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0"/>
      <c r="M12" s="3021"/>
      <c r="N12" s="3021"/>
      <c r="O12" s="3022"/>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28"/>
      <c r="M13" s="3019"/>
      <c r="N13" s="3019"/>
      <c r="O13" s="3027"/>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96.6">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8"/>
      <c r="M14" s="3019"/>
      <c r="N14" s="3019"/>
      <c r="O14" s="3027"/>
      <c r="P14" s="3499" t="s">
        <v>2270</v>
      </c>
      <c r="Q14" s="1334" t="str">
        <f t="shared" si="6"/>
        <v>交通便捷度</v>
      </c>
      <c r="R14" s="631" t="s">
        <v>25</v>
      </c>
      <c r="S14" s="632">
        <f t="shared" si="0"/>
        <v>100</v>
      </c>
      <c r="T14" s="631" t="s">
        <v>25</v>
      </c>
      <c r="U14" s="632">
        <f t="shared" si="1"/>
        <v>100</v>
      </c>
      <c r="V14" s="631" t="s">
        <v>25</v>
      </c>
      <c r="W14" s="632">
        <f t="shared" si="2"/>
        <v>100</v>
      </c>
      <c r="X14" s="1335"/>
      <c r="Y14" s="3499"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8"/>
      <c r="M15" s="3019"/>
      <c r="N15" s="3019"/>
      <c r="O15" s="3027"/>
      <c r="P15" s="3500"/>
      <c r="Q15" s="1334"/>
      <c r="R15" s="631"/>
      <c r="S15" s="632"/>
      <c r="T15" s="631"/>
      <c r="U15" s="632"/>
      <c r="V15" s="631"/>
      <c r="W15" s="632"/>
      <c r="X15" s="1335"/>
      <c r="Y15" s="3500"/>
      <c r="Z15" s="1336"/>
      <c r="AA15" s="1337">
        <v>1</v>
      </c>
      <c r="AB15" s="1337">
        <v>1</v>
      </c>
      <c r="AC15" s="1337">
        <v>1</v>
      </c>
    </row>
    <row r="16" spans="1:29" ht="41.4">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8"/>
      <c r="M16" s="3019"/>
      <c r="N16" s="3019"/>
      <c r="O16" s="3027"/>
      <c r="P16" s="3500"/>
      <c r="Q16" s="1334" t="str">
        <f>B16</f>
        <v>公共配套设施</v>
      </c>
      <c r="R16" s="631" t="s">
        <v>25</v>
      </c>
      <c r="S16" s="632">
        <f>F16</f>
        <v>100</v>
      </c>
      <c r="T16" s="631" t="s">
        <v>25</v>
      </c>
      <c r="U16" s="632">
        <f>H16</f>
        <v>100</v>
      </c>
      <c r="V16" s="631" t="s">
        <v>25</v>
      </c>
      <c r="W16" s="632">
        <f>J16</f>
        <v>100</v>
      </c>
      <c r="X16" s="1335"/>
      <c r="Y16" s="350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8"/>
      <c r="M17" s="3019"/>
      <c r="N17" s="3019"/>
      <c r="O17" s="3027"/>
      <c r="P17" s="3500"/>
      <c r="Q17" s="1334"/>
      <c r="R17" s="631"/>
      <c r="S17" s="632"/>
      <c r="T17" s="631"/>
      <c r="U17" s="632"/>
      <c r="V17" s="631"/>
      <c r="W17" s="632"/>
      <c r="X17" s="1335"/>
      <c r="Y17" s="3500"/>
      <c r="Z17" s="1336"/>
      <c r="AA17" s="1337">
        <v>1</v>
      </c>
      <c r="AB17" s="1337">
        <v>1</v>
      </c>
      <c r="AC17" s="1337">
        <v>1</v>
      </c>
    </row>
    <row r="18" spans="1:29" ht="41.4">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8"/>
      <c r="M18" s="3019"/>
      <c r="N18" s="3019"/>
      <c r="O18" s="3027"/>
      <c r="P18" s="3500"/>
      <c r="Q18" s="1334" t="str">
        <f>B18</f>
        <v>基础设施水平</v>
      </c>
      <c r="R18" s="631" t="s">
        <v>25</v>
      </c>
      <c r="S18" s="632">
        <f>F18</f>
        <v>100</v>
      </c>
      <c r="T18" s="631" t="s">
        <v>25</v>
      </c>
      <c r="U18" s="632">
        <f>H18</f>
        <v>100</v>
      </c>
      <c r="V18" s="631" t="s">
        <v>25</v>
      </c>
      <c r="W18" s="632">
        <f>J18</f>
        <v>100</v>
      </c>
      <c r="X18" s="1335"/>
      <c r="Y18" s="350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8"/>
      <c r="M19" s="3019"/>
      <c r="N19" s="3019"/>
      <c r="O19" s="3027"/>
      <c r="P19" s="3500"/>
      <c r="Q19" s="1334"/>
      <c r="R19" s="631"/>
      <c r="S19" s="632"/>
      <c r="T19" s="631"/>
      <c r="U19" s="632"/>
      <c r="V19" s="631"/>
      <c r="W19" s="632"/>
      <c r="X19" s="1335"/>
      <c r="Y19" s="3500"/>
      <c r="Z19" s="1336"/>
      <c r="AA19" s="1337">
        <v>1</v>
      </c>
      <c r="AB19" s="1337">
        <v>1</v>
      </c>
      <c r="AC19" s="1337">
        <v>1</v>
      </c>
    </row>
    <row r="20" spans="1:29" ht="55.2">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8"/>
      <c r="M20" s="3019"/>
      <c r="N20" s="3019"/>
      <c r="O20" s="3027"/>
      <c r="P20" s="3500"/>
      <c r="Q20" s="1334" t="str">
        <f>B20</f>
        <v>自然及人文环境</v>
      </c>
      <c r="R20" s="631" t="s">
        <v>25</v>
      </c>
      <c r="S20" s="632">
        <f>F20</f>
        <v>100</v>
      </c>
      <c r="T20" s="631" t="s">
        <v>25</v>
      </c>
      <c r="U20" s="632">
        <f>H20</f>
        <v>100</v>
      </c>
      <c r="V20" s="631" t="s">
        <v>25</v>
      </c>
      <c r="W20" s="632">
        <f>J20</f>
        <v>100</v>
      </c>
      <c r="X20" s="1335"/>
      <c r="Y20" s="350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8"/>
      <c r="M21" s="3019"/>
      <c r="N21" s="3019"/>
      <c r="O21" s="3027"/>
      <c r="P21" s="3500"/>
      <c r="Q21" s="1334"/>
      <c r="R21" s="631"/>
      <c r="S21" s="632"/>
      <c r="T21" s="631"/>
      <c r="U21" s="632"/>
      <c r="V21" s="631"/>
      <c r="W21" s="632"/>
      <c r="X21" s="1335"/>
      <c r="Y21" s="3500"/>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8"/>
      <c r="M22" s="3019"/>
      <c r="N22" s="3019"/>
      <c r="O22" s="3027"/>
      <c r="P22" s="3500"/>
      <c r="Q22" s="1334" t="str">
        <f>B22</f>
        <v>楼层</v>
      </c>
      <c r="R22" s="631" t="s">
        <v>25</v>
      </c>
      <c r="S22" s="632">
        <f>F22</f>
        <v>100</v>
      </c>
      <c r="T22" s="631" t="s">
        <v>25</v>
      </c>
      <c r="U22" s="632">
        <f>H22</f>
        <v>100</v>
      </c>
      <c r="V22" s="631" t="s">
        <v>25</v>
      </c>
      <c r="W22" s="632">
        <f>J22</f>
        <v>100</v>
      </c>
      <c r="X22" s="1335"/>
      <c r="Y22" s="350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28"/>
      <c r="M23" s="3019"/>
      <c r="N23" s="3019"/>
      <c r="O23" s="3027"/>
      <c r="P23" s="3500"/>
      <c r="Q23" s="1334">
        <f>B23</f>
        <v>111</v>
      </c>
      <c r="R23" s="631" t="s">
        <v>25</v>
      </c>
      <c r="S23" s="632">
        <f>F23</f>
        <v>100</v>
      </c>
      <c r="T23" s="631" t="s">
        <v>25</v>
      </c>
      <c r="U23" s="632">
        <f>H23</f>
        <v>100</v>
      </c>
      <c r="V23" s="631" t="s">
        <v>25</v>
      </c>
      <c r="W23" s="632">
        <f>J23</f>
        <v>100</v>
      </c>
      <c r="X23" s="1335"/>
      <c r="Y23" s="350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28"/>
      <c r="M24" s="3019"/>
      <c r="N24" s="3019"/>
      <c r="O24" s="3027"/>
      <c r="P24" s="3500"/>
      <c r="Q24" s="1334">
        <f t="shared" ref="Q24:Q34" si="11">B24</f>
        <v>111</v>
      </c>
      <c r="R24" s="631" t="s">
        <v>25</v>
      </c>
      <c r="S24" s="632">
        <f>F24</f>
        <v>100</v>
      </c>
      <c r="T24" s="631" t="s">
        <v>25</v>
      </c>
      <c r="U24" s="632">
        <f>H24</f>
        <v>100</v>
      </c>
      <c r="V24" s="631" t="s">
        <v>25</v>
      </c>
      <c r="W24" s="632">
        <f>J24</f>
        <v>100</v>
      </c>
      <c r="X24" s="1335"/>
      <c r="Y24" s="3500"/>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0"/>
      <c r="M25" s="3021"/>
      <c r="N25" s="3021"/>
      <c r="O25" s="3022"/>
      <c r="P25" s="3500"/>
      <c r="Q25" s="1327">
        <f t="shared" si="11"/>
        <v>111</v>
      </c>
      <c r="R25" s="627" t="s">
        <v>25</v>
      </c>
      <c r="S25" s="628">
        <f>F25</f>
        <v>100</v>
      </c>
      <c r="T25" s="627" t="s">
        <v>25</v>
      </c>
      <c r="U25" s="628">
        <f>H25</f>
        <v>100</v>
      </c>
      <c r="V25" s="627" t="s">
        <v>25</v>
      </c>
      <c r="W25" s="628">
        <f>J25</f>
        <v>100</v>
      </c>
      <c r="X25" s="629"/>
      <c r="Y25" s="3500"/>
      <c r="Z25" s="19">
        <f>Q25</f>
        <v>111</v>
      </c>
      <c r="AA25" s="1337">
        <f>D25/F25</f>
        <v>1</v>
      </c>
      <c r="AB25" s="1337">
        <f>D25/H25</f>
        <v>1</v>
      </c>
      <c r="AC25" s="1337">
        <f>D25/J25</f>
        <v>1</v>
      </c>
    </row>
    <row r="26" spans="1:29" ht="30">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28"/>
      <c r="M26" s="3019"/>
      <c r="N26" s="3019"/>
      <c r="O26" s="3027"/>
      <c r="P26" s="3487"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8"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6"/>
      <c r="M27" s="358"/>
      <c r="N27" s="358"/>
      <c r="O27" s="3029"/>
      <c r="P27" s="3488"/>
      <c r="Q27" s="633" t="str">
        <f t="shared" si="11"/>
        <v>成新率</v>
      </c>
      <c r="R27" s="634" t="s">
        <v>25</v>
      </c>
      <c r="S27" s="635" t="e">
        <f t="shared" si="12"/>
        <v>#N/A</v>
      </c>
      <c r="T27" s="634" t="s">
        <v>25</v>
      </c>
      <c r="U27" s="635" t="e">
        <f t="shared" si="13"/>
        <v>#N/A</v>
      </c>
      <c r="V27" s="634" t="s">
        <v>25</v>
      </c>
      <c r="W27" s="635" t="e">
        <f t="shared" si="14"/>
        <v>#N/A</v>
      </c>
      <c r="X27" s="636"/>
      <c r="Y27" s="3488"/>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8"/>
      <c r="M28" s="3019"/>
      <c r="N28" s="3019"/>
      <c r="O28" s="3027"/>
      <c r="P28" s="3488"/>
      <c r="Q28" s="1334" t="str">
        <f t="shared" si="11"/>
        <v>物业等级</v>
      </c>
      <c r="R28" s="631" t="s">
        <v>25</v>
      </c>
      <c r="S28" s="632">
        <f t="shared" si="12"/>
        <v>100</v>
      </c>
      <c r="T28" s="631" t="s">
        <v>25</v>
      </c>
      <c r="U28" s="632">
        <f t="shared" si="13"/>
        <v>100</v>
      </c>
      <c r="V28" s="631" t="s">
        <v>25</v>
      </c>
      <c r="W28" s="632">
        <f t="shared" si="14"/>
        <v>100</v>
      </c>
      <c r="X28" s="1335"/>
      <c r="Y28" s="3488"/>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8"/>
      <c r="M29" s="3019"/>
      <c r="N29" s="3019"/>
      <c r="O29" s="3027"/>
      <c r="P29" s="3488"/>
      <c r="Q29" s="1334" t="str">
        <f t="shared" si="11"/>
        <v>有无电梯</v>
      </c>
      <c r="R29" s="631" t="s">
        <v>25</v>
      </c>
      <c r="S29" s="632">
        <f t="shared" si="12"/>
        <v>100</v>
      </c>
      <c r="T29" s="631" t="s">
        <v>25</v>
      </c>
      <c r="U29" s="632">
        <f t="shared" si="13"/>
        <v>100</v>
      </c>
      <c r="V29" s="631" t="s">
        <v>25</v>
      </c>
      <c r="W29" s="632">
        <f t="shared" si="14"/>
        <v>100</v>
      </c>
      <c r="X29" s="1335"/>
      <c r="Y29" s="3488"/>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8"/>
      <c r="M30" s="3019"/>
      <c r="N30" s="3019"/>
      <c r="O30" s="3027"/>
      <c r="P30" s="3488"/>
      <c r="Q30" s="1334" t="str">
        <f t="shared" si="11"/>
        <v>建筑面积</v>
      </c>
      <c r="R30" s="631" t="s">
        <v>25</v>
      </c>
      <c r="S30" s="632" t="e">
        <f t="shared" si="12"/>
        <v>#N/A</v>
      </c>
      <c r="T30" s="631" t="s">
        <v>25</v>
      </c>
      <c r="U30" s="632" t="e">
        <f t="shared" si="13"/>
        <v>#N/A</v>
      </c>
      <c r="V30" s="631" t="s">
        <v>25</v>
      </c>
      <c r="W30" s="632" t="e">
        <f t="shared" si="14"/>
        <v>#N/A</v>
      </c>
      <c r="X30" s="1335"/>
      <c r="Y30" s="3488"/>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0"/>
      <c r="M31" s="3021"/>
      <c r="N31" s="3021"/>
      <c r="O31" s="3022"/>
      <c r="P31" s="3488"/>
      <c r="Q31" s="1327" t="str">
        <f t="shared" si="11"/>
        <v>是否封闭</v>
      </c>
      <c r="R31" s="627" t="s">
        <v>25</v>
      </c>
      <c r="S31" s="628">
        <f t="shared" si="12"/>
        <v>100</v>
      </c>
      <c r="T31" s="627" t="s">
        <v>25</v>
      </c>
      <c r="U31" s="628">
        <f t="shared" si="13"/>
        <v>100</v>
      </c>
      <c r="V31" s="627" t="s">
        <v>25</v>
      </c>
      <c r="W31" s="628">
        <f t="shared" si="14"/>
        <v>100</v>
      </c>
      <c r="X31" s="629"/>
      <c r="Y31" s="348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28"/>
      <c r="M32" s="3019"/>
      <c r="N32" s="3019"/>
      <c r="O32" s="3027"/>
      <c r="P32" s="3488" t="s">
        <v>2276</v>
      </c>
      <c r="Q32" s="1334">
        <f t="shared" si="11"/>
        <v>111</v>
      </c>
      <c r="R32" s="631" t="s">
        <v>25</v>
      </c>
      <c r="S32" s="632">
        <f t="shared" si="12"/>
        <v>100</v>
      </c>
      <c r="T32" s="631" t="s">
        <v>25</v>
      </c>
      <c r="U32" s="632">
        <f t="shared" si="13"/>
        <v>100</v>
      </c>
      <c r="V32" s="631" t="s">
        <v>25</v>
      </c>
      <c r="W32" s="632">
        <f t="shared" si="14"/>
        <v>100</v>
      </c>
      <c r="X32" s="1335"/>
      <c r="Y32" s="3488"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28"/>
      <c r="M33" s="3019"/>
      <c r="N33" s="3019"/>
      <c r="O33" s="3027"/>
      <c r="P33" s="3488"/>
      <c r="Q33" s="1334">
        <f t="shared" si="11"/>
        <v>111</v>
      </c>
      <c r="R33" s="631" t="s">
        <v>25</v>
      </c>
      <c r="S33" s="632">
        <f t="shared" si="12"/>
        <v>100</v>
      </c>
      <c r="T33" s="631" t="s">
        <v>25</v>
      </c>
      <c r="U33" s="632">
        <f t="shared" si="13"/>
        <v>100</v>
      </c>
      <c r="V33" s="631" t="s">
        <v>25</v>
      </c>
      <c r="W33" s="632">
        <f t="shared" si="14"/>
        <v>100</v>
      </c>
      <c r="X33" s="1335"/>
      <c r="Y33" s="3488"/>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28"/>
      <c r="M34" s="3019"/>
      <c r="N34" s="3019"/>
      <c r="O34" s="3027"/>
      <c r="P34" s="3488"/>
      <c r="Q34" s="1334">
        <f t="shared" si="11"/>
        <v>111</v>
      </c>
      <c r="R34" s="631" t="s">
        <v>25</v>
      </c>
      <c r="S34" s="632">
        <f t="shared" si="12"/>
        <v>100</v>
      </c>
      <c r="T34" s="631" t="s">
        <v>25</v>
      </c>
      <c r="U34" s="632">
        <f t="shared" si="13"/>
        <v>100</v>
      </c>
      <c r="V34" s="631" t="s">
        <v>25</v>
      </c>
      <c r="W34" s="632">
        <f t="shared" si="14"/>
        <v>100</v>
      </c>
      <c r="X34" s="1335"/>
      <c r="Y34" s="3488"/>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0"/>
      <c r="N35" s="3019"/>
      <c r="P35" s="3482" t="str">
        <f>A35</f>
        <v>成交单价（元/平方米）</v>
      </c>
      <c r="Q35" s="3482"/>
      <c r="R35" s="3483">
        <f>E35</f>
        <v>0</v>
      </c>
      <c r="S35" s="3483"/>
      <c r="T35" s="3483">
        <f>G35</f>
        <v>0</v>
      </c>
      <c r="U35" s="3483"/>
      <c r="V35" s="3483">
        <f>I35</f>
        <v>0</v>
      </c>
      <c r="W35" s="3483"/>
      <c r="X35" s="618"/>
      <c r="Y35" s="638"/>
      <c r="Z35" s="618"/>
      <c r="AA35" s="618"/>
      <c r="AB35" s="618"/>
      <c r="AC35" s="618"/>
    </row>
    <row r="36" spans="1:29" ht="15" thickBot="1">
      <c r="A36" s="374" t="s">
        <v>2371</v>
      </c>
      <c r="B36" s="375"/>
      <c r="C36" s="1159" t="e">
        <f>R37</f>
        <v>#DIV/0!</v>
      </c>
      <c r="D36" s="1797" t="s">
        <v>2744</v>
      </c>
      <c r="E36" s="1160" t="e">
        <f>R36</f>
        <v>#DIV/0!</v>
      </c>
      <c r="F36" s="1799"/>
      <c r="G36" s="1159" t="e">
        <f>T36</f>
        <v>#DIV/0!</v>
      </c>
      <c r="H36" s="1799"/>
      <c r="I36" s="1160" t="e">
        <f>V36</f>
        <v>#DIV/0!</v>
      </c>
      <c r="J36" s="1799"/>
      <c r="K36" s="2511">
        <f>F36+H36+J36</f>
        <v>0</v>
      </c>
      <c r="L36" s="3030"/>
      <c r="N36" s="3019"/>
      <c r="P36" s="3482" t="str">
        <f>A36</f>
        <v>比较价值（元/平方米）</v>
      </c>
      <c r="Q36" s="3482"/>
      <c r="R36" s="3483" t="e">
        <f>IF(E1="售价",ROUND(PRODUCT(R35,AA7:AA34),0),ROUND(PRODUCT(R35,AA7:AA34),1))</f>
        <v>#DIV/0!</v>
      </c>
      <c r="S36" s="3483"/>
      <c r="T36" s="3483" t="e">
        <f>IF(E1="售价",ROUND(PRODUCT(T35,AB7:AB34),0),ROUND(PRODUCT(T35,AB7:AB34),1))</f>
        <v>#DIV/0!</v>
      </c>
      <c r="U36" s="3483"/>
      <c r="V36" s="3483" t="e">
        <f>IF(E1="售价",ROUND(PRODUCT(V35,AC7:AC34),0),ROUND(PRODUCT(V35,AC7:AC34),1))</f>
        <v>#DIV/0!</v>
      </c>
      <c r="W36" s="3483"/>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0"/>
      <c r="P37" s="3484" t="str">
        <f>A37</f>
        <v>估价对象XX用房的比较价值（楼面单价，元/平方米）</v>
      </c>
      <c r="Q37" s="3485"/>
      <c r="R37" s="3486" t="e">
        <f>IF(E1="售价",ROUND(IF(D36="简单平均",AVERAGE(R36:W36),R36*F36+T36*H36+V36*J36),0),ROUND(IF(D36="简单平均",AVERAGE(R36:V36),R36*F36+T36*H36+V36*J36),1))</f>
        <v>#DIV/0!</v>
      </c>
      <c r="S37" s="3486"/>
      <c r="T37" s="3486"/>
      <c r="U37" s="3486"/>
      <c r="V37" s="3486"/>
      <c r="W37" s="3486"/>
      <c r="X37" s="618"/>
      <c r="Y37" s="618"/>
      <c r="Z37" s="618"/>
      <c r="AA37" s="618"/>
      <c r="AB37" s="618"/>
      <c r="AC37" s="618"/>
    </row>
    <row r="38" spans="1:29">
      <c r="G38" s="3033"/>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4"/>
      <c r="L42" s="3031"/>
    </row>
    <row r="43" spans="1:29" s="388" customFormat="1">
      <c r="B43" s="3032"/>
      <c r="C43" s="3035"/>
      <c r="K43" s="3034"/>
      <c r="L43" s="3031"/>
    </row>
    <row r="44" spans="1:29">
      <c r="B44" s="3032"/>
      <c r="C44" s="3035"/>
    </row>
    <row r="45" spans="1:29" ht="22.2" thickBot="1">
      <c r="A45" s="620" t="s">
        <v>2376</v>
      </c>
      <c r="B45" s="618"/>
      <c r="C45" s="621"/>
      <c r="D45" s="621"/>
      <c r="E45" s="621"/>
      <c r="F45" s="622"/>
      <c r="G45" s="622"/>
      <c r="H45" s="621"/>
      <c r="I45" s="621"/>
      <c r="J45" s="621"/>
      <c r="K45" s="623"/>
      <c r="L45" s="624"/>
      <c r="M45" s="621"/>
      <c r="N45" s="3036"/>
      <c r="O45" s="3036"/>
      <c r="P45" s="389"/>
      <c r="Q45" s="390"/>
    </row>
    <row r="46" spans="1:29" s="394" customFormat="1" ht="14.4">
      <c r="A46" s="391" t="s">
        <v>2258</v>
      </c>
      <c r="B46" s="392"/>
      <c r="C46" s="1187" t="str">
        <f>YEAR(C7)&amp;"-"&amp;MONTH(C7)</f>
        <v>2021-7</v>
      </c>
      <c r="D46" s="1188">
        <f>EDATE(C46,-1)</f>
        <v>44348</v>
      </c>
      <c r="E46" s="1188">
        <f t="shared" ref="E46:O46" si="16">EDATE(D46,-1)</f>
        <v>44317</v>
      </c>
      <c r="F46" s="1188">
        <f t="shared" si="16"/>
        <v>44287</v>
      </c>
      <c r="G46" s="1188">
        <f t="shared" si="16"/>
        <v>44256</v>
      </c>
      <c r="H46" s="1188">
        <f t="shared" si="16"/>
        <v>44228</v>
      </c>
      <c r="I46" s="1188">
        <f t="shared" si="16"/>
        <v>44197</v>
      </c>
      <c r="J46" s="1188">
        <f t="shared" si="16"/>
        <v>44166</v>
      </c>
      <c r="K46" s="1188">
        <f t="shared" si="16"/>
        <v>44136</v>
      </c>
      <c r="L46" s="1188">
        <f t="shared" si="16"/>
        <v>44105</v>
      </c>
      <c r="M46" s="1188">
        <f t="shared" si="16"/>
        <v>44075</v>
      </c>
      <c r="N46" s="1188">
        <f t="shared" si="16"/>
        <v>44044</v>
      </c>
      <c r="O46" s="1188">
        <f t="shared" si="16"/>
        <v>44013</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05"/>
      <c r="E2" s="3005"/>
      <c r="F2" s="3004"/>
      <c r="G2" s="3005"/>
      <c r="H2" s="3005"/>
      <c r="I2" s="3005"/>
      <c r="J2" s="3005"/>
      <c r="K2" s="3006"/>
      <c r="L2" s="3007"/>
      <c r="M2" s="3005"/>
      <c r="N2" s="3005"/>
      <c r="O2" s="3005"/>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05"/>
      <c r="E3" s="3005"/>
      <c r="F3" s="3004"/>
      <c r="G3" s="3005"/>
      <c r="H3" s="3005"/>
      <c r="I3" s="3005"/>
      <c r="J3" s="3005"/>
      <c r="K3" s="3006"/>
      <c r="L3" s="3007"/>
      <c r="M3" s="3005"/>
      <c r="N3" s="3005"/>
      <c r="O3" s="3005"/>
      <c r="P3" s="1957"/>
      <c r="Q3" s="1957"/>
      <c r="R3" s="1957"/>
      <c r="S3" s="1957"/>
      <c r="T3" s="1957"/>
      <c r="U3" s="1957"/>
      <c r="V3" s="1957"/>
      <c r="W3" s="1957"/>
      <c r="X3" s="1957"/>
      <c r="Y3" s="1957"/>
      <c r="Z3" s="1957"/>
      <c r="AA3" s="1957"/>
      <c r="AB3" s="1964"/>
      <c r="AC3" s="1965"/>
    </row>
    <row r="4" spans="1:30" ht="14.4">
      <c r="A4" s="1663" t="s">
        <v>2245</v>
      </c>
      <c r="B4" s="1664"/>
      <c r="C4" s="3465" t="s">
        <v>2246</v>
      </c>
      <c r="D4" s="3466"/>
      <c r="E4" s="3467" t="s">
        <v>2247</v>
      </c>
      <c r="F4" s="3468"/>
      <c r="G4" s="3465" t="s">
        <v>2248</v>
      </c>
      <c r="H4" s="3466"/>
      <c r="I4" s="3465" t="s">
        <v>2249</v>
      </c>
      <c r="J4" s="3466"/>
      <c r="K4" s="1966" t="s">
        <v>2250</v>
      </c>
      <c r="L4" s="2990"/>
      <c r="M4" s="2991"/>
      <c r="N4" s="2991"/>
      <c r="O4" s="2991"/>
      <c r="P4" s="3469" t="s">
        <v>2251</v>
      </c>
      <c r="Q4" s="3470"/>
      <c r="R4" s="3454" t="s">
        <v>2247</v>
      </c>
      <c r="S4" s="3455"/>
      <c r="T4" s="3454" t="s">
        <v>2248</v>
      </c>
      <c r="U4" s="3455"/>
      <c r="V4" s="3475" t="s">
        <v>2249</v>
      </c>
      <c r="W4" s="3475"/>
      <c r="X4" s="1666"/>
      <c r="Y4" s="3454" t="s">
        <v>2251</v>
      </c>
      <c r="Z4" s="3455"/>
      <c r="AA4" s="3462" t="s">
        <v>2247</v>
      </c>
      <c r="AB4" s="3463" t="s">
        <v>2248</v>
      </c>
      <c r="AC4" s="3462" t="s">
        <v>2249</v>
      </c>
    </row>
    <row r="5" spans="1:30">
      <c r="A5" s="1668"/>
      <c r="B5" s="1669"/>
      <c r="C5" s="3450" t="s">
        <v>2252</v>
      </c>
      <c r="D5" s="3451"/>
      <c r="E5" s="3476" t="s">
        <v>2253</v>
      </c>
      <c r="F5" s="3477"/>
      <c r="G5" s="3450" t="s">
        <v>2254</v>
      </c>
      <c r="H5" s="3451"/>
      <c r="I5" s="3450" t="s">
        <v>2255</v>
      </c>
      <c r="J5" s="3451"/>
      <c r="K5" s="1966"/>
      <c r="L5" s="2990"/>
      <c r="M5" s="2991"/>
      <c r="N5" s="2991"/>
      <c r="O5" s="2991"/>
      <c r="P5" s="3471"/>
      <c r="Q5" s="3472"/>
      <c r="R5" s="3456"/>
      <c r="S5" s="3457"/>
      <c r="T5" s="3456"/>
      <c r="U5" s="3457"/>
      <c r="V5" s="3475"/>
      <c r="W5" s="3475"/>
      <c r="X5" s="1666"/>
      <c r="Y5" s="3456"/>
      <c r="Z5" s="3457"/>
      <c r="AA5" s="3463"/>
      <c r="AB5" s="3463"/>
      <c r="AC5" s="3463"/>
    </row>
    <row r="6" spans="1:30" ht="15" thickBot="1">
      <c r="A6" s="1671"/>
      <c r="B6" s="1672"/>
      <c r="C6" s="3448" t="s">
        <v>2256</v>
      </c>
      <c r="D6" s="3449"/>
      <c r="E6" s="3478" t="s">
        <v>2256</v>
      </c>
      <c r="F6" s="3479"/>
      <c r="G6" s="3448" t="s">
        <v>2256</v>
      </c>
      <c r="H6" s="3449"/>
      <c r="I6" s="3448" t="s">
        <v>2256</v>
      </c>
      <c r="J6" s="3449"/>
      <c r="K6" s="1966" t="s">
        <v>2257</v>
      </c>
      <c r="L6" s="2990"/>
      <c r="M6" s="2991"/>
      <c r="N6" s="2991"/>
      <c r="O6" s="2991"/>
      <c r="P6" s="3473"/>
      <c r="Q6" s="3474"/>
      <c r="R6" s="3456"/>
      <c r="S6" s="3457"/>
      <c r="T6" s="3458"/>
      <c r="U6" s="3459"/>
      <c r="V6" s="3475"/>
      <c r="W6" s="3475"/>
      <c r="X6" s="1666"/>
      <c r="Y6" s="3458"/>
      <c r="Z6" s="3459"/>
      <c r="AA6" s="3464"/>
      <c r="AB6" s="3464"/>
      <c r="AC6" s="3464"/>
    </row>
    <row r="7" spans="1:30" s="1685" customFormat="1" ht="15" thickBot="1">
      <c r="A7" s="1673" t="s">
        <v>2258</v>
      </c>
      <c r="B7" s="1674"/>
      <c r="C7" s="1675">
        <f>'数据-取费表'!B2</f>
        <v>44393</v>
      </c>
      <c r="D7" s="1676">
        <v>100</v>
      </c>
      <c r="E7" s="1677"/>
      <c r="F7" s="1678">
        <f>SUMIF(70:70,YEAR(E7)&amp;"-"&amp;INT((MONTH(E7)+2)/3),71:71)</f>
        <v>0</v>
      </c>
      <c r="G7" s="1967"/>
      <c r="H7" s="1676">
        <f>SUMIF(70:70,YEAR(G7)&amp;"-"&amp;INT((MONTH(G7)+2)/3),71:71)</f>
        <v>0</v>
      </c>
      <c r="I7" s="1967"/>
      <c r="J7" s="1676">
        <f>SUMIF(70:70,YEAR(I7)&amp;"-"&amp;INT((MONTH(I7)+2)/3),71:71)</f>
        <v>0</v>
      </c>
      <c r="K7" s="1968"/>
      <c r="L7" s="2990"/>
      <c r="M7" s="2963"/>
      <c r="N7" s="2963"/>
      <c r="O7" s="2963"/>
      <c r="P7" s="3452" t="s">
        <v>2259</v>
      </c>
      <c r="Q7" s="3460"/>
      <c r="R7" s="1681" t="s">
        <v>25</v>
      </c>
      <c r="S7" s="1682">
        <f t="shared" ref="S7:S15" si="0">F7</f>
        <v>0</v>
      </c>
      <c r="T7" s="1681" t="s">
        <v>25</v>
      </c>
      <c r="U7" s="1682">
        <f t="shared" ref="U7:U15" si="1">H7</f>
        <v>0</v>
      </c>
      <c r="V7" s="1681" t="s">
        <v>25</v>
      </c>
      <c r="W7" s="1682">
        <f t="shared" ref="W7:W15" si="2">J7</f>
        <v>0</v>
      </c>
      <c r="X7" s="1683"/>
      <c r="Y7" s="3452" t="s">
        <v>2259</v>
      </c>
      <c r="Z7" s="3453"/>
      <c r="AA7" s="1684" t="e">
        <f>D7/F7</f>
        <v>#DIV/0!</v>
      </c>
      <c r="AB7" s="1684" t="e">
        <f>D7/H7</f>
        <v>#DIV/0!</v>
      </c>
      <c r="AC7" s="1684" t="e">
        <f>D7/J7</f>
        <v>#DIV/0!</v>
      </c>
    </row>
    <row r="8" spans="1:30" s="1685" customFormat="1" ht="1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0"/>
      <c r="M8" s="2963"/>
      <c r="N8" s="2963"/>
      <c r="O8" s="2963"/>
      <c r="P8" s="3452" t="s">
        <v>2262</v>
      </c>
      <c r="Q8" s="3453"/>
      <c r="R8" s="1681" t="s">
        <v>25</v>
      </c>
      <c r="S8" s="1682">
        <f t="shared" si="0"/>
        <v>0</v>
      </c>
      <c r="T8" s="1681" t="s">
        <v>25</v>
      </c>
      <c r="U8" s="1682">
        <f t="shared" si="1"/>
        <v>0</v>
      </c>
      <c r="V8" s="1681" t="s">
        <v>25</v>
      </c>
      <c r="W8" s="1682">
        <f t="shared" si="2"/>
        <v>0</v>
      </c>
      <c r="X8" s="1683"/>
      <c r="Y8" s="3452" t="s">
        <v>2262</v>
      </c>
      <c r="Z8" s="3453"/>
      <c r="AA8" s="1684" t="e">
        <f t="shared" ref="AA8:AA45" si="3">D8/F8</f>
        <v>#DIV/0!</v>
      </c>
      <c r="AB8" s="1684" t="e">
        <f t="shared" ref="AB8:AB45" si="4">D8/H8</f>
        <v>#DIV/0!</v>
      </c>
      <c r="AC8" s="1684" t="e">
        <f t="shared" ref="AC8:AC45" si="5">D8/J8</f>
        <v>#DIV/0!</v>
      </c>
    </row>
    <row r="9" spans="1:30" s="1685" customFormat="1" ht="14.4">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0"/>
      <c r="M9" s="2963"/>
      <c r="N9" s="2963"/>
      <c r="O9" s="3037"/>
      <c r="P9" s="3438" t="s">
        <v>2265</v>
      </c>
      <c r="Q9" s="1635" t="str">
        <f t="shared" ref="Q9:Q15" si="6">B9</f>
        <v>用途</v>
      </c>
      <c r="R9" s="1681" t="s">
        <v>25</v>
      </c>
      <c r="S9" s="1682">
        <f t="shared" si="0"/>
        <v>100</v>
      </c>
      <c r="T9" s="1681" t="s">
        <v>25</v>
      </c>
      <c r="U9" s="1682">
        <f t="shared" si="1"/>
        <v>100</v>
      </c>
      <c r="V9" s="1681" t="s">
        <v>25</v>
      </c>
      <c r="W9" s="1682">
        <f t="shared" si="2"/>
        <v>100</v>
      </c>
      <c r="X9" s="1683"/>
      <c r="Y9" s="3299" t="s">
        <v>2266</v>
      </c>
      <c r="Z9" s="1694" t="str">
        <f t="shared" ref="Z9:Z15" si="7">Q9</f>
        <v>用途</v>
      </c>
      <c r="AA9" s="1684">
        <f t="shared" si="3"/>
        <v>1</v>
      </c>
      <c r="AB9" s="1684">
        <f t="shared" si="4"/>
        <v>1</v>
      </c>
      <c r="AC9" s="1684">
        <f t="shared" si="5"/>
        <v>1</v>
      </c>
    </row>
    <row r="10" spans="1:30" s="1702" customFormat="1" ht="28.8">
      <c r="A10" s="1695"/>
      <c r="B10" s="1696" t="s">
        <v>2267</v>
      </c>
      <c r="C10" s="1708"/>
      <c r="D10" s="1698">
        <v>100</v>
      </c>
      <c r="E10" s="1760"/>
      <c r="F10" s="1698">
        <f>ROUND(100/'数据-取费表'!B14,0)</f>
        <v>114</v>
      </c>
      <c r="G10" s="1758"/>
      <c r="H10" s="1698">
        <f>ROUND(100/'数据-取费表'!B14,0)</f>
        <v>114</v>
      </c>
      <c r="I10" s="1758"/>
      <c r="J10" s="1698">
        <f>ROUND(100/'数据-取费表'!B14,0)</f>
        <v>114</v>
      </c>
      <c r="K10" s="1970"/>
      <c r="L10" s="2992"/>
      <c r="M10" s="2993"/>
      <c r="N10" s="2993"/>
      <c r="O10" s="3038"/>
      <c r="P10" s="3438"/>
      <c r="Q10" s="1635" t="str">
        <f t="shared" si="6"/>
        <v>土地使用年限（年）</v>
      </c>
      <c r="R10" s="1681" t="s">
        <v>25</v>
      </c>
      <c r="S10" s="1682">
        <f t="shared" si="0"/>
        <v>114</v>
      </c>
      <c r="T10" s="1681" t="s">
        <v>25</v>
      </c>
      <c r="U10" s="1682">
        <f t="shared" si="1"/>
        <v>114</v>
      </c>
      <c r="V10" s="1681" t="s">
        <v>25</v>
      </c>
      <c r="W10" s="1682">
        <f t="shared" si="2"/>
        <v>114</v>
      </c>
      <c r="X10" s="1683"/>
      <c r="Y10" s="3299"/>
      <c r="Z10" s="1694" t="str">
        <f t="shared" si="7"/>
        <v>土地使用年限（年）</v>
      </c>
      <c r="AA10" s="1684">
        <f t="shared" si="3"/>
        <v>0.8771929824561403</v>
      </c>
      <c r="AB10" s="1684">
        <f t="shared" si="4"/>
        <v>0.8771929824561403</v>
      </c>
      <c r="AC10" s="1684">
        <f t="shared" si="5"/>
        <v>0.8771929824561403</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4"/>
      <c r="M11" s="2991"/>
      <c r="N11" s="2991"/>
      <c r="O11" s="3039"/>
      <c r="P11" s="3438"/>
      <c r="Q11" s="1635" t="str">
        <f t="shared" si="6"/>
        <v>容积率</v>
      </c>
      <c r="R11" s="1681" t="s">
        <v>25</v>
      </c>
      <c r="S11" s="1682" t="e">
        <f t="shared" si="0"/>
        <v>#N/A</v>
      </c>
      <c r="T11" s="1681" t="s">
        <v>25</v>
      </c>
      <c r="U11" s="1682" t="e">
        <f t="shared" si="1"/>
        <v>#N/A</v>
      </c>
      <c r="V11" s="1681" t="s">
        <v>25</v>
      </c>
      <c r="W11" s="1682" t="e">
        <f t="shared" si="2"/>
        <v>#N/A</v>
      </c>
      <c r="X11" s="1683"/>
      <c r="Y11" s="3299"/>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0"/>
      <c r="M12" s="2963"/>
      <c r="N12" s="2963"/>
      <c r="O12" s="3037"/>
      <c r="P12" s="3438"/>
      <c r="Q12" s="1635" t="str">
        <f t="shared" si="6"/>
        <v>配建</v>
      </c>
      <c r="R12" s="1681" t="s">
        <v>25</v>
      </c>
      <c r="S12" s="1682">
        <f t="shared" si="0"/>
        <v>100</v>
      </c>
      <c r="T12" s="1681" t="s">
        <v>25</v>
      </c>
      <c r="U12" s="1682">
        <f t="shared" si="1"/>
        <v>100</v>
      </c>
      <c r="V12" s="1681" t="s">
        <v>25</v>
      </c>
      <c r="W12" s="1682">
        <f t="shared" si="2"/>
        <v>100</v>
      </c>
      <c r="X12" s="1683"/>
      <c r="Y12" s="329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2995"/>
      <c r="M13" s="2991"/>
      <c r="N13" s="2991"/>
      <c r="O13" s="3039"/>
      <c r="P13" s="3438"/>
      <c r="Q13" s="1635">
        <f t="shared" si="6"/>
        <v>111</v>
      </c>
      <c r="R13" s="1681" t="s">
        <v>25</v>
      </c>
      <c r="S13" s="1682">
        <f t="shared" si="0"/>
        <v>100</v>
      </c>
      <c r="T13" s="1681" t="s">
        <v>25</v>
      </c>
      <c r="U13" s="1682">
        <f t="shared" si="1"/>
        <v>100</v>
      </c>
      <c r="V13" s="1681" t="s">
        <v>25</v>
      </c>
      <c r="W13" s="1682">
        <f t="shared" si="2"/>
        <v>100</v>
      </c>
      <c r="X13" s="1683"/>
      <c r="Y13" s="3299"/>
      <c r="Z13" s="1694">
        <f t="shared" si="7"/>
        <v>111</v>
      </c>
      <c r="AA13" s="1684">
        <f>D13/F13</f>
        <v>1</v>
      </c>
      <c r="AB13" s="1684">
        <f>D13/H13</f>
        <v>1</v>
      </c>
      <c r="AC13" s="1684">
        <f>D13/J13</f>
        <v>1</v>
      </c>
    </row>
    <row r="14" spans="1:30" ht="15.6"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2995"/>
      <c r="M14" s="2991"/>
      <c r="N14" s="2991"/>
      <c r="O14" s="3039"/>
      <c r="P14" s="3438"/>
      <c r="Q14" s="1635">
        <f t="shared" si="6"/>
        <v>111</v>
      </c>
      <c r="R14" s="1681" t="s">
        <v>25</v>
      </c>
      <c r="S14" s="1682">
        <f t="shared" si="0"/>
        <v>100</v>
      </c>
      <c r="T14" s="1681" t="s">
        <v>25</v>
      </c>
      <c r="U14" s="1682">
        <f t="shared" si="1"/>
        <v>100</v>
      </c>
      <c r="V14" s="1681" t="s">
        <v>25</v>
      </c>
      <c r="W14" s="1682">
        <f t="shared" si="2"/>
        <v>100</v>
      </c>
      <c r="X14" s="1683"/>
      <c r="Y14" s="3299"/>
      <c r="Z14" s="1694">
        <f t="shared" si="7"/>
        <v>111</v>
      </c>
      <c r="AA14" s="1684">
        <f>D14/F14</f>
        <v>1</v>
      </c>
      <c r="AB14" s="1684">
        <f>D14/H14</f>
        <v>1</v>
      </c>
      <c r="AC14" s="1684">
        <f>D14/J14</f>
        <v>1</v>
      </c>
    </row>
    <row r="15" spans="1:30" ht="96.6">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2995"/>
      <c r="M15" s="2991"/>
      <c r="N15" s="2991"/>
      <c r="O15" s="3039"/>
      <c r="P15" s="3441" t="s">
        <v>2270</v>
      </c>
      <c r="Q15" s="1616" t="str">
        <f t="shared" si="6"/>
        <v>居住社区成熟度</v>
      </c>
      <c r="R15" s="1726" t="s">
        <v>25</v>
      </c>
      <c r="S15" s="1727">
        <f t="shared" si="0"/>
        <v>100</v>
      </c>
      <c r="T15" s="1726" t="s">
        <v>25</v>
      </c>
      <c r="U15" s="1727">
        <f t="shared" si="1"/>
        <v>100</v>
      </c>
      <c r="V15" s="1726" t="s">
        <v>25</v>
      </c>
      <c r="W15" s="1727">
        <f t="shared" si="2"/>
        <v>100</v>
      </c>
      <c r="X15" s="1666"/>
      <c r="Y15" s="3441"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2995"/>
      <c r="M16" s="2991"/>
      <c r="N16" s="2991"/>
      <c r="O16" s="3039"/>
      <c r="P16" s="3442"/>
      <c r="Q16" s="1616"/>
      <c r="R16" s="1726"/>
      <c r="S16" s="1727"/>
      <c r="T16" s="1726"/>
      <c r="U16" s="1727"/>
      <c r="V16" s="1726"/>
      <c r="W16" s="1727"/>
      <c r="X16" s="1666"/>
      <c r="Y16" s="3442"/>
      <c r="Z16" s="1728"/>
      <c r="AA16" s="1729">
        <v>1</v>
      </c>
      <c r="AB16" s="1729">
        <v>1</v>
      </c>
      <c r="AC16" s="1729">
        <v>1</v>
      </c>
    </row>
    <row r="17" spans="1:29" ht="82.8">
      <c r="A17" s="1668"/>
      <c r="B17" s="1977" t="s">
        <v>2355</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2995"/>
      <c r="M17" s="2991"/>
      <c r="N17" s="2991"/>
      <c r="O17" s="3039"/>
      <c r="P17" s="3442"/>
      <c r="Q17" s="1616" t="str">
        <f>B17</f>
        <v>商业繁华度</v>
      </c>
      <c r="R17" s="1726" t="s">
        <v>25</v>
      </c>
      <c r="S17" s="1727">
        <f>F17</f>
        <v>100</v>
      </c>
      <c r="T17" s="1726" t="s">
        <v>25</v>
      </c>
      <c r="U17" s="1727">
        <f>H17</f>
        <v>100</v>
      </c>
      <c r="V17" s="1726" t="s">
        <v>25</v>
      </c>
      <c r="W17" s="1727">
        <f>J17</f>
        <v>100</v>
      </c>
      <c r="X17" s="1666"/>
      <c r="Y17" s="344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2995"/>
      <c r="M18" s="2991"/>
      <c r="N18" s="2991"/>
      <c r="O18" s="3039"/>
      <c r="P18" s="3442"/>
      <c r="Q18" s="1616"/>
      <c r="R18" s="1726"/>
      <c r="S18" s="1727"/>
      <c r="T18" s="1726"/>
      <c r="U18" s="1727"/>
      <c r="V18" s="1726"/>
      <c r="W18" s="1727"/>
      <c r="X18" s="1666"/>
      <c r="Y18" s="3442"/>
      <c r="Z18" s="1728"/>
      <c r="AA18" s="1729">
        <v>1</v>
      </c>
      <c r="AB18" s="1729">
        <v>1</v>
      </c>
      <c r="AC18" s="1729">
        <v>1</v>
      </c>
    </row>
    <row r="19" spans="1:29" ht="82.8">
      <c r="A19" s="1668"/>
      <c r="B19" s="1977" t="s">
        <v>2384</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2995"/>
      <c r="M19" s="2991"/>
      <c r="N19" s="2991"/>
      <c r="O19" s="3039"/>
      <c r="P19" s="3442"/>
      <c r="Q19" s="1616" t="str">
        <f>B19</f>
        <v>办公集聚程度</v>
      </c>
      <c r="R19" s="1726" t="s">
        <v>25</v>
      </c>
      <c r="S19" s="1727">
        <f>F19</f>
        <v>100</v>
      </c>
      <c r="T19" s="1726" t="s">
        <v>25</v>
      </c>
      <c r="U19" s="1727">
        <f>H19</f>
        <v>100</v>
      </c>
      <c r="V19" s="1726" t="s">
        <v>25</v>
      </c>
      <c r="W19" s="1727">
        <f>J19</f>
        <v>100</v>
      </c>
      <c r="X19" s="1666"/>
      <c r="Y19" s="344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2995"/>
      <c r="M20" s="2991"/>
      <c r="N20" s="2991"/>
      <c r="O20" s="3039"/>
      <c r="P20" s="3442"/>
      <c r="Q20" s="1616"/>
      <c r="R20" s="1726"/>
      <c r="S20" s="1727"/>
      <c r="T20" s="1726"/>
      <c r="U20" s="1727"/>
      <c r="V20" s="1726"/>
      <c r="W20" s="1727"/>
      <c r="X20" s="1666"/>
      <c r="Y20" s="3442"/>
      <c r="Z20" s="1728"/>
      <c r="AA20" s="1729">
        <v>1</v>
      </c>
      <c r="AB20" s="1729">
        <v>1</v>
      </c>
      <c r="AC20" s="1729">
        <v>1</v>
      </c>
    </row>
    <row r="21" spans="1:29" ht="96.6">
      <c r="A21" s="1668"/>
      <c r="B21" s="1977" t="s">
        <v>2407</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2995"/>
      <c r="M21" s="2991"/>
      <c r="N21" s="2991"/>
      <c r="O21" s="3039"/>
      <c r="P21" s="3442"/>
      <c r="Q21" s="1616" t="str">
        <f>B21</f>
        <v>交通便捷度</v>
      </c>
      <c r="R21" s="1726" t="s">
        <v>25</v>
      </c>
      <c r="S21" s="1727">
        <f>F21</f>
        <v>100</v>
      </c>
      <c r="T21" s="1726" t="s">
        <v>25</v>
      </c>
      <c r="U21" s="1727">
        <f>H21</f>
        <v>100</v>
      </c>
      <c r="V21" s="1726" t="s">
        <v>25</v>
      </c>
      <c r="W21" s="1727">
        <f>J21</f>
        <v>100</v>
      </c>
      <c r="X21" s="1666"/>
      <c r="Y21" s="344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2995"/>
      <c r="M22" s="2991"/>
      <c r="N22" s="2991"/>
      <c r="O22" s="3039"/>
      <c r="P22" s="3442"/>
      <c r="Q22" s="1616"/>
      <c r="R22" s="1726"/>
      <c r="S22" s="1727"/>
      <c r="T22" s="1726"/>
      <c r="U22" s="1727"/>
      <c r="V22" s="1726"/>
      <c r="W22" s="1727"/>
      <c r="X22" s="1666"/>
      <c r="Y22" s="3442"/>
      <c r="Z22" s="1728"/>
      <c r="AA22" s="1729">
        <v>1</v>
      </c>
      <c r="AB22" s="1729">
        <v>1</v>
      </c>
      <c r="AC22" s="1729">
        <v>1</v>
      </c>
    </row>
    <row r="23" spans="1:29" ht="28.8">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2995"/>
      <c r="M23" s="2991"/>
      <c r="N23" s="2991"/>
      <c r="O23" s="3039"/>
      <c r="P23" s="3442"/>
      <c r="Q23" s="1616" t="str">
        <f t="shared" ref="Q23:Q37" si="8">B23</f>
        <v>区域土地利用方向</v>
      </c>
      <c r="R23" s="1726" t="s">
        <v>25</v>
      </c>
      <c r="S23" s="1727">
        <f>F23</f>
        <v>100</v>
      </c>
      <c r="T23" s="1726" t="s">
        <v>25</v>
      </c>
      <c r="U23" s="1727">
        <f>H23</f>
        <v>100</v>
      </c>
      <c r="V23" s="1726" t="s">
        <v>25</v>
      </c>
      <c r="W23" s="1727">
        <f>J23</f>
        <v>100</v>
      </c>
      <c r="X23" s="1666"/>
      <c r="Y23" s="344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2995"/>
      <c r="M24" s="2991"/>
      <c r="N24" s="2991"/>
      <c r="O24" s="3039"/>
      <c r="P24" s="3442"/>
      <c r="Q24" s="1616"/>
      <c r="R24" s="1726"/>
      <c r="S24" s="1727"/>
      <c r="T24" s="1726"/>
      <c r="U24" s="1727"/>
      <c r="V24" s="1726"/>
      <c r="W24" s="1727"/>
      <c r="X24" s="1666"/>
      <c r="Y24" s="3442"/>
      <c r="Z24" s="1728"/>
      <c r="AA24" s="1729"/>
      <c r="AB24" s="1729"/>
      <c r="AC24" s="1729"/>
    </row>
    <row r="25" spans="1:29" ht="55.2">
      <c r="A25" s="1668"/>
      <c r="B25" s="1982" t="s">
        <v>2448</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2995"/>
      <c r="M25" s="2991"/>
      <c r="N25" s="2991"/>
      <c r="O25" s="3039"/>
      <c r="P25" s="3442"/>
      <c r="Q25" s="1616" t="str">
        <f t="shared" si="8"/>
        <v>自然及人文环境状况</v>
      </c>
      <c r="R25" s="1726" t="s">
        <v>25</v>
      </c>
      <c r="S25" s="1727">
        <f>F25</f>
        <v>100</v>
      </c>
      <c r="T25" s="1726" t="s">
        <v>25</v>
      </c>
      <c r="U25" s="1727">
        <f>H25</f>
        <v>100</v>
      </c>
      <c r="V25" s="1726" t="s">
        <v>25</v>
      </c>
      <c r="W25" s="1727">
        <f>J25</f>
        <v>100</v>
      </c>
      <c r="X25" s="1666"/>
      <c r="Y25" s="344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2995"/>
      <c r="M26" s="2991"/>
      <c r="N26" s="2991"/>
      <c r="O26" s="3039"/>
      <c r="P26" s="3442"/>
      <c r="Q26" s="1616"/>
      <c r="R26" s="1726"/>
      <c r="S26" s="1727"/>
      <c r="T26" s="1726"/>
      <c r="U26" s="1727"/>
      <c r="V26" s="1726"/>
      <c r="W26" s="1727"/>
      <c r="X26" s="1666"/>
      <c r="Y26" s="3442"/>
      <c r="Z26" s="1728"/>
      <c r="AA26" s="1729">
        <v>1</v>
      </c>
      <c r="AB26" s="1729">
        <v>1</v>
      </c>
      <c r="AC26" s="1729">
        <v>1</v>
      </c>
    </row>
    <row r="27" spans="1:29" ht="41.4">
      <c r="A27" s="1668"/>
      <c r="B27" s="1982" t="s">
        <v>2356</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2995"/>
      <c r="M27" s="2991"/>
      <c r="N27" s="2991"/>
      <c r="O27" s="3039"/>
      <c r="P27" s="3442"/>
      <c r="Q27" s="1635" t="str">
        <f t="shared" ref="Q27" si="9">B27</f>
        <v>公共配套设施</v>
      </c>
      <c r="R27" s="1681" t="s">
        <v>25</v>
      </c>
      <c r="S27" s="1682">
        <f>F27</f>
        <v>100</v>
      </c>
      <c r="T27" s="1681" t="s">
        <v>25</v>
      </c>
      <c r="U27" s="1682">
        <f>H27</f>
        <v>100</v>
      </c>
      <c r="V27" s="1681" t="s">
        <v>25</v>
      </c>
      <c r="W27" s="1682">
        <f>J27</f>
        <v>100</v>
      </c>
      <c r="X27" s="1666"/>
      <c r="Y27" s="344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2995"/>
      <c r="M28" s="2991"/>
      <c r="N28" s="2991"/>
      <c r="O28" s="3039"/>
      <c r="P28" s="3442"/>
      <c r="Q28" s="1616"/>
      <c r="R28" s="1726"/>
      <c r="S28" s="1727"/>
      <c r="T28" s="1726"/>
      <c r="U28" s="1727"/>
      <c r="V28" s="1726"/>
      <c r="W28" s="1727"/>
      <c r="X28" s="1666"/>
      <c r="Y28" s="3442"/>
      <c r="Z28" s="1694"/>
      <c r="AA28" s="1729">
        <v>1</v>
      </c>
      <c r="AB28" s="1729">
        <v>1</v>
      </c>
      <c r="AC28" s="1729">
        <v>1</v>
      </c>
    </row>
    <row r="29" spans="1:29" s="1685" customFormat="1" ht="41.4">
      <c r="A29" s="1988"/>
      <c r="B29" s="1982" t="s">
        <v>2357</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0"/>
      <c r="M29" s="2963"/>
      <c r="N29" s="2963"/>
      <c r="O29" s="3037"/>
      <c r="P29" s="3442"/>
      <c r="Q29" s="1635" t="str">
        <f t="shared" si="8"/>
        <v>基础设施水平</v>
      </c>
      <c r="R29" s="1681" t="s">
        <v>25</v>
      </c>
      <c r="S29" s="1682">
        <f>F29</f>
        <v>100</v>
      </c>
      <c r="T29" s="1681" t="s">
        <v>25</v>
      </c>
      <c r="U29" s="1682">
        <f>H29</f>
        <v>100</v>
      </c>
      <c r="V29" s="1681" t="s">
        <v>25</v>
      </c>
      <c r="W29" s="1682">
        <f>J29</f>
        <v>100</v>
      </c>
      <c r="X29" s="1683"/>
      <c r="Y29" s="344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0"/>
      <c r="M30" s="2963"/>
      <c r="N30" s="2963"/>
      <c r="O30" s="3037"/>
      <c r="P30" s="3442"/>
      <c r="Q30" s="1635"/>
      <c r="R30" s="1681"/>
      <c r="S30" s="1682"/>
      <c r="T30" s="1681"/>
      <c r="U30" s="1682"/>
      <c r="V30" s="1681"/>
      <c r="W30" s="1682"/>
      <c r="X30" s="1683"/>
      <c r="Y30" s="3442"/>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2995"/>
      <c r="M31" s="2991"/>
      <c r="N31" s="2991"/>
      <c r="O31" s="3039"/>
      <c r="P31" s="344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2"/>
      <c r="Z31" s="1728" t="str">
        <f t="shared" ref="Z31:Z45" si="13">Q31</f>
        <v>临街状况</v>
      </c>
      <c r="AA31" s="1729">
        <f t="shared" si="3"/>
        <v>1</v>
      </c>
      <c r="AB31" s="1729">
        <f t="shared" si="4"/>
        <v>1</v>
      </c>
      <c r="AC31" s="1729">
        <f t="shared" si="5"/>
        <v>1</v>
      </c>
    </row>
    <row r="32" spans="1:29" ht="28.8">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2995"/>
      <c r="M32" s="2991"/>
      <c r="N32" s="2991"/>
      <c r="O32" s="3039"/>
      <c r="P32" s="3442"/>
      <c r="Q32" s="1616" t="str">
        <f t="shared" si="8"/>
        <v>毗邻道路的类型与等级</v>
      </c>
      <c r="R32" s="1726" t="s">
        <v>25</v>
      </c>
      <c r="S32" s="1727">
        <f t="shared" si="10"/>
        <v>100</v>
      </c>
      <c r="T32" s="1726" t="s">
        <v>25</v>
      </c>
      <c r="U32" s="1727">
        <f t="shared" si="11"/>
        <v>100</v>
      </c>
      <c r="V32" s="1726" t="s">
        <v>25</v>
      </c>
      <c r="W32" s="1727">
        <f t="shared" si="12"/>
        <v>100</v>
      </c>
      <c r="X32" s="1666"/>
      <c r="Y32" s="344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2995"/>
      <c r="M33" s="2991"/>
      <c r="N33" s="2991"/>
      <c r="O33" s="3039"/>
      <c r="P33" s="3442"/>
      <c r="Q33" s="1616"/>
      <c r="R33" s="1726"/>
      <c r="S33" s="1727"/>
      <c r="T33" s="1726"/>
      <c r="U33" s="1727"/>
      <c r="V33" s="1726"/>
      <c r="W33" s="1727"/>
      <c r="X33" s="1666"/>
      <c r="Y33" s="3442"/>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2995"/>
      <c r="M34" s="2991"/>
      <c r="N34" s="2991"/>
      <c r="O34" s="3039"/>
      <c r="P34" s="3442"/>
      <c r="Q34" s="1616" t="str">
        <f t="shared" si="8"/>
        <v>土地级别</v>
      </c>
      <c r="R34" s="1726" t="s">
        <v>25</v>
      </c>
      <c r="S34" s="1727">
        <f t="shared" si="10"/>
        <v>100</v>
      </c>
      <c r="T34" s="1726" t="s">
        <v>25</v>
      </c>
      <c r="U34" s="1727">
        <f t="shared" si="11"/>
        <v>100</v>
      </c>
      <c r="V34" s="1726" t="s">
        <v>25</v>
      </c>
      <c r="W34" s="1727">
        <f t="shared" si="12"/>
        <v>100</v>
      </c>
      <c r="X34" s="1666"/>
      <c r="Y34" s="344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2995"/>
      <c r="M35" s="2991"/>
      <c r="N35" s="2991"/>
      <c r="O35" s="3039"/>
      <c r="P35" s="3442"/>
      <c r="Q35" s="1616">
        <f t="shared" si="8"/>
        <v>111</v>
      </c>
      <c r="R35" s="1726" t="s">
        <v>25</v>
      </c>
      <c r="S35" s="1727">
        <f t="shared" si="10"/>
        <v>100</v>
      </c>
      <c r="T35" s="1726" t="s">
        <v>25</v>
      </c>
      <c r="U35" s="1727">
        <f t="shared" si="11"/>
        <v>100</v>
      </c>
      <c r="V35" s="1726" t="s">
        <v>25</v>
      </c>
      <c r="W35" s="1727">
        <f t="shared" si="12"/>
        <v>100</v>
      </c>
      <c r="X35" s="1666"/>
      <c r="Y35" s="344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2995"/>
      <c r="M36" s="2991"/>
      <c r="N36" s="2991"/>
      <c r="O36" s="3039"/>
      <c r="P36" s="3480" t="s">
        <v>2276</v>
      </c>
      <c r="Q36" s="1616">
        <f t="shared" si="8"/>
        <v>111</v>
      </c>
      <c r="R36" s="1726" t="s">
        <v>25</v>
      </c>
      <c r="S36" s="1727">
        <f t="shared" si="10"/>
        <v>100</v>
      </c>
      <c r="T36" s="1726" t="s">
        <v>25</v>
      </c>
      <c r="U36" s="1727">
        <f t="shared" si="11"/>
        <v>100</v>
      </c>
      <c r="V36" s="1726" t="s">
        <v>25</v>
      </c>
      <c r="W36" s="1727">
        <f t="shared" si="12"/>
        <v>100</v>
      </c>
      <c r="X36" s="1666"/>
      <c r="Y36" s="3446" t="s">
        <v>2276</v>
      </c>
      <c r="Z36" s="1728">
        <f t="shared" si="13"/>
        <v>111</v>
      </c>
      <c r="AA36" s="1729">
        <f t="shared" si="3"/>
        <v>1</v>
      </c>
      <c r="AB36" s="1729">
        <f t="shared" si="4"/>
        <v>1</v>
      </c>
      <c r="AC36" s="1729">
        <f t="shared" si="5"/>
        <v>1</v>
      </c>
    </row>
    <row r="37" spans="1:29" s="1772" customFormat="1" ht="15.6"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4"/>
      <c r="M37" s="2060"/>
      <c r="N37" s="2060"/>
      <c r="O37" s="3040"/>
      <c r="P37" s="3446"/>
      <c r="Q37" s="1616">
        <f t="shared" si="8"/>
        <v>111</v>
      </c>
      <c r="R37" s="1768" t="s">
        <v>25</v>
      </c>
      <c r="S37" s="1769">
        <f t="shared" si="10"/>
        <v>100</v>
      </c>
      <c r="T37" s="1768" t="s">
        <v>25</v>
      </c>
      <c r="U37" s="1769">
        <f t="shared" si="11"/>
        <v>100</v>
      </c>
      <c r="V37" s="1768" t="s">
        <v>25</v>
      </c>
      <c r="W37" s="1769">
        <f t="shared" si="12"/>
        <v>100</v>
      </c>
      <c r="X37" s="1770"/>
      <c r="Y37" s="3446"/>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2995"/>
      <c r="M38" s="2991"/>
      <c r="N38" s="2991"/>
      <c r="O38" s="3039"/>
      <c r="P38" s="3446"/>
      <c r="Q38" s="1616" t="str">
        <f>B38</f>
        <v>宗地面积</v>
      </c>
      <c r="R38" s="1726" t="s">
        <v>25</v>
      </c>
      <c r="S38" s="1727" t="e">
        <f t="shared" si="10"/>
        <v>#N/A</v>
      </c>
      <c r="T38" s="1726" t="s">
        <v>25</v>
      </c>
      <c r="U38" s="1727" t="e">
        <f t="shared" si="11"/>
        <v>#N/A</v>
      </c>
      <c r="V38" s="1726" t="s">
        <v>25</v>
      </c>
      <c r="W38" s="1727" t="e">
        <f t="shared" si="12"/>
        <v>#N/A</v>
      </c>
      <c r="X38" s="1666"/>
      <c r="Y38" s="3446"/>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2995"/>
      <c r="M39" s="2991"/>
      <c r="N39" s="2991"/>
      <c r="O39" s="3039"/>
      <c r="P39" s="3446"/>
      <c r="Q39" s="1616" t="str">
        <f t="shared" ref="Q39:Q45" si="14">B39</f>
        <v>宗地形状</v>
      </c>
      <c r="R39" s="1726" t="s">
        <v>25</v>
      </c>
      <c r="S39" s="1727">
        <f t="shared" si="10"/>
        <v>100</v>
      </c>
      <c r="T39" s="1726" t="s">
        <v>25</v>
      </c>
      <c r="U39" s="1727">
        <f t="shared" si="11"/>
        <v>100</v>
      </c>
      <c r="V39" s="1726" t="s">
        <v>25</v>
      </c>
      <c r="W39" s="1727">
        <f t="shared" si="12"/>
        <v>100</v>
      </c>
      <c r="X39" s="1666"/>
      <c r="Y39" s="3446"/>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2995"/>
      <c r="M40" s="2991"/>
      <c r="N40" s="2991"/>
      <c r="O40" s="3039"/>
      <c r="P40" s="3446"/>
      <c r="Q40" s="1616" t="str">
        <f t="shared" si="14"/>
        <v>临街宽度及深度</v>
      </c>
      <c r="R40" s="1726" t="s">
        <v>25</v>
      </c>
      <c r="S40" s="1727">
        <f t="shared" si="10"/>
        <v>100</v>
      </c>
      <c r="T40" s="1726" t="s">
        <v>25</v>
      </c>
      <c r="U40" s="1727">
        <f t="shared" si="11"/>
        <v>100</v>
      </c>
      <c r="V40" s="1726" t="s">
        <v>25</v>
      </c>
      <c r="W40" s="1727">
        <f t="shared" si="12"/>
        <v>100</v>
      </c>
      <c r="X40" s="1666"/>
      <c r="Y40" s="3446"/>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0"/>
      <c r="M41" s="2963"/>
      <c r="N41" s="2963"/>
      <c r="O41" s="3037"/>
      <c r="P41" s="3446"/>
      <c r="Q41" s="1616" t="str">
        <f t="shared" si="14"/>
        <v>宗地开发程度</v>
      </c>
      <c r="R41" s="1681" t="s">
        <v>25</v>
      </c>
      <c r="S41" s="1682">
        <f t="shared" si="10"/>
        <v>100</v>
      </c>
      <c r="T41" s="1681" t="s">
        <v>25</v>
      </c>
      <c r="U41" s="1682">
        <f t="shared" si="11"/>
        <v>100</v>
      </c>
      <c r="V41" s="1681" t="s">
        <v>25</v>
      </c>
      <c r="W41" s="1682">
        <f t="shared" si="12"/>
        <v>100</v>
      </c>
      <c r="X41" s="1683"/>
      <c r="Y41" s="3446"/>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2995"/>
      <c r="M42" s="2991"/>
      <c r="N42" s="2991"/>
      <c r="O42" s="3039"/>
      <c r="P42" s="3446" t="s">
        <v>2276</v>
      </c>
      <c r="Q42" s="1616" t="str">
        <f t="shared" si="14"/>
        <v>工程地质条件</v>
      </c>
      <c r="R42" s="1726" t="s">
        <v>25</v>
      </c>
      <c r="S42" s="1727">
        <f t="shared" si="10"/>
        <v>100</v>
      </c>
      <c r="T42" s="1726" t="s">
        <v>25</v>
      </c>
      <c r="U42" s="1727">
        <f t="shared" si="11"/>
        <v>100</v>
      </c>
      <c r="V42" s="1726" t="s">
        <v>25</v>
      </c>
      <c r="W42" s="1727">
        <f t="shared" si="12"/>
        <v>100</v>
      </c>
      <c r="X42" s="1666"/>
      <c r="Y42" s="3446"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2995"/>
      <c r="M43" s="2991"/>
      <c r="N43" s="2991"/>
      <c r="O43" s="3039"/>
      <c r="P43" s="3446"/>
      <c r="Q43" s="1616">
        <f t="shared" si="14"/>
        <v>111</v>
      </c>
      <c r="R43" s="1726" t="s">
        <v>25</v>
      </c>
      <c r="S43" s="1727">
        <f t="shared" si="10"/>
        <v>100</v>
      </c>
      <c r="T43" s="1726" t="s">
        <v>25</v>
      </c>
      <c r="U43" s="1727">
        <f t="shared" si="11"/>
        <v>100</v>
      </c>
      <c r="V43" s="1726" t="s">
        <v>25</v>
      </c>
      <c r="W43" s="1727">
        <f t="shared" si="12"/>
        <v>100</v>
      </c>
      <c r="X43" s="1666"/>
      <c r="Y43" s="344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2995"/>
      <c r="M44" s="2991"/>
      <c r="N44" s="2991"/>
      <c r="O44" s="3039"/>
      <c r="P44" s="3446"/>
      <c r="Q44" s="1616">
        <f t="shared" si="14"/>
        <v>111</v>
      </c>
      <c r="R44" s="1726" t="s">
        <v>25</v>
      </c>
      <c r="S44" s="1727">
        <f t="shared" si="10"/>
        <v>100</v>
      </c>
      <c r="T44" s="1726" t="s">
        <v>25</v>
      </c>
      <c r="U44" s="1727">
        <f t="shared" si="11"/>
        <v>100</v>
      </c>
      <c r="V44" s="1726" t="s">
        <v>25</v>
      </c>
      <c r="W44" s="1727">
        <f t="shared" si="12"/>
        <v>100</v>
      </c>
      <c r="X44" s="1666"/>
      <c r="Y44" s="3446"/>
      <c r="Z44" s="1728">
        <f t="shared" si="13"/>
        <v>111</v>
      </c>
      <c r="AA44" s="1729">
        <f t="shared" si="3"/>
        <v>1</v>
      </c>
      <c r="AB44" s="1729">
        <f t="shared" si="4"/>
        <v>1</v>
      </c>
      <c r="AC44" s="1729">
        <f t="shared" si="5"/>
        <v>1</v>
      </c>
    </row>
    <row r="45" spans="1:29" s="1772" customFormat="1" ht="15.6" thickBot="1">
      <c r="A45" s="1765"/>
      <c r="B45" s="2004">
        <v>111</v>
      </c>
      <c r="C45" s="2005"/>
      <c r="D45" s="3141">
        <v>100</v>
      </c>
      <c r="E45" s="1972"/>
      <c r="F45" s="1716">
        <f>SUMIF(131:131,E45,132:132)-SUMIF(131:131,C45,132:132)+100</f>
        <v>100</v>
      </c>
      <c r="G45" s="1972"/>
      <c r="H45" s="1716">
        <f>SUMIF(131:131,G45,132:132)-SUMIF(131:131,C45,132:132)+100</f>
        <v>100</v>
      </c>
      <c r="I45" s="1972"/>
      <c r="J45" s="1716">
        <f>SUMIF(131:131,I45,132:132)-SUMIF(131:131,C45,132:132)+100</f>
        <v>100</v>
      </c>
      <c r="K45" s="2006"/>
      <c r="L45" s="2994"/>
      <c r="M45" s="2060"/>
      <c r="N45" s="2060"/>
      <c r="O45" s="3040"/>
      <c r="P45" s="3446"/>
      <c r="Q45" s="1616">
        <f t="shared" si="14"/>
        <v>111</v>
      </c>
      <c r="R45" s="1768" t="s">
        <v>25</v>
      </c>
      <c r="S45" s="1769">
        <f t="shared" si="10"/>
        <v>100</v>
      </c>
      <c r="T45" s="1768" t="s">
        <v>25</v>
      </c>
      <c r="U45" s="1769">
        <f t="shared" si="11"/>
        <v>100</v>
      </c>
      <c r="V45" s="1768" t="s">
        <v>25</v>
      </c>
      <c r="W45" s="1769">
        <f t="shared" si="12"/>
        <v>100</v>
      </c>
      <c r="X45" s="1770"/>
      <c r="Y45" s="3446"/>
      <c r="Z45" s="1771">
        <f t="shared" si="13"/>
        <v>111</v>
      </c>
      <c r="AA45" s="1729">
        <f t="shared" si="3"/>
        <v>1</v>
      </c>
      <c r="AB45" s="1729">
        <f t="shared" si="4"/>
        <v>1</v>
      </c>
      <c r="AC45" s="1729">
        <f t="shared" si="5"/>
        <v>1</v>
      </c>
    </row>
    <row r="46" spans="1:29" ht="14.4">
      <c r="A46" s="1782" t="s">
        <v>2418</v>
      </c>
      <c r="B46" s="2007" t="s">
        <v>2455</v>
      </c>
      <c r="C46" s="2008" t="s">
        <v>1</v>
      </c>
      <c r="D46" s="2009"/>
      <c r="E46" s="2010"/>
      <c r="F46" s="2011"/>
      <c r="G46" s="2012"/>
      <c r="H46" s="2013"/>
      <c r="I46" s="2010"/>
      <c r="J46" s="2013"/>
      <c r="K46" s="2014"/>
      <c r="L46" s="2996"/>
      <c r="N46" s="2991"/>
      <c r="P46" s="3438" t="str">
        <f>A46</f>
        <v>成交单价</v>
      </c>
      <c r="Q46" s="3438"/>
      <c r="R46" s="3475">
        <f>E46</f>
        <v>0</v>
      </c>
      <c r="S46" s="3475"/>
      <c r="T46" s="3475">
        <f>G46</f>
        <v>0</v>
      </c>
      <c r="U46" s="3475"/>
      <c r="V46" s="3475">
        <f>I46</f>
        <v>0</v>
      </c>
      <c r="W46" s="3475"/>
      <c r="X46" s="1792"/>
      <c r="Y46" s="1793"/>
      <c r="Z46" s="1792"/>
      <c r="AA46" s="1792"/>
      <c r="AB46" s="1792"/>
      <c r="AC46" s="1792"/>
    </row>
    <row r="47" spans="1:29" ht="15" thickBot="1">
      <c r="A47" s="1794" t="s">
        <v>2371</v>
      </c>
      <c r="B47" s="2015"/>
      <c r="C47" s="2016" t="e">
        <f>R48</f>
        <v>#DIV/0!</v>
      </c>
      <c r="D47" s="1797" t="s">
        <v>2744</v>
      </c>
      <c r="E47" s="2016" t="e">
        <f>R47</f>
        <v>#DIV/0!</v>
      </c>
      <c r="F47" s="1799"/>
      <c r="G47" s="2017" t="e">
        <f>T47</f>
        <v>#DIV/0!</v>
      </c>
      <c r="H47" s="1799"/>
      <c r="I47" s="2016" t="e">
        <f>V47</f>
        <v>#DIV/0!</v>
      </c>
      <c r="J47" s="1799"/>
      <c r="K47" s="2511">
        <f>F47+H47+J47</f>
        <v>0</v>
      </c>
      <c r="L47" s="2996"/>
      <c r="P47" s="3438" t="str">
        <f>A47</f>
        <v>比较价值（元/平方米）</v>
      </c>
      <c r="Q47" s="3438"/>
      <c r="R47" s="3524" t="e">
        <f>ROUND(PRODUCT(R46,AA7:AA45),0)</f>
        <v>#DIV/0!</v>
      </c>
      <c r="S47" s="3524"/>
      <c r="T47" s="3524" t="e">
        <f>ROUND(PRODUCT(T46,AB7:AB45),0)</f>
        <v>#DIV/0!</v>
      </c>
      <c r="U47" s="3524"/>
      <c r="V47" s="3524" t="e">
        <f>ROUND(PRODUCT(V46,AC7:AC45),0)</f>
        <v>#DIV/0!</v>
      </c>
      <c r="W47" s="3524"/>
      <c r="X47" s="1792"/>
      <c r="Y47" s="1792"/>
      <c r="Z47" s="1792"/>
      <c r="AA47" s="1792"/>
      <c r="AB47" s="1792"/>
      <c r="AC47" s="1792"/>
    </row>
    <row r="48" spans="1:29" ht="15" thickBot="1">
      <c r="A48" s="1800" t="s">
        <v>2394</v>
      </c>
      <c r="B48" s="1801"/>
      <c r="C48" s="2018" t="e">
        <f>R48</f>
        <v>#DIV/0!</v>
      </c>
      <c r="D48" s="2018"/>
      <c r="E48" s="2018"/>
      <c r="F48" s="2018"/>
      <c r="G48" s="2018"/>
      <c r="H48" s="2018"/>
      <c r="I48" s="2018"/>
      <c r="J48" s="2018"/>
      <c r="K48" s="2019"/>
      <c r="L48" s="2996"/>
      <c r="P48" s="3435" t="str">
        <f>A48</f>
        <v>估价对象XX用房的比较价值（楼面单价，元/平方米）</v>
      </c>
      <c r="Q48" s="3436"/>
      <c r="R48" s="3525" t="e">
        <f>ROUND(IF(D47="简单平均",AVERAGE(R47:W47),R47*F47+T47*H47+V47*J47),0)</f>
        <v>#DIV/0!</v>
      </c>
      <c r="S48" s="3525"/>
      <c r="T48" s="3525"/>
      <c r="U48" s="3525"/>
      <c r="V48" s="3525"/>
      <c r="W48" s="3525"/>
      <c r="X48" s="1792"/>
      <c r="Y48" s="1792"/>
      <c r="Z48" s="1792"/>
      <c r="AA48" s="1792"/>
      <c r="AB48" s="1792"/>
      <c r="AC48" s="1792"/>
    </row>
    <row r="49" spans="1:14">
      <c r="G49" s="3000"/>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3"/>
      <c r="L53" s="2997"/>
    </row>
    <row r="54" spans="1:14" s="1814" customFormat="1" ht="14.4" thickBot="1">
      <c r="B54" s="3001"/>
      <c r="C54" s="3002"/>
      <c r="K54" s="3003"/>
      <c r="L54" s="2997"/>
    </row>
    <row r="55" spans="1:14" ht="28.8">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03"/>
      <c r="L56" s="2997"/>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03"/>
      <c r="L58" s="2997"/>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03"/>
      <c r="L60" s="2997"/>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03"/>
      <c r="L62" s="2997"/>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03"/>
      <c r="L64" s="2997"/>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thickBot="1">
      <c r="A66" s="2037" t="s">
        <v>2474</v>
      </c>
      <c r="B66" s="2038" t="s">
        <v>39</v>
      </c>
      <c r="C66" s="2038" t="s">
        <v>40</v>
      </c>
      <c r="D66" s="2038" t="s">
        <v>36</v>
      </c>
      <c r="E66" s="2038">
        <f>SUM(E56:E65)</f>
        <v>120</v>
      </c>
      <c r="F66" s="2039" t="e">
        <f>SUM(F56:F65)</f>
        <v>#DIV/0!</v>
      </c>
      <c r="G66" s="2040"/>
      <c r="H66" s="2040"/>
      <c r="I66" s="3041"/>
      <c r="J66" s="3041"/>
      <c r="K66" s="304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2021-7-1</v>
      </c>
      <c r="D68" s="2041">
        <f>EDATE(C68,-3)</f>
        <v>44287</v>
      </c>
      <c r="E68" s="2041">
        <f t="shared" ref="E68:O68" si="18">EDATE(D68,-3)</f>
        <v>44197</v>
      </c>
      <c r="F68" s="2041">
        <f t="shared" si="18"/>
        <v>44105</v>
      </c>
      <c r="G68" s="2041">
        <f t="shared" si="18"/>
        <v>44013</v>
      </c>
      <c r="H68" s="2041">
        <f t="shared" si="18"/>
        <v>43922</v>
      </c>
      <c r="I68" s="2041">
        <f t="shared" si="18"/>
        <v>43831</v>
      </c>
      <c r="J68" s="2041">
        <f t="shared" si="18"/>
        <v>43739</v>
      </c>
      <c r="K68" s="2041">
        <f t="shared" si="18"/>
        <v>43647</v>
      </c>
      <c r="L68" s="2041">
        <f t="shared" si="18"/>
        <v>43556</v>
      </c>
      <c r="M68" s="2041">
        <f t="shared" si="18"/>
        <v>43466</v>
      </c>
      <c r="N68" s="2041">
        <f t="shared" si="18"/>
        <v>43374</v>
      </c>
      <c r="O68" s="2041">
        <f t="shared" si="18"/>
        <v>43282</v>
      </c>
    </row>
    <row r="69" spans="1:17" ht="22.2"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4.4">
      <c r="A70" s="2047" t="s">
        <v>2475</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2476</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4.4">
      <c r="A73" s="1840" t="s">
        <v>2260</v>
      </c>
      <c r="B73" s="1830"/>
      <c r="C73" s="1841" t="s">
        <v>2261</v>
      </c>
      <c r="D73" s="409"/>
      <c r="E73" s="409"/>
      <c r="F73" s="409"/>
      <c r="G73" s="409"/>
      <c r="H73" s="409"/>
      <c r="I73" s="409"/>
      <c r="J73" s="409"/>
      <c r="K73" s="409"/>
      <c r="L73" s="409"/>
      <c r="M73" s="1842"/>
      <c r="N73" s="3008"/>
      <c r="O73" s="3008"/>
      <c r="P73" s="2057"/>
      <c r="Q73" s="1822"/>
    </row>
    <row r="74" spans="1:17" s="1685" customFormat="1" ht="14.4" thickBot="1">
      <c r="A74" s="1840"/>
      <c r="B74" s="1830"/>
      <c r="C74" s="1831">
        <v>100</v>
      </c>
      <c r="D74" s="1832"/>
      <c r="E74" s="1832"/>
      <c r="F74" s="1832"/>
      <c r="G74" s="1832"/>
      <c r="H74" s="1832"/>
      <c r="I74" s="1832"/>
      <c r="J74" s="1832"/>
      <c r="K74" s="1832"/>
      <c r="L74" s="1832"/>
      <c r="M74" s="1846"/>
      <c r="N74" s="3008"/>
      <c r="O74" s="3008"/>
      <c r="P74" s="1822"/>
      <c r="Q74" s="1822"/>
    </row>
    <row r="75" spans="1:17" ht="14.4">
      <c r="A75" s="1847" t="s">
        <v>2299</v>
      </c>
      <c r="B75" s="1848" t="s">
        <v>2264</v>
      </c>
      <c r="C75" s="1850"/>
      <c r="D75" s="1850"/>
      <c r="E75" s="1850"/>
      <c r="F75" s="1850"/>
      <c r="G75" s="1850"/>
      <c r="H75" s="1850"/>
      <c r="I75" s="1850"/>
      <c r="J75" s="1850"/>
      <c r="K75" s="417"/>
      <c r="L75" s="417"/>
      <c r="M75" s="1851"/>
      <c r="N75" s="3009"/>
      <c r="O75" s="3009"/>
      <c r="P75" s="2058"/>
      <c r="Q75" s="1822"/>
    </row>
    <row r="76" spans="1:17" ht="14.4" thickBot="1">
      <c r="A76" s="1854"/>
      <c r="B76" s="1855"/>
      <c r="C76" s="1856"/>
      <c r="D76" s="1856"/>
      <c r="E76" s="1856"/>
      <c r="F76" s="1856"/>
      <c r="G76" s="1856"/>
      <c r="H76" s="1856"/>
      <c r="I76" s="1856"/>
      <c r="J76" s="1856"/>
      <c r="K76" s="1856"/>
      <c r="L76" s="1856"/>
      <c r="M76" s="1857"/>
      <c r="N76" s="3010"/>
      <c r="O76" s="3010"/>
      <c r="P76" s="2058"/>
      <c r="Q76" s="1822"/>
    </row>
    <row r="77" spans="1:17" ht="29.4" thickTop="1">
      <c r="A77" s="1854"/>
      <c r="B77" s="1859" t="s">
        <v>2267</v>
      </c>
      <c r="C77" s="1860"/>
      <c r="D77" s="1860"/>
      <c r="E77" s="1860"/>
      <c r="F77" s="1860"/>
      <c r="G77" s="1860"/>
      <c r="H77" s="1860"/>
      <c r="I77" s="1860"/>
      <c r="J77" s="1860"/>
      <c r="K77" s="428"/>
      <c r="L77" s="428"/>
      <c r="M77" s="1861"/>
      <c r="N77" s="3009"/>
      <c r="O77" s="3009"/>
      <c r="P77" s="2058"/>
      <c r="Q77" s="1822"/>
    </row>
    <row r="78" spans="1:17" ht="14.4" thickBot="1">
      <c r="A78" s="1854"/>
      <c r="B78" s="1862"/>
      <c r="C78" s="1863"/>
      <c r="D78" s="1863"/>
      <c r="E78" s="1863"/>
      <c r="F78" s="1863"/>
      <c r="G78" s="1863"/>
      <c r="H78" s="1863"/>
      <c r="I78" s="1863"/>
      <c r="J78" s="1863"/>
      <c r="K78" s="1863"/>
      <c r="L78" s="1863"/>
      <c r="M78" s="1864"/>
      <c r="N78" s="3010"/>
      <c r="O78" s="3010"/>
      <c r="P78" s="2058"/>
      <c r="Q78" s="1822"/>
    </row>
    <row r="79" spans="1:17" ht="1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0"/>
      <c r="O79" s="3010"/>
      <c r="P79" s="2058"/>
      <c r="Q79" s="1822"/>
    </row>
    <row r="80" spans="1:17">
      <c r="A80" s="1854"/>
      <c r="B80" s="1867"/>
      <c r="C80" s="1868"/>
      <c r="D80" s="1868"/>
      <c r="E80" s="1868"/>
      <c r="F80" s="1868"/>
      <c r="G80" s="1868"/>
      <c r="H80" s="1868"/>
      <c r="I80" s="1868"/>
      <c r="J80" s="1868"/>
      <c r="K80" s="438"/>
      <c r="L80" s="438"/>
      <c r="M80" s="1869"/>
      <c r="N80" s="3009"/>
      <c r="O80" s="3009"/>
      <c r="P80" s="2058"/>
      <c r="Q80" s="1822"/>
    </row>
    <row r="81" spans="1:17" ht="14.4"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0"/>
      <c r="O81" s="3010"/>
      <c r="P81" s="2058"/>
      <c r="Q81" s="1822"/>
    </row>
    <row r="82" spans="1:17" s="1772" customFormat="1" ht="14.4" thickTop="1">
      <c r="A82" s="1870"/>
      <c r="B82" s="1859" t="str">
        <f>B12</f>
        <v>配建</v>
      </c>
      <c r="C82" s="468"/>
      <c r="D82" s="468"/>
      <c r="E82" s="468"/>
      <c r="F82" s="468"/>
      <c r="G82" s="468"/>
      <c r="H82" s="443"/>
      <c r="I82" s="443"/>
      <c r="J82" s="443"/>
      <c r="K82" s="443"/>
      <c r="L82" s="443"/>
      <c r="M82" s="1871"/>
      <c r="N82" s="3011"/>
      <c r="O82" s="3011"/>
      <c r="P82" s="2059"/>
      <c r="Q82" s="1874"/>
    </row>
    <row r="83" spans="1:17" s="1772" customFormat="1" ht="14.4" thickBot="1">
      <c r="A83" s="1870"/>
      <c r="B83" s="1862"/>
      <c r="C83" s="1875"/>
      <c r="D83" s="1856"/>
      <c r="E83" s="1856"/>
      <c r="F83" s="1856"/>
      <c r="G83" s="1856"/>
      <c r="H83" s="1856"/>
      <c r="I83" s="1856"/>
      <c r="J83" s="1856"/>
      <c r="K83" s="1856"/>
      <c r="L83" s="1856"/>
      <c r="M83" s="1857"/>
      <c r="N83" s="3010"/>
      <c r="O83" s="3010"/>
      <c r="P83" s="2059"/>
      <c r="Q83" s="1874"/>
    </row>
    <row r="84" spans="1:17" s="1772" customFormat="1" ht="14.4" thickTop="1">
      <c r="A84" s="1870"/>
      <c r="B84" s="1859">
        <f>B13</f>
        <v>111</v>
      </c>
      <c r="C84" s="468"/>
      <c r="D84" s="468"/>
      <c r="E84" s="468"/>
      <c r="F84" s="468"/>
      <c r="G84" s="468"/>
      <c r="H84" s="443"/>
      <c r="I84" s="443"/>
      <c r="J84" s="443"/>
      <c r="K84" s="443"/>
      <c r="L84" s="443"/>
      <c r="M84" s="1871"/>
      <c r="N84" s="3011"/>
      <c r="O84" s="3011"/>
      <c r="P84" s="2060"/>
      <c r="Q84" s="1877"/>
    </row>
    <row r="85" spans="1:17" s="1772" customFormat="1" ht="14.4" thickBot="1">
      <c r="A85" s="1870"/>
      <c r="B85" s="1862"/>
      <c r="C85" s="1875"/>
      <c r="D85" s="1875"/>
      <c r="E85" s="1875"/>
      <c r="F85" s="1875"/>
      <c r="G85" s="1875"/>
      <c r="H85" s="1878"/>
      <c r="I85" s="1878"/>
      <c r="J85" s="1878"/>
      <c r="K85" s="1878"/>
      <c r="L85" s="1878"/>
      <c r="M85" s="1879"/>
      <c r="N85" s="3011"/>
      <c r="O85" s="3011"/>
      <c r="P85" s="2059"/>
      <c r="Q85" s="1874"/>
    </row>
    <row r="86" spans="1:17" s="1772" customFormat="1" ht="14.4" thickTop="1">
      <c r="A86" s="1870"/>
      <c r="B86" s="1865">
        <f>B14</f>
        <v>111</v>
      </c>
      <c r="C86" s="409"/>
      <c r="D86" s="409"/>
      <c r="E86" s="409"/>
      <c r="F86" s="409"/>
      <c r="G86" s="409"/>
      <c r="H86" s="453"/>
      <c r="I86" s="453"/>
      <c r="J86" s="453"/>
      <c r="K86" s="453"/>
      <c r="L86" s="453"/>
      <c r="M86" s="1880"/>
      <c r="N86" s="3011"/>
      <c r="O86" s="3011"/>
      <c r="P86" s="2059"/>
      <c r="Q86" s="1874"/>
    </row>
    <row r="87" spans="1:17" s="1772" customFormat="1" ht="14.4" thickBot="1">
      <c r="A87" s="1881"/>
      <c r="B87" s="1882"/>
      <c r="C87" s="1883"/>
      <c r="D87" s="1883"/>
      <c r="E87" s="1883"/>
      <c r="F87" s="1883"/>
      <c r="G87" s="1883"/>
      <c r="H87" s="1884"/>
      <c r="I87" s="1884"/>
      <c r="J87" s="1884"/>
      <c r="K87" s="1884"/>
      <c r="L87" s="1884"/>
      <c r="M87" s="1885"/>
      <c r="N87" s="3011"/>
      <c r="O87" s="3011"/>
      <c r="P87" s="2059"/>
      <c r="Q87" s="1874"/>
    </row>
    <row r="88" spans="1:17" ht="14.4">
      <c r="A88" s="1847" t="s">
        <v>2269</v>
      </c>
      <c r="B88" s="1848" t="s">
        <v>2307</v>
      </c>
      <c r="C88" s="1886" t="s">
        <v>2308</v>
      </c>
      <c r="D88" s="1886" t="s">
        <v>2309</v>
      </c>
      <c r="E88" s="1886" t="s">
        <v>2310</v>
      </c>
      <c r="F88" s="1886" t="s">
        <v>2311</v>
      </c>
      <c r="G88" s="1886" t="s">
        <v>2312</v>
      </c>
      <c r="H88" s="1849"/>
      <c r="I88" s="1849"/>
      <c r="J88" s="1849"/>
      <c r="K88" s="463"/>
      <c r="L88" s="463"/>
      <c r="M88" s="1887"/>
      <c r="N88" s="3009"/>
      <c r="O88" s="3009"/>
      <c r="P88" s="2058"/>
      <c r="Q88" s="1822"/>
    </row>
    <row r="89" spans="1:17" ht="14.4" thickBot="1">
      <c r="A89" s="1854"/>
      <c r="B89" s="1862"/>
      <c r="C89" s="1863">
        <v>100</v>
      </c>
      <c r="D89" s="1863">
        <f>C89-$K15</f>
        <v>100</v>
      </c>
      <c r="E89" s="1863">
        <f>D89-$K15</f>
        <v>100</v>
      </c>
      <c r="F89" s="1863">
        <f>E89-$K15</f>
        <v>100</v>
      </c>
      <c r="G89" s="1863">
        <f>F89-$K15</f>
        <v>100</v>
      </c>
      <c r="H89" s="1863"/>
      <c r="I89" s="1863"/>
      <c r="J89" s="1863"/>
      <c r="K89" s="1863"/>
      <c r="L89" s="1863"/>
      <c r="M89" s="1864"/>
      <c r="N89" s="3010"/>
      <c r="O89" s="3010"/>
      <c r="P89" s="2058"/>
      <c r="Q89" s="1822"/>
    </row>
    <row r="90" spans="1:17" ht="15" thickTop="1">
      <c r="A90" s="1854"/>
      <c r="B90" s="1859" t="s">
        <v>2477</v>
      </c>
      <c r="C90" s="579" t="s">
        <v>2308</v>
      </c>
      <c r="D90" s="579" t="s">
        <v>2309</v>
      </c>
      <c r="E90" s="579" t="s">
        <v>2310</v>
      </c>
      <c r="F90" s="579" t="s">
        <v>2311</v>
      </c>
      <c r="G90" s="579" t="s">
        <v>2312</v>
      </c>
      <c r="H90" s="1860"/>
      <c r="I90" s="1860"/>
      <c r="J90" s="1860"/>
      <c r="K90" s="428"/>
      <c r="L90" s="428"/>
      <c r="M90" s="1861"/>
      <c r="N90" s="3009"/>
      <c r="O90" s="3009"/>
      <c r="P90" s="2058"/>
      <c r="Q90" s="1822"/>
    </row>
    <row r="91" spans="1:17" ht="14.4" thickBot="1">
      <c r="A91" s="1854"/>
      <c r="B91" s="1862"/>
      <c r="C91" s="1863">
        <v>100</v>
      </c>
      <c r="D91" s="1863">
        <f>C91-$K17</f>
        <v>100</v>
      </c>
      <c r="E91" s="1863">
        <f>D91-$K17</f>
        <v>100</v>
      </c>
      <c r="F91" s="1863">
        <f>E91-$K17</f>
        <v>100</v>
      </c>
      <c r="G91" s="1863">
        <f>F91-$K17</f>
        <v>100</v>
      </c>
      <c r="H91" s="1863"/>
      <c r="I91" s="1863"/>
      <c r="J91" s="1863"/>
      <c r="K91" s="1863"/>
      <c r="L91" s="1863"/>
      <c r="M91" s="1864"/>
      <c r="N91" s="3010"/>
      <c r="O91" s="3010"/>
      <c r="P91" s="2058"/>
      <c r="Q91" s="1822"/>
    </row>
    <row r="92" spans="1:17" ht="15" thickTop="1">
      <c r="A92" s="1854"/>
      <c r="B92" s="1859" t="s">
        <v>2395</v>
      </c>
      <c r="C92" s="579" t="s">
        <v>2308</v>
      </c>
      <c r="D92" s="579" t="s">
        <v>2309</v>
      </c>
      <c r="E92" s="579" t="s">
        <v>2310</v>
      </c>
      <c r="F92" s="579" t="s">
        <v>2311</v>
      </c>
      <c r="G92" s="579" t="s">
        <v>2312</v>
      </c>
      <c r="H92" s="1860"/>
      <c r="I92" s="1860"/>
      <c r="J92" s="1860"/>
      <c r="K92" s="428"/>
      <c r="L92" s="428"/>
      <c r="M92" s="1861"/>
      <c r="N92" s="3009"/>
      <c r="O92" s="3009"/>
      <c r="P92" s="2058"/>
      <c r="Q92" s="1822"/>
    </row>
    <row r="93" spans="1:17" ht="14.4" thickBot="1">
      <c r="A93" s="1854"/>
      <c r="B93" s="1862"/>
      <c r="C93" s="1863">
        <v>100</v>
      </c>
      <c r="D93" s="1863">
        <f>C93-$K19</f>
        <v>100</v>
      </c>
      <c r="E93" s="1863">
        <f>D93-$K19</f>
        <v>100</v>
      </c>
      <c r="F93" s="1863">
        <f>E93-$K19</f>
        <v>100</v>
      </c>
      <c r="G93" s="1863">
        <f>F93-$K19</f>
        <v>100</v>
      </c>
      <c r="H93" s="1863"/>
      <c r="I93" s="1863"/>
      <c r="J93" s="1863"/>
      <c r="K93" s="1863"/>
      <c r="L93" s="1863"/>
      <c r="M93" s="1864"/>
      <c r="N93" s="3010"/>
      <c r="O93" s="3010"/>
      <c r="P93" s="2058"/>
      <c r="Q93" s="1822"/>
    </row>
    <row r="94" spans="1:17" ht="15" thickTop="1">
      <c r="A94" s="1854"/>
      <c r="B94" s="1859" t="s">
        <v>2313</v>
      </c>
      <c r="C94" s="579" t="s">
        <v>2308</v>
      </c>
      <c r="D94" s="579" t="s">
        <v>2309</v>
      </c>
      <c r="E94" s="579" t="s">
        <v>2310</v>
      </c>
      <c r="F94" s="579" t="s">
        <v>2311</v>
      </c>
      <c r="G94" s="579" t="s">
        <v>2312</v>
      </c>
      <c r="H94" s="1860"/>
      <c r="I94" s="1860"/>
      <c r="J94" s="1860"/>
      <c r="K94" s="428"/>
      <c r="L94" s="428"/>
      <c r="M94" s="1861"/>
      <c r="N94" s="3009"/>
      <c r="O94" s="3009"/>
      <c r="P94" s="2058"/>
      <c r="Q94" s="1822"/>
    </row>
    <row r="95" spans="1:17" ht="14.4" thickBot="1">
      <c r="A95" s="1854"/>
      <c r="B95" s="1862"/>
      <c r="C95" s="1863">
        <v>100</v>
      </c>
      <c r="D95" s="1863">
        <f>C95-$K21</f>
        <v>100</v>
      </c>
      <c r="E95" s="1863">
        <f>D95-$K21</f>
        <v>100</v>
      </c>
      <c r="F95" s="1863">
        <f>E95-$K21</f>
        <v>100</v>
      </c>
      <c r="G95" s="1863">
        <f>F95-$K21</f>
        <v>100</v>
      </c>
      <c r="H95" s="1863"/>
      <c r="I95" s="1863"/>
      <c r="J95" s="1863"/>
      <c r="K95" s="1863"/>
      <c r="L95" s="1863"/>
      <c r="M95" s="1864"/>
      <c r="N95" s="3010"/>
      <c r="O95" s="3010"/>
      <c r="P95" s="2058"/>
      <c r="Q95" s="1822"/>
    </row>
    <row r="96" spans="1:17" s="1685" customFormat="1" ht="29.4" thickTop="1">
      <c r="A96" s="1890"/>
      <c r="B96" s="1859" t="s">
        <v>2478</v>
      </c>
      <c r="C96" s="579" t="s">
        <v>2308</v>
      </c>
      <c r="D96" s="579" t="s">
        <v>2309</v>
      </c>
      <c r="E96" s="579" t="s">
        <v>2310</v>
      </c>
      <c r="F96" s="579" t="s">
        <v>2311</v>
      </c>
      <c r="G96" s="579" t="s">
        <v>2312</v>
      </c>
      <c r="H96" s="579"/>
      <c r="I96" s="579"/>
      <c r="J96" s="579"/>
      <c r="K96" s="579"/>
      <c r="L96" s="579"/>
      <c r="M96" s="2061"/>
      <c r="N96" s="3008"/>
      <c r="O96" s="3008"/>
      <c r="P96" s="2058"/>
      <c r="Q96" s="1822"/>
    </row>
    <row r="97" spans="1:17" s="1685" customFormat="1" ht="14.4" thickBot="1">
      <c r="A97" s="1890"/>
      <c r="B97" s="1862"/>
      <c r="C97" s="1892">
        <v>100</v>
      </c>
      <c r="D97" s="1863">
        <f>C97-$K23</f>
        <v>100</v>
      </c>
      <c r="E97" s="1863">
        <f>D97-$K23</f>
        <v>100</v>
      </c>
      <c r="F97" s="1863">
        <f>E97-$K23</f>
        <v>100</v>
      </c>
      <c r="G97" s="1863">
        <f>F97-$K23</f>
        <v>100</v>
      </c>
      <c r="H97" s="1863"/>
      <c r="I97" s="1863"/>
      <c r="J97" s="1863"/>
      <c r="K97" s="1863"/>
      <c r="L97" s="1863"/>
      <c r="M97" s="1864"/>
      <c r="N97" s="3010"/>
      <c r="O97" s="3010"/>
      <c r="P97" s="2058"/>
      <c r="Q97" s="1822"/>
    </row>
    <row r="98" spans="1:17" s="1685" customFormat="1" ht="29.4" thickTop="1">
      <c r="A98" s="1890"/>
      <c r="B98" s="1859" t="s">
        <v>2479</v>
      </c>
      <c r="C98" s="1886" t="s">
        <v>2308</v>
      </c>
      <c r="D98" s="1886" t="s">
        <v>2309</v>
      </c>
      <c r="E98" s="1886" t="s">
        <v>2310</v>
      </c>
      <c r="F98" s="1886" t="s">
        <v>2311</v>
      </c>
      <c r="G98" s="1886" t="s">
        <v>2312</v>
      </c>
      <c r="H98" s="579"/>
      <c r="I98" s="579"/>
      <c r="J98" s="579"/>
      <c r="K98" s="579"/>
      <c r="L98" s="579"/>
      <c r="M98" s="2061"/>
      <c r="N98" s="3008"/>
      <c r="O98" s="3008"/>
      <c r="P98" s="2058"/>
      <c r="Q98" s="1822"/>
    </row>
    <row r="99" spans="1:17" s="1685" customFormat="1" ht="14.4" thickBot="1">
      <c r="A99" s="1890"/>
      <c r="B99" s="1862"/>
      <c r="C99" s="1863">
        <v>100</v>
      </c>
      <c r="D99" s="1863">
        <f>C99-$K25</f>
        <v>100</v>
      </c>
      <c r="E99" s="1863">
        <f>D99-$K25</f>
        <v>100</v>
      </c>
      <c r="F99" s="1863">
        <f>E99-$K25</f>
        <v>100</v>
      </c>
      <c r="G99" s="1863">
        <f>F99-$K25</f>
        <v>100</v>
      </c>
      <c r="H99" s="1863"/>
      <c r="I99" s="1863"/>
      <c r="J99" s="1863"/>
      <c r="K99" s="1863"/>
      <c r="L99" s="1863"/>
      <c r="M99" s="1864"/>
      <c r="N99" s="3010"/>
      <c r="O99" s="3010"/>
      <c r="P99" s="2058"/>
      <c r="Q99" s="1822"/>
    </row>
    <row r="100" spans="1:17" s="1685" customFormat="1" ht="15" thickTop="1">
      <c r="A100" s="1890"/>
      <c r="B100" s="1865" t="s">
        <v>2356</v>
      </c>
      <c r="C100" s="1886" t="s">
        <v>2308</v>
      </c>
      <c r="D100" s="1886" t="s">
        <v>2309</v>
      </c>
      <c r="E100" s="1886" t="s">
        <v>2310</v>
      </c>
      <c r="F100" s="1886" t="s">
        <v>2311</v>
      </c>
      <c r="G100" s="1886" t="s">
        <v>2312</v>
      </c>
      <c r="H100" s="1860"/>
      <c r="I100" s="1860"/>
      <c r="J100" s="1860"/>
      <c r="K100" s="1860"/>
      <c r="L100" s="1860"/>
      <c r="M100" s="1888"/>
      <c r="N100" s="3010"/>
      <c r="O100" s="3010"/>
      <c r="P100" s="2058"/>
      <c r="Q100" s="1822"/>
    </row>
    <row r="101" spans="1:17" s="1685" customFormat="1" ht="14.4"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0"/>
      <c r="O101" s="3010"/>
      <c r="P101" s="2058"/>
      <c r="Q101" s="1822"/>
    </row>
    <row r="102" spans="1:17" s="1772" customFormat="1" ht="15" thickTop="1">
      <c r="A102" s="1870"/>
      <c r="B102" s="1859" t="s">
        <v>2357</v>
      </c>
      <c r="C102" s="1860" t="s">
        <v>2315</v>
      </c>
      <c r="D102" s="1860" t="s">
        <v>2316</v>
      </c>
      <c r="E102" s="1860" t="s">
        <v>2317</v>
      </c>
      <c r="F102" s="1860" t="s">
        <v>2318</v>
      </c>
      <c r="G102" s="1860" t="s">
        <v>2319</v>
      </c>
      <c r="H102" s="489"/>
      <c r="I102" s="489"/>
      <c r="J102" s="489"/>
      <c r="K102" s="489"/>
      <c r="L102" s="489"/>
      <c r="M102" s="1905"/>
      <c r="N102" s="3011"/>
      <c r="O102" s="3011"/>
      <c r="P102" s="2059"/>
      <c r="Q102" s="1874"/>
    </row>
    <row r="103" spans="1:17" s="1772" customFormat="1" ht="14.4"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1"/>
      <c r="O103" s="3011"/>
      <c r="P103" s="2059"/>
      <c r="Q103" s="1874"/>
    </row>
    <row r="104" spans="1:17" ht="15" thickTop="1">
      <c r="A104" s="1854"/>
      <c r="B104" s="1859" t="str">
        <f>B31</f>
        <v>临街状况</v>
      </c>
      <c r="C104" s="1860" t="s">
        <v>2480</v>
      </c>
      <c r="D104" s="1860" t="s">
        <v>2481</v>
      </c>
      <c r="E104" s="1860" t="s">
        <v>2482</v>
      </c>
      <c r="F104" s="1860" t="s">
        <v>2483</v>
      </c>
      <c r="G104" s="1860"/>
      <c r="H104" s="1860"/>
      <c r="I104" s="1860"/>
      <c r="J104" s="1860"/>
      <c r="K104" s="428"/>
      <c r="L104" s="428"/>
      <c r="M104" s="1861"/>
      <c r="N104" s="3009"/>
      <c r="O104" s="3009"/>
      <c r="P104" s="2058"/>
      <c r="Q104" s="1822"/>
    </row>
    <row r="105" spans="1:17" ht="14.4"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0"/>
      <c r="O105" s="3010"/>
      <c r="P105" s="2058"/>
      <c r="Q105" s="1822"/>
    </row>
    <row r="106" spans="1:17" ht="29.4" thickTop="1">
      <c r="A106" s="1854"/>
      <c r="B106" s="1859" t="s">
        <v>2388</v>
      </c>
      <c r="C106" s="468"/>
      <c r="D106" s="468"/>
      <c r="E106" s="468"/>
      <c r="F106" s="468"/>
      <c r="G106" s="468"/>
      <c r="H106" s="1578"/>
      <c r="I106" s="1578"/>
      <c r="J106" s="1578"/>
      <c r="K106" s="473"/>
      <c r="L106" s="473"/>
      <c r="M106" s="1894"/>
      <c r="N106" s="3009"/>
      <c r="O106" s="3009"/>
      <c r="P106" s="2058"/>
      <c r="Q106" s="1822"/>
    </row>
    <row r="107" spans="1:17" ht="14.4"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0"/>
      <c r="O107" s="3010"/>
      <c r="P107" s="2058"/>
      <c r="Q107" s="1822"/>
    </row>
    <row r="108" spans="1:17" ht="15" thickTop="1">
      <c r="A108" s="1854"/>
      <c r="B108" s="1859" t="s">
        <v>2449</v>
      </c>
      <c r="C108" s="1578"/>
      <c r="D108" s="1578"/>
      <c r="E108" s="1578"/>
      <c r="F108" s="1578"/>
      <c r="G108" s="1578"/>
      <c r="H108" s="1578"/>
      <c r="I108" s="1578"/>
      <c r="J108" s="1578"/>
      <c r="K108" s="473"/>
      <c r="L108" s="473"/>
      <c r="M108" s="1894"/>
      <c r="N108" s="3009"/>
      <c r="O108" s="3009"/>
      <c r="P108" s="2058"/>
      <c r="Q108" s="1822"/>
    </row>
    <row r="109" spans="1:17" ht="14.4"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0"/>
      <c r="O109" s="3010"/>
      <c r="P109" s="2058"/>
      <c r="Q109" s="1822"/>
    </row>
    <row r="110" spans="1:17" ht="14.4" thickTop="1">
      <c r="A110" s="1854"/>
      <c r="B110" s="1865">
        <f>B35</f>
        <v>111</v>
      </c>
      <c r="C110" s="468"/>
      <c r="D110" s="468"/>
      <c r="E110" s="468"/>
      <c r="F110" s="468"/>
      <c r="G110" s="1895"/>
      <c r="H110" s="1895"/>
      <c r="I110" s="1895"/>
      <c r="J110" s="1895"/>
      <c r="K110" s="477"/>
      <c r="L110" s="477"/>
      <c r="M110" s="1896"/>
      <c r="N110" s="3009"/>
      <c r="O110" s="3009"/>
      <c r="P110" s="2058"/>
      <c r="Q110" s="1822"/>
    </row>
    <row r="111" spans="1:17" ht="14.4" thickBot="1">
      <c r="A111" s="1854"/>
      <c r="B111" s="1882"/>
      <c r="C111" s="1875"/>
      <c r="D111" s="1875"/>
      <c r="E111" s="1875"/>
      <c r="F111" s="1875"/>
      <c r="G111" s="1898"/>
      <c r="H111" s="1898"/>
      <c r="I111" s="1898"/>
      <c r="J111" s="1898"/>
      <c r="K111" s="1898"/>
      <c r="L111" s="1898"/>
      <c r="M111" s="1899"/>
      <c r="N111" s="3010"/>
      <c r="O111" s="3010"/>
      <c r="P111" s="2058"/>
      <c r="Q111" s="1822"/>
    </row>
    <row r="112" spans="1:17" ht="14.4" thickTop="1">
      <c r="A112" s="1995"/>
      <c r="B112" s="1859">
        <f>B36</f>
        <v>111</v>
      </c>
      <c r="C112" s="409"/>
      <c r="D112" s="409"/>
      <c r="E112" s="409"/>
      <c r="F112" s="409"/>
      <c r="G112" s="1578"/>
      <c r="H112" s="1578"/>
      <c r="I112" s="1578"/>
      <c r="J112" s="1578"/>
      <c r="K112" s="473"/>
      <c r="L112" s="473"/>
      <c r="M112" s="1894"/>
      <c r="N112" s="3009"/>
      <c r="O112" s="3009"/>
      <c r="P112" s="2058"/>
      <c r="Q112" s="1822"/>
    </row>
    <row r="113" spans="1:17" ht="14.4" thickBot="1">
      <c r="A113" s="1854"/>
      <c r="B113" s="1862"/>
      <c r="C113" s="1883"/>
      <c r="D113" s="1883"/>
      <c r="E113" s="1883"/>
      <c r="F113" s="1883"/>
      <c r="G113" s="1856"/>
      <c r="H113" s="1856"/>
      <c r="I113" s="1856"/>
      <c r="J113" s="1856"/>
      <c r="K113" s="1856"/>
      <c r="L113" s="1856"/>
      <c r="M113" s="1857"/>
      <c r="N113" s="3010"/>
      <c r="O113" s="3010"/>
      <c r="P113" s="2058"/>
      <c r="Q113" s="1822"/>
    </row>
    <row r="114" spans="1:17" s="1772" customFormat="1" ht="14.4" thickTop="1">
      <c r="A114" s="1900"/>
      <c r="B114" s="1901">
        <f>B37</f>
        <v>111</v>
      </c>
      <c r="C114" s="1902"/>
      <c r="D114" s="1902"/>
      <c r="E114" s="1902"/>
      <c r="F114" s="1902"/>
      <c r="G114" s="1902"/>
      <c r="H114" s="1902"/>
      <c r="I114" s="1902"/>
      <c r="J114" s="485"/>
      <c r="K114" s="485"/>
      <c r="L114" s="485"/>
      <c r="M114" s="1903"/>
      <c r="N114" s="3011"/>
      <c r="O114" s="3011"/>
      <c r="P114" s="2059"/>
      <c r="Q114" s="1874"/>
    </row>
    <row r="115" spans="1:17" s="1772" customFormat="1" ht="14.4" thickBot="1">
      <c r="A115" s="1870"/>
      <c r="B115" s="1865"/>
      <c r="C115" s="1832"/>
      <c r="D115" s="2062"/>
      <c r="E115" s="2062"/>
      <c r="F115" s="2062"/>
      <c r="G115" s="2062"/>
      <c r="H115" s="2062"/>
      <c r="I115" s="2062"/>
      <c r="J115" s="2062"/>
      <c r="K115" s="2062"/>
      <c r="L115" s="2062"/>
      <c r="M115" s="2063"/>
      <c r="N115" s="3010"/>
      <c r="O115" s="3010"/>
      <c r="P115" s="2059"/>
      <c r="Q115" s="1874"/>
    </row>
    <row r="116" spans="1:17" ht="14.4">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09"/>
      <c r="O116" s="3009"/>
      <c r="P116" s="2058"/>
      <c r="Q116" s="1822"/>
    </row>
    <row r="117" spans="1:17">
      <c r="A117" s="1854"/>
      <c r="B117" s="1865"/>
      <c r="C117" s="1902"/>
      <c r="D117" s="1902"/>
      <c r="E117" s="1902"/>
      <c r="F117" s="1902"/>
      <c r="G117" s="1902"/>
      <c r="H117" s="1902"/>
      <c r="I117" s="1902"/>
      <c r="J117" s="485"/>
      <c r="K117" s="485"/>
      <c r="L117" s="485"/>
      <c r="M117" s="1903"/>
      <c r="N117" s="3009"/>
      <c r="O117" s="3009"/>
      <c r="P117" s="2058"/>
      <c r="Q117" s="1822"/>
    </row>
    <row r="118" spans="1:17" ht="14.4" thickBot="1">
      <c r="A118" s="1854"/>
      <c r="B118" s="1862"/>
      <c r="C118" s="1883"/>
      <c r="D118" s="1898"/>
      <c r="E118" s="1898"/>
      <c r="F118" s="1898"/>
      <c r="G118" s="1898"/>
      <c r="H118" s="1898"/>
      <c r="I118" s="1898"/>
      <c r="J118" s="1898"/>
      <c r="K118" s="1898"/>
      <c r="L118" s="1898"/>
      <c r="M118" s="1899"/>
      <c r="N118" s="3010"/>
      <c r="O118" s="3010"/>
      <c r="P118" s="2058"/>
      <c r="Q118" s="1822"/>
    </row>
    <row r="119" spans="1:17" ht="15" thickTop="1">
      <c r="A119" s="1904"/>
      <c r="B119" s="1859" t="s">
        <v>2485</v>
      </c>
      <c r="C119" s="1578"/>
      <c r="D119" s="1578"/>
      <c r="E119" s="1578"/>
      <c r="F119" s="1578"/>
      <c r="G119" s="1578"/>
      <c r="H119" s="1578"/>
      <c r="I119" s="1578"/>
      <c r="J119" s="1578"/>
      <c r="K119" s="473"/>
      <c r="L119" s="473"/>
      <c r="M119" s="1894"/>
      <c r="N119" s="3009"/>
      <c r="O119" s="3009"/>
      <c r="P119" s="2058"/>
      <c r="Q119" s="1822"/>
    </row>
    <row r="120" spans="1:17" ht="14.4"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0"/>
      <c r="O120" s="3010"/>
      <c r="P120" s="2058"/>
      <c r="Q120" s="1822"/>
    </row>
    <row r="121" spans="1:17" ht="15" thickTop="1">
      <c r="A121" s="1904"/>
      <c r="B121" s="1859" t="s">
        <v>2486</v>
      </c>
      <c r="C121" s="468"/>
      <c r="D121" s="468"/>
      <c r="E121" s="468"/>
      <c r="F121" s="1578"/>
      <c r="G121" s="1578"/>
      <c r="H121" s="1578"/>
      <c r="I121" s="1578"/>
      <c r="J121" s="1578"/>
      <c r="K121" s="473"/>
      <c r="L121" s="473"/>
      <c r="M121" s="1894"/>
      <c r="N121" s="3009"/>
      <c r="O121" s="3009"/>
      <c r="P121" s="2058"/>
      <c r="Q121" s="1822"/>
    </row>
    <row r="122" spans="1:17" ht="14.4"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0"/>
      <c r="O122" s="3010"/>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1"/>
      <c r="O123" s="3011"/>
      <c r="P123" s="2059"/>
      <c r="Q123" s="1874"/>
    </row>
    <row r="124" spans="1:17" s="1772" customFormat="1" ht="14.4"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1"/>
      <c r="O124" s="3011"/>
      <c r="P124" s="2059"/>
      <c r="Q124" s="1874"/>
    </row>
    <row r="125" spans="1:17" ht="15" thickTop="1">
      <c r="A125" s="1904"/>
      <c r="B125" s="1859" t="s">
        <v>2488</v>
      </c>
      <c r="C125" s="468"/>
      <c r="D125" s="468"/>
      <c r="E125" s="1578"/>
      <c r="F125" s="1578"/>
      <c r="G125" s="1578"/>
      <c r="H125" s="1578"/>
      <c r="I125" s="1578"/>
      <c r="J125" s="1578"/>
      <c r="K125" s="473"/>
      <c r="L125" s="473"/>
      <c r="M125" s="1894"/>
      <c r="N125" s="3009"/>
      <c r="O125" s="3009"/>
      <c r="P125" s="2058"/>
      <c r="Q125" s="1822"/>
    </row>
    <row r="126" spans="1:17" ht="14.4"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0"/>
      <c r="O126" s="3010"/>
      <c r="P126" s="2058"/>
      <c r="Q126" s="1822"/>
    </row>
    <row r="127" spans="1:17" ht="14.4" thickTop="1">
      <c r="A127" s="1904"/>
      <c r="B127" s="1859">
        <f>B43</f>
        <v>111</v>
      </c>
      <c r="C127" s="468"/>
      <c r="D127" s="468"/>
      <c r="E127" s="468"/>
      <c r="F127" s="468"/>
      <c r="G127" s="468"/>
      <c r="H127" s="1578"/>
      <c r="I127" s="1578"/>
      <c r="J127" s="1578"/>
      <c r="K127" s="473"/>
      <c r="L127" s="473"/>
      <c r="M127" s="1894"/>
      <c r="N127" s="3009"/>
      <c r="O127" s="3009"/>
      <c r="P127" s="2058"/>
      <c r="Q127" s="1822"/>
    </row>
    <row r="128" spans="1:17" ht="14.4" thickBot="1">
      <c r="A128" s="1854"/>
      <c r="B128" s="1862"/>
      <c r="C128" s="1875"/>
      <c r="D128" s="1875"/>
      <c r="E128" s="1875"/>
      <c r="F128" s="1875"/>
      <c r="G128" s="1856"/>
      <c r="H128" s="1856"/>
      <c r="I128" s="1856"/>
      <c r="J128" s="1856"/>
      <c r="K128" s="1856"/>
      <c r="L128" s="1856"/>
      <c r="M128" s="1857"/>
      <c r="N128" s="3010"/>
      <c r="O128" s="3010"/>
      <c r="P128" s="2058"/>
      <c r="Q128" s="1822"/>
    </row>
    <row r="129" spans="1:17" ht="14.4" thickTop="1">
      <c r="A129" s="1904"/>
      <c r="B129" s="1859">
        <f>B44</f>
        <v>111</v>
      </c>
      <c r="C129" s="409"/>
      <c r="D129" s="409"/>
      <c r="E129" s="409"/>
      <c r="F129" s="409"/>
      <c r="G129" s="1578"/>
      <c r="H129" s="1578"/>
      <c r="I129" s="1578"/>
      <c r="J129" s="1578"/>
      <c r="K129" s="473"/>
      <c r="L129" s="473"/>
      <c r="M129" s="1894"/>
      <c r="N129" s="3009"/>
      <c r="O129" s="3009"/>
      <c r="P129" s="2058"/>
      <c r="Q129" s="1822"/>
    </row>
    <row r="130" spans="1:17" ht="14.4" thickBot="1">
      <c r="A130" s="1854"/>
      <c r="B130" s="1862"/>
      <c r="C130" s="1883"/>
      <c r="D130" s="1883"/>
      <c r="E130" s="1883"/>
      <c r="F130" s="1883"/>
      <c r="G130" s="1856"/>
      <c r="H130" s="1856"/>
      <c r="I130" s="1856"/>
      <c r="J130" s="1856"/>
      <c r="K130" s="1856"/>
      <c r="L130" s="1856"/>
      <c r="M130" s="1857"/>
      <c r="N130" s="3010"/>
      <c r="O130" s="3010"/>
      <c r="P130" s="2058"/>
      <c r="Q130" s="1822"/>
    </row>
    <row r="131" spans="1:17" s="1772" customFormat="1" ht="14.4" thickTop="1">
      <c r="A131" s="1900"/>
      <c r="B131" s="1859">
        <f>B45</f>
        <v>111</v>
      </c>
      <c r="C131" s="409"/>
      <c r="D131" s="409"/>
      <c r="E131" s="409"/>
      <c r="F131" s="409"/>
      <c r="G131" s="443"/>
      <c r="H131" s="443"/>
      <c r="I131" s="443"/>
      <c r="J131" s="443"/>
      <c r="K131" s="443"/>
      <c r="L131" s="443"/>
      <c r="M131" s="1871"/>
      <c r="N131" s="3011"/>
      <c r="O131" s="3011"/>
      <c r="P131" s="2059"/>
      <c r="Q131" s="1874"/>
    </row>
    <row r="132" spans="1:17" s="1772" customFormat="1" ht="14.4" thickBot="1">
      <c r="A132" s="1881"/>
      <c r="B132" s="2065"/>
      <c r="C132" s="1883"/>
      <c r="D132" s="1883"/>
      <c r="E132" s="1883"/>
      <c r="F132" s="1883"/>
      <c r="G132" s="1898"/>
      <c r="H132" s="1898"/>
      <c r="I132" s="1898"/>
      <c r="J132" s="1898"/>
      <c r="K132" s="1898"/>
      <c r="L132" s="1898"/>
      <c r="M132" s="1899"/>
      <c r="N132" s="3011"/>
      <c r="O132" s="301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3"/>
      <c r="E2" s="3013"/>
      <c r="F2" s="3016"/>
      <c r="G2" s="3013"/>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3"/>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4.4">
      <c r="A4" s="294" t="s">
        <v>2245</v>
      </c>
      <c r="B4" s="295"/>
      <c r="C4" s="3505" t="s">
        <v>2246</v>
      </c>
      <c r="D4" s="3506"/>
      <c r="E4" s="3507" t="s">
        <v>2247</v>
      </c>
      <c r="F4" s="3508"/>
      <c r="G4" s="3505" t="s">
        <v>2248</v>
      </c>
      <c r="H4" s="3506"/>
      <c r="I4" s="3505" t="s">
        <v>2249</v>
      </c>
      <c r="J4" s="3506"/>
      <c r="K4" s="496" t="s">
        <v>2250</v>
      </c>
      <c r="L4" s="3018"/>
      <c r="M4" s="3019"/>
      <c r="N4" s="3019"/>
      <c r="O4" s="3019"/>
      <c r="P4" s="3509" t="s">
        <v>2251</v>
      </c>
      <c r="Q4" s="3510"/>
      <c r="R4" s="3492" t="s">
        <v>2247</v>
      </c>
      <c r="S4" s="3493"/>
      <c r="T4" s="3492" t="s">
        <v>2248</v>
      </c>
      <c r="U4" s="3493"/>
      <c r="V4" s="3515" t="s">
        <v>2249</v>
      </c>
      <c r="W4" s="3515"/>
      <c r="X4" s="1335"/>
      <c r="Y4" s="3492" t="s">
        <v>2251</v>
      </c>
      <c r="Z4" s="3493"/>
      <c r="AA4" s="3502" t="s">
        <v>2247</v>
      </c>
      <c r="AB4" s="3503" t="s">
        <v>2248</v>
      </c>
      <c r="AC4" s="3502" t="s">
        <v>2249</v>
      </c>
    </row>
    <row r="5" spans="1:29">
      <c r="A5" s="297"/>
      <c r="B5" s="298"/>
      <c r="C5" s="3518" t="s">
        <v>2252</v>
      </c>
      <c r="D5" s="3519"/>
      <c r="E5" s="3516" t="s">
        <v>2253</v>
      </c>
      <c r="F5" s="3517"/>
      <c r="G5" s="3518" t="s">
        <v>2254</v>
      </c>
      <c r="H5" s="3519"/>
      <c r="I5" s="3518" t="s">
        <v>2255</v>
      </c>
      <c r="J5" s="3519"/>
      <c r="K5" s="496"/>
      <c r="L5" s="3018"/>
      <c r="M5" s="3019"/>
      <c r="N5" s="3019"/>
      <c r="O5" s="3019"/>
      <c r="P5" s="3511"/>
      <c r="Q5" s="3512"/>
      <c r="R5" s="3494"/>
      <c r="S5" s="3495"/>
      <c r="T5" s="3494"/>
      <c r="U5" s="3495"/>
      <c r="V5" s="3515"/>
      <c r="W5" s="3515"/>
      <c r="X5" s="1335"/>
      <c r="Y5" s="3494"/>
      <c r="Z5" s="3495"/>
      <c r="AA5" s="3503"/>
      <c r="AB5" s="3503"/>
      <c r="AC5" s="3503"/>
    </row>
    <row r="6" spans="1:29" ht="15" thickBot="1">
      <c r="A6" s="299"/>
      <c r="B6" s="300"/>
      <c r="C6" s="3520" t="s">
        <v>2256</v>
      </c>
      <c r="D6" s="3521"/>
      <c r="E6" s="3522" t="s">
        <v>2256</v>
      </c>
      <c r="F6" s="3523"/>
      <c r="G6" s="3520" t="s">
        <v>2256</v>
      </c>
      <c r="H6" s="3521"/>
      <c r="I6" s="3520" t="s">
        <v>2256</v>
      </c>
      <c r="J6" s="3521"/>
      <c r="K6" s="496" t="s">
        <v>2257</v>
      </c>
      <c r="L6" s="3018"/>
      <c r="M6" s="3019"/>
      <c r="N6" s="3019"/>
      <c r="O6" s="3019"/>
      <c r="P6" s="3513"/>
      <c r="Q6" s="3514"/>
      <c r="R6" s="3494"/>
      <c r="S6" s="3495"/>
      <c r="T6" s="3496"/>
      <c r="U6" s="3497"/>
      <c r="V6" s="3515"/>
      <c r="W6" s="3515"/>
      <c r="X6" s="1335"/>
      <c r="Y6" s="3496"/>
      <c r="Z6" s="3497"/>
      <c r="AA6" s="3504"/>
      <c r="AB6" s="3504"/>
      <c r="AC6" s="3504"/>
    </row>
    <row r="7" spans="1:29" s="25" customFormat="1" ht="15" thickBot="1">
      <c r="A7" s="301" t="s">
        <v>2258</v>
      </c>
      <c r="B7" s="302"/>
      <c r="C7" s="303">
        <f>'数据-取费表'!B2</f>
        <v>44393</v>
      </c>
      <c r="D7" s="304">
        <v>100</v>
      </c>
      <c r="E7" s="305"/>
      <c r="F7" s="306">
        <f>SUMIF(65:65,YEAR(E7)&amp;"-"&amp;INT((MONTH(E7)+2)/3),66:66)</f>
        <v>0</v>
      </c>
      <c r="G7" s="1575"/>
      <c r="H7" s="304">
        <f>SUMIF(65:65,YEAR(G7)&amp;"-"&amp;INT((MONTH(G7)+2)/3),66:66)</f>
        <v>0</v>
      </c>
      <c r="I7" s="1575"/>
      <c r="J7" s="304">
        <f>SUMIF(65:65,YEAR(I7)&amp;"-"&amp;INT((MONTH(I7)+2)/3),66:66)</f>
        <v>0</v>
      </c>
      <c r="K7" s="497"/>
      <c r="L7" s="3020"/>
      <c r="M7" s="3021"/>
      <c r="N7" s="3021"/>
      <c r="O7" s="3021"/>
      <c r="P7" s="3490" t="s">
        <v>2259</v>
      </c>
      <c r="Q7" s="3498"/>
      <c r="R7" s="627" t="s">
        <v>25</v>
      </c>
      <c r="S7" s="628">
        <f t="shared" ref="S7:S15" si="0">F7</f>
        <v>0</v>
      </c>
      <c r="T7" s="627" t="s">
        <v>25</v>
      </c>
      <c r="U7" s="628">
        <f t="shared" ref="U7:U15" si="1">H7</f>
        <v>0</v>
      </c>
      <c r="V7" s="627" t="s">
        <v>25</v>
      </c>
      <c r="W7" s="628">
        <f t="shared" ref="W7:W15" si="2">J7</f>
        <v>0</v>
      </c>
      <c r="X7" s="629"/>
      <c r="Y7" s="3490" t="s">
        <v>2259</v>
      </c>
      <c r="Z7" s="3491"/>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0"/>
      <c r="M8" s="3021"/>
      <c r="N8" s="3021"/>
      <c r="O8" s="3021"/>
      <c r="P8" s="3490" t="s">
        <v>2262</v>
      </c>
      <c r="Q8" s="3491"/>
      <c r="R8" s="627" t="s">
        <v>25</v>
      </c>
      <c r="S8" s="628">
        <f t="shared" si="0"/>
        <v>0</v>
      </c>
      <c r="T8" s="627" t="s">
        <v>25</v>
      </c>
      <c r="U8" s="628">
        <f t="shared" si="1"/>
        <v>0</v>
      </c>
      <c r="V8" s="627" t="s">
        <v>25</v>
      </c>
      <c r="W8" s="628">
        <f t="shared" si="2"/>
        <v>0</v>
      </c>
      <c r="X8" s="629"/>
      <c r="Y8" s="3490" t="s">
        <v>2262</v>
      </c>
      <c r="Z8" s="3491"/>
      <c r="AA8" s="630" t="e">
        <f t="shared" ref="AA8:AA40" si="3">D8/F8</f>
        <v>#DIV/0!</v>
      </c>
      <c r="AB8" s="630" t="e">
        <f t="shared" ref="AB8:AB40" si="4">D8/H8</f>
        <v>#DIV/0!</v>
      </c>
      <c r="AC8" s="630" t="e">
        <f t="shared" ref="AC8:AC40" si="5">D8/J8</f>
        <v>#DIV/0!</v>
      </c>
    </row>
    <row r="9" spans="1:29" s="25" customFormat="1" ht="14.4">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0"/>
      <c r="M9" s="3021"/>
      <c r="N9" s="3021"/>
      <c r="O9" s="3022"/>
      <c r="P9" s="3482" t="s">
        <v>2265</v>
      </c>
      <c r="Q9" s="1327" t="str">
        <f t="shared" ref="Q9:Q15" si="6">B9</f>
        <v>用途</v>
      </c>
      <c r="R9" s="627" t="s">
        <v>25</v>
      </c>
      <c r="S9" s="628">
        <f t="shared" si="0"/>
        <v>100</v>
      </c>
      <c r="T9" s="627" t="s">
        <v>25</v>
      </c>
      <c r="U9" s="628">
        <f t="shared" si="1"/>
        <v>100</v>
      </c>
      <c r="V9" s="627" t="s">
        <v>25</v>
      </c>
      <c r="W9" s="628">
        <f t="shared" si="2"/>
        <v>100</v>
      </c>
      <c r="X9" s="629"/>
      <c r="Y9" s="3501"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114</v>
      </c>
      <c r="G10" s="322"/>
      <c r="H10" s="29">
        <f>ROUND(100/'数据-取费表'!B14,0)</f>
        <v>114</v>
      </c>
      <c r="I10" s="322"/>
      <c r="J10" s="29">
        <f>ROUND(100/'数据-取费表'!B14,0)</f>
        <v>114</v>
      </c>
      <c r="K10" s="553"/>
      <c r="L10" s="3023"/>
      <c r="M10" s="3024"/>
      <c r="N10" s="3024"/>
      <c r="O10" s="3025"/>
      <c r="P10" s="3482"/>
      <c r="Q10" s="1327" t="str">
        <f t="shared" si="6"/>
        <v>土地使用年限（年）</v>
      </c>
      <c r="R10" s="627" t="s">
        <v>25</v>
      </c>
      <c r="S10" s="628">
        <f t="shared" si="0"/>
        <v>114</v>
      </c>
      <c r="T10" s="627" t="s">
        <v>25</v>
      </c>
      <c r="U10" s="628">
        <f t="shared" si="1"/>
        <v>114</v>
      </c>
      <c r="V10" s="627" t="s">
        <v>25</v>
      </c>
      <c r="W10" s="628">
        <f t="shared" si="2"/>
        <v>114</v>
      </c>
      <c r="X10" s="629"/>
      <c r="Y10" s="3501"/>
      <c r="Z10" s="19" t="str">
        <f t="shared" si="7"/>
        <v>土地使用年限（年）</v>
      </c>
      <c r="AA10" s="630">
        <f t="shared" si="3"/>
        <v>0.8771929824561403</v>
      </c>
      <c r="AB10" s="630">
        <f t="shared" si="4"/>
        <v>0.8771929824561403</v>
      </c>
      <c r="AC10" s="630">
        <f t="shared" si="5"/>
        <v>0.8771929824561403</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6"/>
      <c r="M11" s="3019"/>
      <c r="N11" s="3019"/>
      <c r="O11" s="3027"/>
      <c r="P11" s="3482"/>
      <c r="Q11" s="1327" t="str">
        <f t="shared" si="6"/>
        <v>容积率</v>
      </c>
      <c r="R11" s="627" t="s">
        <v>25</v>
      </c>
      <c r="S11" s="628" t="e">
        <f t="shared" si="0"/>
        <v>#N/A</v>
      </c>
      <c r="T11" s="627" t="s">
        <v>25</v>
      </c>
      <c r="U11" s="628" t="e">
        <f t="shared" si="1"/>
        <v>#N/A</v>
      </c>
      <c r="V11" s="627" t="s">
        <v>25</v>
      </c>
      <c r="W11" s="628" t="e">
        <f t="shared" si="2"/>
        <v>#N/A</v>
      </c>
      <c r="X11" s="629"/>
      <c r="Y11" s="350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0"/>
      <c r="M12" s="3021"/>
      <c r="N12" s="3021"/>
      <c r="O12" s="3022"/>
      <c r="P12" s="3482"/>
      <c r="Q12" s="1327">
        <f t="shared" si="6"/>
        <v>111</v>
      </c>
      <c r="R12" s="627" t="s">
        <v>25</v>
      </c>
      <c r="S12" s="628">
        <f t="shared" si="0"/>
        <v>100</v>
      </c>
      <c r="T12" s="627" t="s">
        <v>25</v>
      </c>
      <c r="U12" s="628">
        <f t="shared" si="1"/>
        <v>100</v>
      </c>
      <c r="V12" s="627" t="s">
        <v>25</v>
      </c>
      <c r="W12" s="628">
        <f t="shared" si="2"/>
        <v>100</v>
      </c>
      <c r="X12" s="629"/>
      <c r="Y12" s="350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8"/>
      <c r="M13" s="3019"/>
      <c r="N13" s="3019"/>
      <c r="O13" s="3027"/>
      <c r="P13" s="3482"/>
      <c r="Q13" s="1327">
        <f t="shared" si="6"/>
        <v>111</v>
      </c>
      <c r="R13" s="627" t="s">
        <v>25</v>
      </c>
      <c r="S13" s="628">
        <f t="shared" si="0"/>
        <v>100</v>
      </c>
      <c r="T13" s="627" t="s">
        <v>25</v>
      </c>
      <c r="U13" s="628">
        <f t="shared" si="1"/>
        <v>100</v>
      </c>
      <c r="V13" s="627" t="s">
        <v>25</v>
      </c>
      <c r="W13" s="628">
        <f t="shared" si="2"/>
        <v>100</v>
      </c>
      <c r="X13" s="629"/>
      <c r="Y13" s="3501"/>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28"/>
      <c r="M14" s="3019"/>
      <c r="N14" s="3019"/>
      <c r="O14" s="3027"/>
      <c r="P14" s="3482"/>
      <c r="Q14" s="1327">
        <f t="shared" si="6"/>
        <v>111</v>
      </c>
      <c r="R14" s="627" t="s">
        <v>25</v>
      </c>
      <c r="S14" s="628">
        <f t="shared" si="0"/>
        <v>100</v>
      </c>
      <c r="T14" s="627" t="s">
        <v>25</v>
      </c>
      <c r="U14" s="628">
        <f t="shared" si="1"/>
        <v>100</v>
      </c>
      <c r="V14" s="627" t="s">
        <v>25</v>
      </c>
      <c r="W14" s="628">
        <f t="shared" si="2"/>
        <v>100</v>
      </c>
      <c r="X14" s="629"/>
      <c r="Y14" s="3501"/>
      <c r="Z14" s="19">
        <f t="shared" si="7"/>
        <v>111</v>
      </c>
      <c r="AA14" s="630">
        <f t="shared" si="3"/>
        <v>1</v>
      </c>
      <c r="AB14" s="630">
        <f t="shared" si="4"/>
        <v>1</v>
      </c>
      <c r="AC14" s="630">
        <f t="shared" si="5"/>
        <v>1</v>
      </c>
    </row>
    <row r="15" spans="1:29" ht="69">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8"/>
      <c r="M15" s="3019"/>
      <c r="N15" s="3019"/>
      <c r="O15" s="3027"/>
      <c r="P15" s="3499" t="s">
        <v>2270</v>
      </c>
      <c r="Q15" s="1334" t="str">
        <f t="shared" si="6"/>
        <v>产业集聚程度</v>
      </c>
      <c r="R15" s="631" t="s">
        <v>25</v>
      </c>
      <c r="S15" s="632">
        <f t="shared" si="0"/>
        <v>100</v>
      </c>
      <c r="T15" s="631" t="s">
        <v>25</v>
      </c>
      <c r="U15" s="632">
        <f t="shared" si="1"/>
        <v>100</v>
      </c>
      <c r="V15" s="631" t="s">
        <v>25</v>
      </c>
      <c r="W15" s="632">
        <f t="shared" si="2"/>
        <v>100</v>
      </c>
      <c r="X15" s="1335"/>
      <c r="Y15" s="3499"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8"/>
      <c r="M16" s="3019"/>
      <c r="N16" s="3019"/>
      <c r="O16" s="3027"/>
      <c r="P16" s="3500"/>
      <c r="Q16" s="1334"/>
      <c r="R16" s="631"/>
      <c r="S16" s="632"/>
      <c r="T16" s="631"/>
      <c r="U16" s="632"/>
      <c r="V16" s="631"/>
      <c r="W16" s="632"/>
      <c r="X16" s="1335"/>
      <c r="Y16" s="3500"/>
      <c r="Z16" s="1336"/>
      <c r="AA16" s="1337">
        <v>1</v>
      </c>
      <c r="AB16" s="1337">
        <v>1</v>
      </c>
      <c r="AC16" s="1337">
        <v>1</v>
      </c>
    </row>
    <row r="17" spans="1:29" ht="96.6">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8"/>
      <c r="M17" s="3019"/>
      <c r="N17" s="3019"/>
      <c r="O17" s="3027"/>
      <c r="P17" s="3500"/>
      <c r="Q17" s="1334" t="str">
        <f>B17</f>
        <v>交通便捷度</v>
      </c>
      <c r="R17" s="631" t="s">
        <v>25</v>
      </c>
      <c r="S17" s="632">
        <f>F17</f>
        <v>100</v>
      </c>
      <c r="T17" s="631" t="s">
        <v>25</v>
      </c>
      <c r="U17" s="632">
        <f>H17</f>
        <v>100</v>
      </c>
      <c r="V17" s="631" t="s">
        <v>25</v>
      </c>
      <c r="W17" s="632">
        <f>J17</f>
        <v>100</v>
      </c>
      <c r="X17" s="1335"/>
      <c r="Y17" s="350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28"/>
      <c r="M18" s="3019"/>
      <c r="N18" s="3019"/>
      <c r="O18" s="3027"/>
      <c r="P18" s="3500"/>
      <c r="Q18" s="1334"/>
      <c r="R18" s="631"/>
      <c r="S18" s="632"/>
      <c r="T18" s="631"/>
      <c r="U18" s="632"/>
      <c r="V18" s="631"/>
      <c r="W18" s="632"/>
      <c r="X18" s="1335"/>
      <c r="Y18" s="3500"/>
      <c r="Z18" s="1336"/>
      <c r="AA18" s="1337">
        <v>1</v>
      </c>
      <c r="AB18" s="1337">
        <v>1</v>
      </c>
      <c r="AC18" s="1337">
        <v>1</v>
      </c>
    </row>
    <row r="19" spans="1:29" ht="28.8">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8"/>
      <c r="M19" s="3019"/>
      <c r="N19" s="3019"/>
      <c r="O19" s="3027"/>
      <c r="P19" s="3500"/>
      <c r="Q19" s="1334" t="str">
        <f t="shared" ref="Q19:Q33" si="8">B19</f>
        <v>区域土地利用方向</v>
      </c>
      <c r="R19" s="631" t="s">
        <v>25</v>
      </c>
      <c r="S19" s="632">
        <f>F19</f>
        <v>100</v>
      </c>
      <c r="T19" s="631" t="s">
        <v>25</v>
      </c>
      <c r="U19" s="632">
        <f>H19</f>
        <v>100</v>
      </c>
      <c r="V19" s="631" t="s">
        <v>25</v>
      </c>
      <c r="W19" s="632">
        <f>J19</f>
        <v>100</v>
      </c>
      <c r="X19" s="1335"/>
      <c r="Y19" s="350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8"/>
      <c r="M20" s="3019"/>
      <c r="N20" s="3019"/>
      <c r="O20" s="3027"/>
      <c r="P20" s="3500"/>
      <c r="Q20" s="1334"/>
      <c r="R20" s="631"/>
      <c r="S20" s="632"/>
      <c r="T20" s="631"/>
      <c r="U20" s="632"/>
      <c r="V20" s="631"/>
      <c r="W20" s="632"/>
      <c r="X20" s="1335"/>
      <c r="Y20" s="3500"/>
      <c r="Z20" s="1336"/>
      <c r="AA20" s="1337"/>
      <c r="AB20" s="1337"/>
      <c r="AC20" s="1337"/>
    </row>
    <row r="21" spans="1:29" ht="82.8">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8"/>
      <c r="M21" s="3019"/>
      <c r="N21" s="3019"/>
      <c r="O21" s="3027"/>
      <c r="P21" s="3500"/>
      <c r="Q21" s="1334" t="str">
        <f t="shared" si="8"/>
        <v>环境状况</v>
      </c>
      <c r="R21" s="631" t="s">
        <v>25</v>
      </c>
      <c r="S21" s="632">
        <f>F21</f>
        <v>100</v>
      </c>
      <c r="T21" s="631" t="s">
        <v>25</v>
      </c>
      <c r="U21" s="632">
        <f>H21</f>
        <v>100</v>
      </c>
      <c r="V21" s="631" t="s">
        <v>25</v>
      </c>
      <c r="W21" s="632">
        <f>J21</f>
        <v>100</v>
      </c>
      <c r="X21" s="1335"/>
      <c r="Y21" s="350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8"/>
      <c r="M22" s="3019"/>
      <c r="N22" s="3019"/>
      <c r="O22" s="3027"/>
      <c r="P22" s="3500"/>
      <c r="Q22" s="1334"/>
      <c r="R22" s="631"/>
      <c r="S22" s="632"/>
      <c r="T22" s="631"/>
      <c r="U22" s="632"/>
      <c r="V22" s="631"/>
      <c r="W22" s="632"/>
      <c r="X22" s="1335"/>
      <c r="Y22" s="3500"/>
      <c r="Z22" s="1336"/>
      <c r="AA22" s="1337">
        <v>1</v>
      </c>
      <c r="AB22" s="1337">
        <v>1</v>
      </c>
      <c r="AC22" s="1337">
        <v>1</v>
      </c>
    </row>
    <row r="23" spans="1:29" s="25" customFormat="1" ht="41.4">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0"/>
      <c r="M23" s="3021"/>
      <c r="N23" s="3021"/>
      <c r="O23" s="3022"/>
      <c r="P23" s="3500"/>
      <c r="Q23" s="1327" t="str">
        <f t="shared" si="8"/>
        <v>公共配套设施</v>
      </c>
      <c r="R23" s="627" t="s">
        <v>25</v>
      </c>
      <c r="S23" s="628">
        <f>F23</f>
        <v>100</v>
      </c>
      <c r="T23" s="627" t="s">
        <v>25</v>
      </c>
      <c r="U23" s="628">
        <f>H23</f>
        <v>100</v>
      </c>
      <c r="V23" s="627" t="s">
        <v>25</v>
      </c>
      <c r="W23" s="628">
        <f>J23</f>
        <v>100</v>
      </c>
      <c r="X23" s="629"/>
      <c r="Y23" s="350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0"/>
      <c r="M24" s="3021"/>
      <c r="N24" s="3021"/>
      <c r="O24" s="3022"/>
      <c r="P24" s="3500"/>
      <c r="Q24" s="1327"/>
      <c r="R24" s="627"/>
      <c r="S24" s="628"/>
      <c r="T24" s="627"/>
      <c r="U24" s="628"/>
      <c r="V24" s="627"/>
      <c r="W24" s="628"/>
      <c r="X24" s="629"/>
      <c r="Y24" s="3500"/>
      <c r="Z24" s="19"/>
      <c r="AA24" s="630">
        <v>1</v>
      </c>
      <c r="AB24" s="630">
        <v>1</v>
      </c>
      <c r="AC24" s="630">
        <v>1</v>
      </c>
    </row>
    <row r="25" spans="1:29" s="25" customFormat="1" ht="41.4">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0"/>
      <c r="M25" s="3021"/>
      <c r="N25" s="3021"/>
      <c r="O25" s="3022"/>
      <c r="P25" s="3500"/>
      <c r="Q25" s="1327" t="str">
        <f t="shared" ref="Q25" si="9">B25</f>
        <v>基础设施水平</v>
      </c>
      <c r="R25" s="627" t="s">
        <v>25</v>
      </c>
      <c r="S25" s="628">
        <f>F25</f>
        <v>100</v>
      </c>
      <c r="T25" s="627" t="s">
        <v>25</v>
      </c>
      <c r="U25" s="628">
        <f>H25</f>
        <v>100</v>
      </c>
      <c r="V25" s="627" t="s">
        <v>25</v>
      </c>
      <c r="W25" s="628">
        <f>J25</f>
        <v>100</v>
      </c>
      <c r="X25" s="629"/>
      <c r="Y25" s="350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0"/>
      <c r="M26" s="3021"/>
      <c r="N26" s="3021"/>
      <c r="O26" s="3022"/>
      <c r="P26" s="3500"/>
      <c r="Q26" s="1327"/>
      <c r="R26" s="627"/>
      <c r="S26" s="628"/>
      <c r="T26" s="627"/>
      <c r="U26" s="628"/>
      <c r="V26" s="627"/>
      <c r="W26" s="628"/>
      <c r="X26" s="629"/>
      <c r="Y26" s="350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8"/>
      <c r="M27" s="3019"/>
      <c r="N27" s="3019"/>
      <c r="O27" s="3027"/>
      <c r="P27" s="350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0"/>
      <c r="Z27" s="1336" t="str">
        <f t="shared" ref="Z27:Z40" si="13">Q27</f>
        <v>临街状况</v>
      </c>
      <c r="AA27" s="1337">
        <f t="shared" si="3"/>
        <v>1</v>
      </c>
      <c r="AB27" s="1337">
        <f t="shared" si="4"/>
        <v>1</v>
      </c>
      <c r="AC27" s="1337">
        <f t="shared" si="5"/>
        <v>1</v>
      </c>
    </row>
    <row r="28" spans="1:29" ht="28.8">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8"/>
      <c r="M28" s="3019"/>
      <c r="N28" s="3019"/>
      <c r="O28" s="3027"/>
      <c r="P28" s="3500"/>
      <c r="Q28" s="1334" t="str">
        <f t="shared" si="8"/>
        <v>毗邻道路的类型与等级</v>
      </c>
      <c r="R28" s="631" t="s">
        <v>25</v>
      </c>
      <c r="S28" s="632">
        <f t="shared" si="10"/>
        <v>100</v>
      </c>
      <c r="T28" s="631" t="s">
        <v>25</v>
      </c>
      <c r="U28" s="632">
        <f t="shared" si="11"/>
        <v>100</v>
      </c>
      <c r="V28" s="631" t="s">
        <v>25</v>
      </c>
      <c r="W28" s="632">
        <f t="shared" si="12"/>
        <v>100</v>
      </c>
      <c r="X28" s="1335"/>
      <c r="Y28" s="350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8"/>
      <c r="M29" s="3019"/>
      <c r="N29" s="3019"/>
      <c r="O29" s="3027"/>
      <c r="P29" s="3500"/>
      <c r="Q29" s="1334"/>
      <c r="R29" s="631"/>
      <c r="S29" s="632"/>
      <c r="T29" s="631"/>
      <c r="U29" s="632"/>
      <c r="V29" s="631"/>
      <c r="W29" s="632"/>
      <c r="X29" s="1335"/>
      <c r="Y29" s="3500"/>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8"/>
      <c r="M30" s="3019"/>
      <c r="N30" s="3019"/>
      <c r="O30" s="3027"/>
      <c r="P30" s="3500"/>
      <c r="Q30" s="1334" t="str">
        <f t="shared" si="8"/>
        <v>土地级别</v>
      </c>
      <c r="R30" s="631" t="s">
        <v>25</v>
      </c>
      <c r="S30" s="632">
        <f t="shared" si="10"/>
        <v>100</v>
      </c>
      <c r="T30" s="631" t="s">
        <v>25</v>
      </c>
      <c r="U30" s="632">
        <f t="shared" si="11"/>
        <v>100</v>
      </c>
      <c r="V30" s="631" t="s">
        <v>25</v>
      </c>
      <c r="W30" s="632">
        <f t="shared" si="12"/>
        <v>100</v>
      </c>
      <c r="X30" s="1335"/>
      <c r="Y30" s="350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8"/>
      <c r="M31" s="3019"/>
      <c r="N31" s="3019"/>
      <c r="O31" s="3027"/>
      <c r="P31" s="3500"/>
      <c r="Q31" s="1334">
        <f t="shared" si="8"/>
        <v>111</v>
      </c>
      <c r="R31" s="631" t="s">
        <v>25</v>
      </c>
      <c r="S31" s="632">
        <f t="shared" si="10"/>
        <v>100</v>
      </c>
      <c r="T31" s="631" t="s">
        <v>25</v>
      </c>
      <c r="U31" s="632">
        <f t="shared" si="11"/>
        <v>100</v>
      </c>
      <c r="V31" s="631" t="s">
        <v>25</v>
      </c>
      <c r="W31" s="632">
        <f t="shared" si="12"/>
        <v>100</v>
      </c>
      <c r="X31" s="1335"/>
      <c r="Y31" s="350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8"/>
      <c r="M32" s="3019"/>
      <c r="N32" s="3019"/>
      <c r="O32" s="3027"/>
      <c r="P32" s="3487" t="s">
        <v>2276</v>
      </c>
      <c r="Q32" s="1334">
        <f t="shared" si="8"/>
        <v>111</v>
      </c>
      <c r="R32" s="631" t="s">
        <v>25</v>
      </c>
      <c r="S32" s="632">
        <f t="shared" si="10"/>
        <v>100</v>
      </c>
      <c r="T32" s="631" t="s">
        <v>25</v>
      </c>
      <c r="U32" s="632">
        <f t="shared" si="11"/>
        <v>100</v>
      </c>
      <c r="V32" s="631" t="s">
        <v>25</v>
      </c>
      <c r="W32" s="632">
        <f t="shared" si="12"/>
        <v>100</v>
      </c>
      <c r="X32" s="1335"/>
      <c r="Y32" s="3488" t="s">
        <v>2276</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6"/>
      <c r="M33" s="358"/>
      <c r="N33" s="358"/>
      <c r="O33" s="3029"/>
      <c r="P33" s="3488"/>
      <c r="Q33" s="1334">
        <f t="shared" si="8"/>
        <v>111</v>
      </c>
      <c r="R33" s="634" t="s">
        <v>25</v>
      </c>
      <c r="S33" s="635">
        <f t="shared" si="10"/>
        <v>100</v>
      </c>
      <c r="T33" s="634" t="s">
        <v>25</v>
      </c>
      <c r="U33" s="635">
        <f t="shared" si="11"/>
        <v>100</v>
      </c>
      <c r="V33" s="634" t="s">
        <v>25</v>
      </c>
      <c r="W33" s="635">
        <f t="shared" si="12"/>
        <v>100</v>
      </c>
      <c r="X33" s="636"/>
      <c r="Y33" s="3488"/>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8"/>
      <c r="M34" s="3019"/>
      <c r="N34" s="3019"/>
      <c r="O34" s="3027"/>
      <c r="P34" s="3488"/>
      <c r="Q34" s="1334" t="str">
        <f>B34</f>
        <v>宗地面积</v>
      </c>
      <c r="R34" s="631" t="s">
        <v>25</v>
      </c>
      <c r="S34" s="632" t="e">
        <f t="shared" si="10"/>
        <v>#N/A</v>
      </c>
      <c r="T34" s="631" t="s">
        <v>25</v>
      </c>
      <c r="U34" s="632" t="e">
        <f t="shared" si="11"/>
        <v>#N/A</v>
      </c>
      <c r="V34" s="631" t="s">
        <v>25</v>
      </c>
      <c r="W34" s="632" t="e">
        <f t="shared" si="12"/>
        <v>#N/A</v>
      </c>
      <c r="X34" s="1335"/>
      <c r="Y34" s="3488"/>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28"/>
      <c r="M35" s="3019"/>
      <c r="N35" s="3019"/>
      <c r="O35" s="3027"/>
      <c r="P35" s="3488"/>
      <c r="Q35" s="1334" t="str">
        <f t="shared" ref="Q35:Q40" si="14">B35</f>
        <v>宗地形状</v>
      </c>
      <c r="R35" s="631" t="s">
        <v>25</v>
      </c>
      <c r="S35" s="632">
        <f t="shared" si="10"/>
        <v>100</v>
      </c>
      <c r="T35" s="631" t="s">
        <v>25</v>
      </c>
      <c r="U35" s="632">
        <f t="shared" si="11"/>
        <v>100</v>
      </c>
      <c r="V35" s="631" t="s">
        <v>25</v>
      </c>
      <c r="W35" s="632">
        <f t="shared" si="12"/>
        <v>100</v>
      </c>
      <c r="X35" s="1335"/>
      <c r="Y35" s="3488"/>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0"/>
      <c r="M36" s="3021"/>
      <c r="N36" s="3021"/>
      <c r="O36" s="3022"/>
      <c r="P36" s="3488"/>
      <c r="Q36" s="1334" t="str">
        <f t="shared" si="14"/>
        <v>宗地开发程度</v>
      </c>
      <c r="R36" s="627" t="s">
        <v>25</v>
      </c>
      <c r="S36" s="628">
        <f t="shared" si="10"/>
        <v>100</v>
      </c>
      <c r="T36" s="627" t="s">
        <v>25</v>
      </c>
      <c r="U36" s="628">
        <f t="shared" si="11"/>
        <v>100</v>
      </c>
      <c r="V36" s="627" t="s">
        <v>25</v>
      </c>
      <c r="W36" s="628">
        <f t="shared" si="12"/>
        <v>100</v>
      </c>
      <c r="X36" s="629"/>
      <c r="Y36" s="3488"/>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28"/>
      <c r="M37" s="3019"/>
      <c r="N37" s="3019"/>
      <c r="O37" s="3027"/>
      <c r="P37" s="3488" t="s">
        <v>2276</v>
      </c>
      <c r="Q37" s="1334" t="str">
        <f t="shared" si="14"/>
        <v>工程地质条件</v>
      </c>
      <c r="R37" s="631" t="s">
        <v>25</v>
      </c>
      <c r="S37" s="632">
        <f t="shared" si="10"/>
        <v>100</v>
      </c>
      <c r="T37" s="631" t="s">
        <v>25</v>
      </c>
      <c r="U37" s="632">
        <f t="shared" si="11"/>
        <v>100</v>
      </c>
      <c r="V37" s="631" t="s">
        <v>25</v>
      </c>
      <c r="W37" s="632">
        <f t="shared" si="12"/>
        <v>100</v>
      </c>
      <c r="X37" s="1335"/>
      <c r="Y37" s="3488"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8"/>
      <c r="M38" s="3019"/>
      <c r="N38" s="3019"/>
      <c r="O38" s="3027"/>
      <c r="P38" s="3488"/>
      <c r="Q38" s="1334">
        <f t="shared" si="14"/>
        <v>111</v>
      </c>
      <c r="R38" s="631" t="s">
        <v>25</v>
      </c>
      <c r="S38" s="632">
        <f t="shared" si="10"/>
        <v>100</v>
      </c>
      <c r="T38" s="631" t="s">
        <v>25</v>
      </c>
      <c r="U38" s="632">
        <f t="shared" si="11"/>
        <v>100</v>
      </c>
      <c r="V38" s="631" t="s">
        <v>25</v>
      </c>
      <c r="W38" s="632">
        <f t="shared" si="12"/>
        <v>100</v>
      </c>
      <c r="X38" s="1335"/>
      <c r="Y38" s="348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8"/>
      <c r="M39" s="3019"/>
      <c r="N39" s="3019"/>
      <c r="O39" s="3027"/>
      <c r="P39" s="3488"/>
      <c r="Q39" s="1334">
        <f t="shared" si="14"/>
        <v>111</v>
      </c>
      <c r="R39" s="631" t="s">
        <v>25</v>
      </c>
      <c r="S39" s="632">
        <f t="shared" si="10"/>
        <v>100</v>
      </c>
      <c r="T39" s="631" t="s">
        <v>25</v>
      </c>
      <c r="U39" s="632">
        <f t="shared" si="11"/>
        <v>100</v>
      </c>
      <c r="V39" s="631" t="s">
        <v>25</v>
      </c>
      <c r="W39" s="632">
        <f t="shared" si="12"/>
        <v>100</v>
      </c>
      <c r="X39" s="1335"/>
      <c r="Y39" s="3488"/>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26"/>
      <c r="M40" s="358"/>
      <c r="N40" s="358"/>
      <c r="O40" s="3029"/>
      <c r="P40" s="3488"/>
      <c r="Q40" s="1334">
        <f t="shared" si="14"/>
        <v>111</v>
      </c>
      <c r="R40" s="634" t="s">
        <v>25</v>
      </c>
      <c r="S40" s="635">
        <f t="shared" si="10"/>
        <v>100</v>
      </c>
      <c r="T40" s="634" t="s">
        <v>25</v>
      </c>
      <c r="U40" s="635">
        <f t="shared" si="11"/>
        <v>100</v>
      </c>
      <c r="V40" s="634" t="s">
        <v>25</v>
      </c>
      <c r="W40" s="635">
        <f t="shared" si="12"/>
        <v>100</v>
      </c>
      <c r="X40" s="636"/>
      <c r="Y40" s="3488"/>
      <c r="Z40" s="637">
        <f t="shared" si="13"/>
        <v>111</v>
      </c>
      <c r="AA40" s="1337">
        <f t="shared" si="3"/>
        <v>1</v>
      </c>
      <c r="AB40" s="1337">
        <f t="shared" si="4"/>
        <v>1</v>
      </c>
      <c r="AC40" s="1337">
        <f t="shared" si="5"/>
        <v>1</v>
      </c>
    </row>
    <row r="41" spans="1:29" ht="14.4">
      <c r="A41" s="367" t="s">
        <v>2418</v>
      </c>
      <c r="B41" s="1591" t="s">
        <v>2493</v>
      </c>
      <c r="C41" s="562" t="s">
        <v>1</v>
      </c>
      <c r="D41" s="369"/>
      <c r="E41" s="370"/>
      <c r="F41" s="371"/>
      <c r="G41" s="372"/>
      <c r="H41" s="373"/>
      <c r="I41" s="370"/>
      <c r="J41" s="373"/>
      <c r="K41" s="640"/>
      <c r="L41" s="3030"/>
      <c r="M41" s="3019"/>
      <c r="N41" s="3019"/>
      <c r="P41" s="3482" t="str">
        <f>A41</f>
        <v>成交单价</v>
      </c>
      <c r="Q41" s="3482"/>
      <c r="R41" s="3515">
        <f>E41</f>
        <v>0</v>
      </c>
      <c r="S41" s="3515"/>
      <c r="T41" s="3515">
        <f>G41</f>
        <v>0</v>
      </c>
      <c r="U41" s="3515"/>
      <c r="V41" s="3515">
        <f>I41</f>
        <v>0</v>
      </c>
      <c r="W41" s="3515"/>
      <c r="X41" s="618"/>
      <c r="Y41" s="638"/>
      <c r="Z41" s="618"/>
      <c r="AA41" s="618"/>
      <c r="AB41" s="618"/>
      <c r="AC41" s="618"/>
    </row>
    <row r="42" spans="1:29" ht="15" thickBot="1">
      <c r="A42" s="374" t="s">
        <v>2371</v>
      </c>
      <c r="B42" s="563"/>
      <c r="C42" s="377" t="e">
        <f>R43</f>
        <v>#DIV/0!</v>
      </c>
      <c r="D42" s="1797" t="s">
        <v>2744</v>
      </c>
      <c r="E42" s="377" t="e">
        <f>R42</f>
        <v>#DIV/0!</v>
      </c>
      <c r="F42" s="1799"/>
      <c r="G42" s="376" t="e">
        <f>T42</f>
        <v>#DIV/0!</v>
      </c>
      <c r="H42" s="1799"/>
      <c r="I42" s="377" t="e">
        <f>V42</f>
        <v>#DIV/0!</v>
      </c>
      <c r="J42" s="1799"/>
      <c r="K42" s="2511">
        <f>F42+H42+J42</f>
        <v>0</v>
      </c>
      <c r="L42" s="3030"/>
      <c r="M42" s="3019"/>
      <c r="N42" s="3019"/>
      <c r="P42" s="3482" t="str">
        <f>A42</f>
        <v>比较价值（元/平方米）</v>
      </c>
      <c r="Q42" s="3482"/>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0"/>
      <c r="M43" s="3019"/>
      <c r="N43" s="3019"/>
      <c r="P43" s="3484" t="str">
        <f>A43</f>
        <v>估价对象XX用房的比较价值（楼面单价，元/平方米）</v>
      </c>
      <c r="Q43" s="3485"/>
      <c r="R43" s="3526" t="e">
        <f>ROUND(IF(D42="简单平均",AVERAGE(R42:W42),R42*F42+T42*H42+V42*J42),0)</f>
        <v>#DIV/0!</v>
      </c>
      <c r="S43" s="3526"/>
      <c r="T43" s="3526"/>
      <c r="U43" s="3526"/>
      <c r="V43" s="3526"/>
      <c r="W43" s="3526"/>
      <c r="X43" s="618"/>
      <c r="Y43" s="618"/>
      <c r="Z43" s="618"/>
      <c r="AA43" s="618"/>
      <c r="AB43" s="618"/>
      <c r="AC43" s="618"/>
    </row>
    <row r="44" spans="1:29">
      <c r="G44" s="3033"/>
      <c r="M44" s="3019"/>
      <c r="N44" s="3019"/>
    </row>
    <row r="45" spans="1:29">
      <c r="M45" s="3019"/>
      <c r="N45" s="3019"/>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9"/>
      <c r="N46" s="3019"/>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ht="14.4" thickBot="1">
      <c r="B49" s="3032"/>
      <c r="C49" s="3035"/>
      <c r="K49" s="3034"/>
      <c r="L49" s="3031"/>
    </row>
    <row r="50" spans="1:17" ht="28.8">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2021-7-1</v>
      </c>
      <c r="D63" s="1182">
        <f>EDATE(C63,-3)</f>
        <v>44287</v>
      </c>
      <c r="E63" s="1182">
        <f t="shared" ref="E63:O63" si="18">EDATE(D63,-3)</f>
        <v>44197</v>
      </c>
      <c r="F63" s="1182">
        <f t="shared" si="18"/>
        <v>44105</v>
      </c>
      <c r="G63" s="1182">
        <f t="shared" si="18"/>
        <v>44013</v>
      </c>
      <c r="H63" s="1182">
        <f t="shared" si="18"/>
        <v>43922</v>
      </c>
      <c r="I63" s="1182">
        <f t="shared" si="18"/>
        <v>43831</v>
      </c>
      <c r="J63" s="1182">
        <f t="shared" si="18"/>
        <v>43739</v>
      </c>
      <c r="K63" s="1182">
        <f t="shared" si="18"/>
        <v>43647</v>
      </c>
      <c r="L63" s="1182">
        <f t="shared" si="18"/>
        <v>43556</v>
      </c>
      <c r="M63" s="1182">
        <f t="shared" si="18"/>
        <v>43466</v>
      </c>
      <c r="N63" s="1182">
        <f t="shared" si="18"/>
        <v>43374</v>
      </c>
      <c r="O63" s="1182">
        <f t="shared" si="18"/>
        <v>43282</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5"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4" sqref="J24"/>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502</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14483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79"/>
      <c r="I4" s="2979"/>
      <c r="J4" s="2979"/>
      <c r="K4" s="2979"/>
      <c r="L4" s="2979"/>
      <c r="M4" s="2979"/>
      <c r="N4" s="2979"/>
      <c r="O4" s="2979"/>
      <c r="P4" s="2979"/>
      <c r="Q4" s="2979"/>
      <c r="R4" s="2979"/>
      <c r="S4" s="2979"/>
      <c r="T4" s="2979"/>
      <c r="U4" s="2979"/>
      <c r="V4" s="2979"/>
      <c r="W4" s="2979"/>
      <c r="X4" s="2979"/>
      <c r="Y4" s="2979"/>
      <c r="Z4" s="2979"/>
      <c r="AA4" s="2979"/>
      <c r="AB4" s="2979"/>
      <c r="AC4" s="2979"/>
      <c r="AD4" s="2979"/>
      <c r="AE4" s="2979"/>
      <c r="AF4" s="2979"/>
      <c r="AG4" s="2979"/>
      <c r="AH4" s="2979"/>
      <c r="AI4" s="2979"/>
      <c r="AJ4" s="2979"/>
      <c r="AK4" s="2979"/>
      <c r="AL4" s="2979"/>
      <c r="AM4" s="2979"/>
      <c r="AN4" s="2979"/>
      <c r="AO4" s="2979"/>
      <c r="AP4" s="2979"/>
      <c r="AQ4" s="2979"/>
      <c r="AR4" s="2979"/>
      <c r="AS4" s="2979"/>
      <c r="AT4" s="2979"/>
      <c r="AU4" s="2979"/>
      <c r="AV4" s="2979"/>
      <c r="AW4" s="2979"/>
      <c r="AX4" s="2979"/>
      <c r="AY4" s="2979"/>
      <c r="AZ4" s="2979"/>
      <c r="BA4" s="2979"/>
      <c r="BB4" s="2979"/>
      <c r="BC4" s="2979"/>
      <c r="BD4" s="2979"/>
      <c r="BE4" s="2979"/>
      <c r="BF4" s="2979"/>
      <c r="BG4" s="2979"/>
      <c r="BH4" s="2979"/>
      <c r="BI4" s="2979"/>
      <c r="BJ4" s="2979"/>
      <c r="BK4" s="2979"/>
      <c r="BL4" s="2979"/>
      <c r="BM4" s="2979"/>
      <c r="BN4" s="2979"/>
      <c r="BO4" s="2979"/>
      <c r="BP4" s="2979"/>
      <c r="BQ4" s="2979"/>
      <c r="BR4" s="2979"/>
      <c r="BS4" s="2979"/>
      <c r="BT4" s="2979"/>
      <c r="BU4" s="2979"/>
      <c r="BV4" s="2979"/>
      <c r="BW4" s="2979"/>
      <c r="BX4" s="2979"/>
      <c r="BY4" s="2979"/>
      <c r="BZ4" s="2979"/>
      <c r="CA4" s="2979"/>
      <c r="CB4" s="2979"/>
      <c r="CC4" s="2979"/>
      <c r="CD4" s="2979"/>
      <c r="CE4" s="2979"/>
      <c r="CF4" s="2979"/>
      <c r="CG4" s="2979"/>
      <c r="CH4" s="2979"/>
      <c r="CI4" s="2979"/>
      <c r="CJ4" s="2979"/>
      <c r="CK4" s="2979"/>
      <c r="CL4" s="2979"/>
      <c r="CM4" s="2979"/>
      <c r="CN4" s="2979"/>
      <c r="CO4" s="2979"/>
      <c r="CP4" s="2979"/>
      <c r="CQ4" s="2979"/>
      <c r="CR4" s="2979"/>
      <c r="CS4" s="2979"/>
      <c r="CT4" s="2979"/>
      <c r="CU4" s="2979"/>
      <c r="CV4" s="2979"/>
      <c r="CW4" s="2979"/>
      <c r="CX4" s="2979"/>
      <c r="CY4" s="2979"/>
      <c r="CZ4" s="2979"/>
      <c r="DA4" s="2979"/>
      <c r="DB4" s="2979"/>
      <c r="DC4" s="2979"/>
      <c r="DD4" s="2979"/>
      <c r="DE4" s="2979"/>
      <c r="DF4" s="2979"/>
      <c r="DG4" s="2979"/>
      <c r="DH4" s="2979"/>
      <c r="DI4" s="2979"/>
      <c r="DJ4" s="2979"/>
      <c r="DK4" s="2979"/>
      <c r="DL4" s="2979"/>
      <c r="DM4" s="2979"/>
      <c r="DN4" s="2979"/>
      <c r="DO4" s="2979"/>
      <c r="DP4" s="2979"/>
      <c r="DQ4" s="2979"/>
      <c r="DR4" s="2979"/>
      <c r="DS4" s="2979"/>
    </row>
    <row r="5" spans="1:123" s="91" customFormat="1" ht="13.5" customHeight="1">
      <c r="A5" s="120" t="s">
        <v>1917</v>
      </c>
      <c r="B5" s="89" t="s">
        <v>1918</v>
      </c>
      <c r="C5" s="111">
        <f>C6+C7+C8</f>
        <v>3204114</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3041962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92780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69372</v>
      </c>
      <c r="D8" s="1170"/>
      <c r="E8" s="115"/>
      <c r="F8" s="1169"/>
      <c r="G8" s="1518" t="s">
        <v>2929</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69372</v>
      </c>
      <c r="D10" s="1172">
        <f>IF('数据-取费表'!B10&lt;&gt;"住宅",IF(B1="仅计算典型户型",'数据-取费表'!E5,'数据-取费表'!B5),0)</f>
        <v>346.86</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346.86</v>
      </c>
      <c r="E19" s="111">
        <f>'数据-取费表'!E15</f>
        <v>200</v>
      </c>
      <c r="F19" s="112"/>
      <c r="G19" s="1518" t="s">
        <v>2930</v>
      </c>
    </row>
    <row r="20" spans="1:123" s="91" customFormat="1" ht="13.5" customHeight="1">
      <c r="A20" s="120" t="s">
        <v>1941</v>
      </c>
      <c r="B20" s="89" t="s">
        <v>1942</v>
      </c>
      <c r="C20" s="99">
        <f>ROUND((C5+C19)*F20,0)</f>
        <v>64082</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140773</v>
      </c>
      <c r="D22" s="101">
        <f ca="1">C26</f>
        <v>4.0000000000000002E-4</v>
      </c>
      <c r="E22" s="102" t="s">
        <v>1946</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139379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1394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261456</v>
      </c>
      <c r="D27" s="101">
        <f>C29</f>
        <v>1.6000000000000001E-3</v>
      </c>
      <c r="E27" s="102" t="s">
        <v>1946</v>
      </c>
      <c r="F27" s="112">
        <f>'数据-取费表'!E28</f>
        <v>0.08</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261456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1.6000000000000001E-3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3969314</v>
      </c>
      <c r="D31" s="1175"/>
      <c r="E31" s="111"/>
      <c r="F31" s="1176"/>
      <c r="G31" s="100" t="s">
        <v>1968</v>
      </c>
    </row>
    <row r="32" spans="1:123" s="88" customFormat="1" ht="16.2">
      <c r="A32" s="117" t="s">
        <v>1969</v>
      </c>
      <c r="B32" s="118"/>
      <c r="C32" s="1177"/>
      <c r="D32" s="1177"/>
      <c r="E32" s="1177"/>
      <c r="F32" s="1177"/>
      <c r="G32" s="119"/>
      <c r="H32" s="2979"/>
      <c r="I32" s="2979"/>
      <c r="J32" s="2979"/>
      <c r="K32" s="2979"/>
      <c r="L32" s="2979"/>
      <c r="M32" s="2979"/>
      <c r="N32" s="2979"/>
      <c r="O32" s="2979"/>
      <c r="P32" s="2979"/>
      <c r="Q32" s="2979"/>
      <c r="R32" s="2979"/>
      <c r="S32" s="2979"/>
      <c r="T32" s="2979"/>
      <c r="U32" s="2979"/>
      <c r="V32" s="2979"/>
      <c r="W32" s="2979"/>
      <c r="X32" s="2979"/>
      <c r="Y32" s="2979"/>
      <c r="Z32" s="2979"/>
      <c r="AA32" s="2979"/>
      <c r="AB32" s="2979"/>
      <c r="AC32" s="2979"/>
      <c r="AD32" s="2979"/>
      <c r="AE32" s="2979"/>
      <c r="AF32" s="2979"/>
      <c r="AG32" s="2979"/>
      <c r="AH32" s="2979"/>
      <c r="AI32" s="2979"/>
      <c r="AJ32" s="2979"/>
      <c r="AK32" s="2979"/>
      <c r="AL32" s="2979"/>
      <c r="AM32" s="2979"/>
      <c r="AN32" s="2979"/>
      <c r="AO32" s="2979"/>
      <c r="AP32" s="2979"/>
      <c r="AQ32" s="2979"/>
      <c r="AR32" s="2979"/>
      <c r="AS32" s="2979"/>
      <c r="AT32" s="2979"/>
      <c r="AU32" s="2979"/>
      <c r="AV32" s="2979"/>
      <c r="AW32" s="2979"/>
      <c r="AX32" s="2979"/>
      <c r="AY32" s="2979"/>
      <c r="AZ32" s="2979"/>
      <c r="BA32" s="2979"/>
      <c r="BB32" s="2979"/>
      <c r="BC32" s="2979"/>
      <c r="BD32" s="2979"/>
      <c r="BE32" s="2979"/>
      <c r="BF32" s="2979"/>
      <c r="BG32" s="2979"/>
      <c r="BH32" s="2979"/>
      <c r="BI32" s="2979"/>
      <c r="BJ32" s="2979"/>
      <c r="BK32" s="2979"/>
      <c r="BL32" s="2979"/>
      <c r="BM32" s="2979"/>
      <c r="BN32" s="2979"/>
      <c r="BO32" s="2979"/>
      <c r="BP32" s="2979"/>
      <c r="BQ32" s="2979"/>
      <c r="BR32" s="2979"/>
      <c r="BS32" s="2979"/>
      <c r="BT32" s="2979"/>
      <c r="BU32" s="2979"/>
      <c r="BV32" s="2979"/>
      <c r="BW32" s="2979"/>
      <c r="BX32" s="2979"/>
      <c r="BY32" s="2979"/>
      <c r="BZ32" s="2979"/>
      <c r="CA32" s="2979"/>
      <c r="CB32" s="2979"/>
      <c r="CC32" s="2979"/>
      <c r="CD32" s="2979"/>
      <c r="CE32" s="2979"/>
      <c r="CF32" s="2979"/>
      <c r="CG32" s="2979"/>
      <c r="CH32" s="2979"/>
      <c r="CI32" s="2979"/>
      <c r="CJ32" s="2979"/>
      <c r="CK32" s="2979"/>
      <c r="CL32" s="2979"/>
      <c r="CM32" s="2979"/>
      <c r="CN32" s="2979"/>
      <c r="CO32" s="2979"/>
      <c r="CP32" s="2979"/>
      <c r="CQ32" s="2979"/>
      <c r="CR32" s="2979"/>
      <c r="CS32" s="2979"/>
      <c r="CT32" s="2979"/>
      <c r="CU32" s="2979"/>
      <c r="CV32" s="2979"/>
      <c r="CW32" s="2979"/>
      <c r="CX32" s="2979"/>
      <c r="CY32" s="2979"/>
      <c r="CZ32" s="2979"/>
      <c r="DA32" s="2979"/>
      <c r="DB32" s="2979"/>
      <c r="DC32" s="2979"/>
      <c r="DD32" s="2979"/>
      <c r="DE32" s="2979"/>
      <c r="DF32" s="2979"/>
      <c r="DG32" s="2979"/>
      <c r="DH32" s="2979"/>
      <c r="DI32" s="2979"/>
      <c r="DJ32" s="2979"/>
      <c r="DK32" s="2979"/>
      <c r="DL32" s="2979"/>
      <c r="DM32" s="2979"/>
      <c r="DN32" s="2979"/>
      <c r="DO32" s="2979"/>
      <c r="DP32" s="2979"/>
      <c r="DQ32" s="2979"/>
      <c r="DR32" s="2979"/>
      <c r="DS32" s="2979"/>
    </row>
    <row r="33" spans="1:123" s="91" customFormat="1" ht="13.5" customHeight="1">
      <c r="A33" s="120" t="s">
        <v>1970</v>
      </c>
      <c r="B33" s="89" t="s">
        <v>1971</v>
      </c>
      <c r="C33" s="121">
        <f>SUM(C34:C38)</f>
        <v>1084284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971208</v>
      </c>
      <c r="D34" s="1167"/>
      <c r="E34" s="115"/>
      <c r="F34" s="1178" t="str">
        <f>IF('数据-取费表'!B26=0,"",'数据-取费表'!E20)</f>
        <v/>
      </c>
      <c r="G34" s="95"/>
    </row>
    <row r="35" spans="1:123" ht="13.5" customHeight="1">
      <c r="A35" s="92" t="s">
        <v>1924</v>
      </c>
      <c r="B35" s="93" t="s">
        <v>1973</v>
      </c>
      <c r="C35" s="115">
        <f>ROUND(C34*F35,0)</f>
        <v>29136</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69372</v>
      </c>
      <c r="D37" s="1167">
        <f>IF(B1="仅计算典型户型",'数据-取费表'!E5,'数据-取费表'!B5)</f>
        <v>346.86</v>
      </c>
      <c r="E37" s="115">
        <f>'数据-取费表'!E23</f>
        <v>200</v>
      </c>
      <c r="F37" s="1179"/>
      <c r="G37" s="124" t="s">
        <v>1978</v>
      </c>
    </row>
    <row r="38" spans="1:123" ht="13.5" customHeight="1">
      <c r="A38" s="92" t="s">
        <v>1979</v>
      </c>
      <c r="B38" s="93" t="s">
        <v>1980</v>
      </c>
      <c r="C38" s="115">
        <f>ROUND(C34*F38,0)</f>
        <v>14568</v>
      </c>
      <c r="D38" s="115"/>
      <c r="E38" s="115"/>
      <c r="F38" s="1179">
        <f>'数据-取费表'!E24</f>
        <v>1.4999999999999999E-2</v>
      </c>
      <c r="G38" s="95" t="s">
        <v>1974</v>
      </c>
    </row>
    <row r="39" spans="1:123" s="91" customFormat="1" ht="13.5" customHeight="1">
      <c r="A39" s="120" t="s">
        <v>1939</v>
      </c>
      <c r="B39" s="89" t="s">
        <v>1942</v>
      </c>
      <c r="C39" s="99">
        <f>ROUND(C33*F20,0)</f>
        <v>21686</v>
      </c>
      <c r="D39" s="99"/>
      <c r="E39" s="99"/>
      <c r="F39" s="2881">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1">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24055</v>
      </c>
      <c r="D41" s="101">
        <f ca="1">C44</f>
        <v>4.0000000000000002E-4</v>
      </c>
      <c r="E41" s="102" t="s">
        <v>1982</v>
      </c>
      <c r="F41" s="2881">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23583</v>
      </c>
      <c r="D42" s="104"/>
      <c r="E42" s="104"/>
      <c r="F42" s="105"/>
      <c r="G42" s="3528" t="s">
        <v>1984</v>
      </c>
    </row>
    <row r="43" spans="1:123" ht="13.5" customHeight="1">
      <c r="A43" s="92" t="s">
        <v>1924</v>
      </c>
      <c r="B43" s="93" t="s">
        <v>1953</v>
      </c>
      <c r="C43" s="104">
        <f ca="1">ROUND(IF('数据-取费表'!B24&lt;=1,C39*F22*'数据-取费表'!B23/2,C39*(POWER((1+F22),'数据-取费表'!B23/2)-1)),0)</f>
        <v>472</v>
      </c>
      <c r="D43" s="104"/>
      <c r="E43" s="104"/>
      <c r="F43" s="105"/>
      <c r="G43" s="3529"/>
    </row>
    <row r="44" spans="1:123" ht="13.5" customHeight="1">
      <c r="A44" s="92" t="s">
        <v>1926</v>
      </c>
      <c r="B44" s="93" t="s">
        <v>1955</v>
      </c>
      <c r="C44" s="104">
        <f ca="1">ROUND(IF('数据-取费表'!B24&lt;=1,C40*F22*'数据-取费表'!B23/2,C40*(POWER((1+F22),'数据-取费表'!B23/2)-1)),4)</f>
        <v>4.0000000000000002E-4</v>
      </c>
      <c r="D44" s="104"/>
      <c r="E44" s="104"/>
      <c r="F44" s="105"/>
      <c r="G44" s="3530"/>
    </row>
    <row r="45" spans="1:123" s="91" customFormat="1" ht="13.5" customHeight="1">
      <c r="A45" s="120" t="s">
        <v>1948</v>
      </c>
      <c r="B45" s="110" t="s">
        <v>1960</v>
      </c>
      <c r="C45" s="111">
        <f>C46</f>
        <v>88478</v>
      </c>
      <c r="D45" s="101">
        <f>C47</f>
        <v>1.6000000000000001E-3</v>
      </c>
      <c r="E45" s="102" t="s">
        <v>1982</v>
      </c>
      <c r="F45" s="2882">
        <f>F27</f>
        <v>0.08</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88478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1.6000000000000001E-3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1">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1317728</v>
      </c>
      <c r="D49" s="99"/>
      <c r="E49" s="99"/>
      <c r="F49" s="126"/>
      <c r="G49" s="100" t="s">
        <v>1992</v>
      </c>
    </row>
    <row r="50" spans="1:123" s="122" customFormat="1" ht="24">
      <c r="A50" s="994" t="s">
        <v>1993</v>
      </c>
      <c r="B50" s="89" t="s">
        <v>1994</v>
      </c>
      <c r="C50" s="99"/>
      <c r="D50" s="99"/>
      <c r="E50" s="99"/>
      <c r="F50" s="126">
        <f>IF('数据-取费表'!B26=0,'数据-取费表'!E20,1)</f>
        <v>0.8</v>
      </c>
      <c r="G50" s="113" t="s">
        <v>1995</v>
      </c>
    </row>
    <row r="51" spans="1:123" ht="16.5" customHeight="1">
      <c r="A51" s="994" t="s">
        <v>1996</v>
      </c>
      <c r="B51" s="89" t="s">
        <v>1997</v>
      </c>
      <c r="C51" s="99">
        <f ca="1">ROUND(C49*F50,0)</f>
        <v>1054182</v>
      </c>
      <c r="D51" s="99"/>
      <c r="E51" s="99"/>
      <c r="F51" s="126"/>
      <c r="G51" s="100" t="s">
        <v>1998</v>
      </c>
    </row>
    <row r="52" spans="1:123" s="88" customFormat="1" ht="16.8" thickBot="1">
      <c r="A52" s="127" t="s">
        <v>1999</v>
      </c>
      <c r="B52" s="128"/>
      <c r="C52" s="129">
        <f ca="1">C31+C51</f>
        <v>5023496</v>
      </c>
      <c r="D52" s="128"/>
      <c r="E52" s="128"/>
      <c r="F52" s="128"/>
      <c r="G52" s="130"/>
      <c r="H52" s="2979"/>
      <c r="I52" s="2979"/>
      <c r="J52" s="2979"/>
      <c r="K52" s="2979"/>
      <c r="L52" s="2979"/>
      <c r="M52" s="2979"/>
      <c r="N52" s="2979"/>
      <c r="O52" s="2979"/>
      <c r="P52" s="2979"/>
      <c r="Q52" s="2979"/>
      <c r="R52" s="2979"/>
      <c r="S52" s="2979"/>
      <c r="T52" s="2979"/>
      <c r="U52" s="2979"/>
      <c r="V52" s="2979"/>
      <c r="W52" s="2979"/>
      <c r="X52" s="2979"/>
      <c r="Y52" s="2979"/>
      <c r="Z52" s="2979"/>
      <c r="AA52" s="2979"/>
      <c r="AB52" s="2979"/>
      <c r="AC52" s="2979"/>
      <c r="AD52" s="2979"/>
      <c r="AE52" s="2979"/>
      <c r="AF52" s="2979"/>
      <c r="AG52" s="2979"/>
      <c r="AH52" s="2979"/>
      <c r="AI52" s="2979"/>
      <c r="AJ52" s="2979"/>
      <c r="AK52" s="2979"/>
      <c r="AL52" s="2979"/>
      <c r="AM52" s="2979"/>
      <c r="AN52" s="2979"/>
      <c r="AO52" s="2979"/>
      <c r="AP52" s="2979"/>
      <c r="AQ52" s="2979"/>
      <c r="AR52" s="2979"/>
      <c r="AS52" s="2979"/>
      <c r="AT52" s="2979"/>
      <c r="AU52" s="2979"/>
      <c r="AV52" s="2979"/>
      <c r="AW52" s="2979"/>
      <c r="AX52" s="2979"/>
      <c r="AY52" s="2979"/>
      <c r="AZ52" s="2979"/>
      <c r="BA52" s="2979"/>
      <c r="BB52" s="2979"/>
      <c r="BC52" s="2979"/>
      <c r="BD52" s="2979"/>
      <c r="BE52" s="2979"/>
      <c r="BF52" s="2979"/>
      <c r="BG52" s="2979"/>
      <c r="BH52" s="2979"/>
      <c r="BI52" s="2979"/>
      <c r="BJ52" s="2979"/>
      <c r="BK52" s="2979"/>
      <c r="BL52" s="2979"/>
      <c r="BM52" s="2979"/>
      <c r="BN52" s="2979"/>
      <c r="BO52" s="2979"/>
      <c r="BP52" s="2979"/>
      <c r="BQ52" s="2979"/>
      <c r="BR52" s="2979"/>
      <c r="BS52" s="2979"/>
      <c r="BT52" s="2979"/>
      <c r="BU52" s="2979"/>
      <c r="BV52" s="2979"/>
      <c r="BW52" s="2979"/>
      <c r="BX52" s="2979"/>
      <c r="BY52" s="2979"/>
      <c r="BZ52" s="2979"/>
      <c r="CA52" s="2979"/>
      <c r="CB52" s="2979"/>
      <c r="CC52" s="2979"/>
      <c r="CD52" s="2979"/>
      <c r="CE52" s="2979"/>
      <c r="CF52" s="2979"/>
      <c r="CG52" s="2979"/>
      <c r="CH52" s="2979"/>
      <c r="CI52" s="2979"/>
      <c r="CJ52" s="2979"/>
      <c r="CK52" s="2979"/>
      <c r="CL52" s="2979"/>
      <c r="CM52" s="2979"/>
      <c r="CN52" s="2979"/>
      <c r="CO52" s="2979"/>
      <c r="CP52" s="2979"/>
      <c r="CQ52" s="2979"/>
      <c r="CR52" s="2979"/>
      <c r="CS52" s="2979"/>
      <c r="CT52" s="2979"/>
      <c r="CU52" s="2979"/>
      <c r="CV52" s="2979"/>
      <c r="CW52" s="2979"/>
      <c r="CX52" s="2979"/>
      <c r="CY52" s="2979"/>
      <c r="CZ52" s="2979"/>
      <c r="DA52" s="2979"/>
      <c r="DB52" s="2979"/>
      <c r="DC52" s="2979"/>
      <c r="DD52" s="2979"/>
      <c r="DE52" s="2979"/>
      <c r="DF52" s="2979"/>
      <c r="DG52" s="2979"/>
      <c r="DH52" s="2979"/>
      <c r="DI52" s="2979"/>
      <c r="DJ52" s="2979"/>
      <c r="DK52" s="2979"/>
      <c r="DL52" s="2979"/>
      <c r="DM52" s="2979"/>
      <c r="DN52" s="2979"/>
      <c r="DO52" s="2979"/>
      <c r="DP52" s="2979"/>
      <c r="DQ52" s="2979"/>
      <c r="DR52" s="2979"/>
      <c r="DS52" s="2979"/>
    </row>
    <row r="55" spans="1:123" ht="15">
      <c r="B55" s="132" t="s">
        <v>2000</v>
      </c>
      <c r="C55" s="133"/>
    </row>
    <row r="56" spans="1:123">
      <c r="B56" s="135" t="s">
        <v>2001</v>
      </c>
      <c r="C56" s="136">
        <f ca="1">ROUND(C51/C52,3)</f>
        <v>0.21</v>
      </c>
    </row>
    <row r="57" spans="1:123">
      <c r="B57" s="135" t="s">
        <v>2002</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估价对象为北京市房地产，为XX所有。根据《》[]，估价对象建筑面积为346.86平方米。根据《》[]，估价对象（分摊）出让国有建设用地使用权面积为平方米。估价对象用途为。</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2021年7月16日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本次估价的“房地产价值”是指在正常市场情况下，在价值时点2021年7月16日，估价对象规划用途为，假定未设立法定优先受偿款下的房地产市场价值。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E21" sqref="E21"/>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5" customWidth="1"/>
    <col min="33" max="38" width="9.33203125" style="1624" customWidth="1"/>
    <col min="39" max="16384" width="9" style="1624"/>
  </cols>
  <sheetData>
    <row r="1" spans="1:36" ht="31.2">
      <c r="A1" s="2097" t="s">
        <v>2496</v>
      </c>
      <c r="B1" s="2098"/>
      <c r="C1" s="2099" t="s">
        <v>2497</v>
      </c>
      <c r="D1" s="2100">
        <f>SUM(D29:D30,D33:D39)</f>
        <v>346.86</v>
      </c>
      <c r="E1" s="2100"/>
      <c r="F1" s="2100"/>
      <c r="G1" s="2100"/>
      <c r="H1" s="2100"/>
      <c r="I1" s="2100"/>
      <c r="J1" s="2100"/>
      <c r="K1" s="3043"/>
      <c r="L1" s="2101" t="s">
        <v>2498</v>
      </c>
      <c r="M1" s="2102">
        <f>SUMPRODUCT((区片价!B5:B9=I2)*(区片价!C3:F3=E2)*(区片价!C5:F9))</f>
        <v>0</v>
      </c>
      <c r="N1" s="2103">
        <f>SUMPRODUCT((因素修正幅度!B5:B9=I2)*(因素修正幅度!C3:F3=E2)*(因素修正幅度!C5:F9))</f>
        <v>0</v>
      </c>
      <c r="O1" s="3043"/>
      <c r="P1" s="3043"/>
      <c r="Q1" s="3043"/>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5.2">
      <c r="A2" s="1961" t="s">
        <v>2504</v>
      </c>
      <c r="B2" s="1659">
        <f>C26</f>
        <v>3041962</v>
      </c>
      <c r="C2" s="2108" t="s">
        <v>2505</v>
      </c>
      <c r="D2" s="1602" t="s">
        <v>2506</v>
      </c>
      <c r="E2" s="2109" t="s">
        <v>2899</v>
      </c>
      <c r="F2" s="1602" t="s">
        <v>2507</v>
      </c>
      <c r="G2" s="2110" t="str">
        <f>项目基本情况!F9</f>
        <v>六级</v>
      </c>
      <c r="H2" s="1603" t="s">
        <v>2508</v>
      </c>
      <c r="I2" s="2110" t="str">
        <f>项目基本情况!F10</f>
        <v>Ⅵ-19</v>
      </c>
      <c r="J2" s="2111"/>
      <c r="K2" s="3043"/>
      <c r="L2" s="2112" t="s">
        <v>2509</v>
      </c>
      <c r="M2" s="2113">
        <f>SUMPRODUCT((区片价!B10:B28=I2)*(区片价!C3:F3=E2)*(区片价!C10:F28))</f>
        <v>0</v>
      </c>
      <c r="N2" s="2114">
        <f>SUMPRODUCT((因素修正幅度!B10:B28=I2)*(因素修正幅度!C3:F3=E2)*(因素修正幅度!C10:F28))</f>
        <v>0</v>
      </c>
      <c r="O2" s="3043"/>
      <c r="P2" s="3043"/>
      <c r="Q2" s="3043"/>
      <c r="R2" s="2104">
        <v>1</v>
      </c>
      <c r="S2" s="2104">
        <f>ROUND(IF(G3&gt;1,IF(R2&lt;7,SUMPRODUCT((B93:B98=R2)*(C92:N92=G2)*(C93:N98)),SUMIF(C92:N92,G2,C100:N100)),IF(R2&lt;7,SUMPRODUCT((B102:B107=R2)*(C92:N92=G2)*(C102:N107)),SUMIF(C92:N92,G2,C109:N109))),4)</f>
        <v>1.8629</v>
      </c>
      <c r="T2" s="2104">
        <f>ROUND($C$5*$C$18*$C$19*$C$20*S2*$C$24,0)</f>
        <v>16338</v>
      </c>
      <c r="U2" s="2115"/>
      <c r="V2" s="2104">
        <f>ROUND(T2*U2/10000,0)</f>
        <v>0</v>
      </c>
      <c r="W2" s="2105"/>
      <c r="X2" s="2105"/>
      <c r="Y2" s="2105"/>
      <c r="Z2" s="2105"/>
      <c r="AA2" s="2105"/>
      <c r="AB2" s="2105"/>
      <c r="AC2" s="2105"/>
      <c r="AD2" s="2106"/>
      <c r="AE2" s="2106"/>
      <c r="AF2" s="2106"/>
      <c r="AG2" s="2106"/>
      <c r="AH2" s="2106"/>
      <c r="AI2" s="2106"/>
      <c r="AJ2" s="2107"/>
    </row>
    <row r="3" spans="1:36" ht="15.6">
      <c r="A3" s="1659" t="s">
        <v>2510</v>
      </c>
      <c r="B3" s="1659">
        <f>ROUND(B2/D1,0)</f>
        <v>8770</v>
      </c>
      <c r="C3" s="2108" t="s">
        <v>2511</v>
      </c>
      <c r="D3" s="1602" t="s">
        <v>2512</v>
      </c>
      <c r="E3" s="2109" t="s">
        <v>2927</v>
      </c>
      <c r="F3" s="1604" t="s">
        <v>2513</v>
      </c>
      <c r="G3" s="2116">
        <f>项目基本情况!C15</f>
        <v>2.5</v>
      </c>
      <c r="H3" s="50" t="s">
        <v>2514</v>
      </c>
      <c r="I3" s="2117"/>
      <c r="J3" s="2111" t="s">
        <v>2515</v>
      </c>
      <c r="K3" s="3043"/>
      <c r="L3" s="2112" t="s">
        <v>2516</v>
      </c>
      <c r="M3" s="2113">
        <f>SUMPRODUCT((区片价!B29:B48=I2)*(区片价!C3:F3=E2)*(区片价!C29:F48))</f>
        <v>0</v>
      </c>
      <c r="N3" s="2114">
        <f>SUMPRODUCT((因素修正幅度!B29:B48=I2)*(因素修正幅度!C3:F3=E2)*(因素修正幅度!C29:F48))</f>
        <v>0</v>
      </c>
      <c r="O3" s="3043"/>
      <c r="P3" s="3043"/>
      <c r="Q3" s="3043"/>
      <c r="R3" s="2104">
        <v>2</v>
      </c>
      <c r="S3" s="2104">
        <f>ROUND(IF(G3&gt;1,IF(R3&lt;7,SUMPRODUCT((B93:B98=R3)*(C92:N92=G2)*(C93:N98)),SUMIF(C92:N92,G2,C100:N100)),IF(R3&lt;7,SUMPRODUCT((B102:B107=R3)*(C92:N92=G2)*(C102:N107)),SUMIF(C92:N92,G2,C109:N109))),4)</f>
        <v>1.3371999999999999</v>
      </c>
      <c r="T3" s="2104">
        <f t="shared" ref="T3:T16" si="0">ROUND($C$5*$C$18*$C$19*$C$20*S3*$C$24,0)</f>
        <v>11727</v>
      </c>
      <c r="U3" s="2115"/>
      <c r="V3" s="2104">
        <f t="shared" ref="V3:V16" si="1">ROUND(T3*U3/10000,0)</f>
        <v>0</v>
      </c>
      <c r="W3" s="2105"/>
      <c r="X3" s="2105"/>
      <c r="Y3" s="2105"/>
      <c r="Z3" s="2105"/>
      <c r="AA3" s="2105"/>
      <c r="AB3" s="2105"/>
      <c r="AC3" s="2105"/>
      <c r="AD3" s="2106"/>
      <c r="AE3" s="2106"/>
      <c r="AF3" s="2106"/>
      <c r="AG3" s="2106"/>
      <c r="AH3" s="2106"/>
      <c r="AI3" s="2106"/>
      <c r="AJ3" s="2107"/>
    </row>
    <row r="4" spans="1:36" ht="15.6">
      <c r="A4" s="3533"/>
      <c r="B4" s="3534"/>
      <c r="C4" s="3534"/>
      <c r="D4" s="3535"/>
      <c r="E4" s="3535"/>
      <c r="F4" s="3535"/>
      <c r="G4" s="3535"/>
      <c r="H4" s="3535"/>
      <c r="I4" s="3535"/>
      <c r="J4" s="3536"/>
      <c r="K4" s="3043"/>
      <c r="L4" s="2112" t="s">
        <v>2517</v>
      </c>
      <c r="M4" s="2113">
        <f>SUMPRODUCT((区片价!B49:B75=I2)*(区片价!C3:F3=E2)*(区片价!C49:F75))</f>
        <v>0</v>
      </c>
      <c r="N4" s="2114">
        <f>SUMPRODUCT((因素修正幅度!B49:B75=I2)*(因素修正幅度!C3:F3=E2)*(因素修正幅度!C49:F75))</f>
        <v>0</v>
      </c>
      <c r="O4" s="3043"/>
      <c r="P4" s="3043"/>
      <c r="Q4" s="3043"/>
      <c r="R4" s="2104">
        <v>3</v>
      </c>
      <c r="S4" s="2104">
        <f>ROUND(IF(G3&gt;1,IF(R4&lt;7,SUMPRODUCT((B93:B98=R4)*(C92:N92=G2)*(C93:N98)),SUMIF(C92:N92,G2,C100:N100)),IF(R4&lt;7,SUMPRODUCT((B102:B107=R4)*(C92:N92=G2)*(C102:N107)),SUMIF(C92:N92,G2,C109:N109))),4)</f>
        <v>1.0788</v>
      </c>
      <c r="T4" s="2104">
        <f t="shared" si="0"/>
        <v>9461</v>
      </c>
      <c r="U4" s="2115"/>
      <c r="V4" s="2104">
        <f t="shared" si="1"/>
        <v>0</v>
      </c>
      <c r="W4" s="2105"/>
      <c r="X4" s="2105"/>
      <c r="Y4" s="2105"/>
      <c r="Z4" s="2105"/>
      <c r="AA4" s="2105"/>
      <c r="AB4" s="2105"/>
      <c r="AC4" s="2105"/>
      <c r="AD4" s="2106"/>
      <c r="AE4" s="2106"/>
      <c r="AF4" s="2106"/>
      <c r="AG4" s="2106"/>
      <c r="AH4" s="2106"/>
      <c r="AI4" s="2106"/>
      <c r="AJ4" s="2107"/>
    </row>
    <row r="5" spans="1:36" s="2125" customFormat="1" ht="15.6" thickBot="1">
      <c r="A5" s="1605" t="s">
        <v>2518</v>
      </c>
      <c r="B5" s="1605" t="s">
        <v>2519</v>
      </c>
      <c r="C5" s="2118">
        <f>ROUND(IF(E2="商业",C6*C7+C16,(IF(E2="住宅",C6*C12+C16,C6+C16))),0)</f>
        <v>9160</v>
      </c>
      <c r="D5" s="2119">
        <f>ROUND(C6+C16,0)</f>
        <v>9160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43"/>
      <c r="P5" s="3043"/>
      <c r="Q5" s="3043"/>
      <c r="R5" s="2104">
        <v>4</v>
      </c>
      <c r="S5" s="2104">
        <f>ROUND(IF(G3&gt;1,IF(R5&lt;7,SUMPRODUCT((B93:B98=R5)*(C92:N92=G2)*(C93:N98)),SUMIF(C92:N92,G2,C100:N100)),IF(R5&lt;7,SUMPRODUCT((B102:B107=R5)*(C92:N92=G2)*(C102:N107)),SUMIF(C92:N92,G2,C109:N109))),4)</f>
        <v>0.86560000000000004</v>
      </c>
      <c r="T5" s="2104">
        <f t="shared" si="0"/>
        <v>7591</v>
      </c>
      <c r="U5" s="2115"/>
      <c r="V5" s="2104">
        <f t="shared" si="1"/>
        <v>0</v>
      </c>
      <c r="W5" s="2105"/>
      <c r="X5" s="2105"/>
      <c r="Y5" s="2105"/>
      <c r="Z5" s="2105"/>
      <c r="AA5" s="2105"/>
      <c r="AB5" s="2105"/>
      <c r="AC5" s="2122"/>
      <c r="AD5" s="2123"/>
      <c r="AE5" s="2123"/>
      <c r="AF5" s="2123"/>
      <c r="AG5" s="2123"/>
      <c r="AH5" s="2123"/>
      <c r="AI5" s="2123"/>
      <c r="AJ5" s="2124"/>
    </row>
    <row r="6" spans="1:36" ht="15.6" thickBot="1">
      <c r="A6" s="2126">
        <v>1</v>
      </c>
      <c r="B6" s="1606" t="s">
        <v>2521</v>
      </c>
      <c r="C6" s="2127">
        <f>SUMIF(L1:L12,G2,M1:M12)</f>
        <v>9160</v>
      </c>
      <c r="D6" s="2128" t="s">
        <v>2522</v>
      </c>
      <c r="E6" s="1606"/>
      <c r="F6" s="1606"/>
      <c r="G6" s="2129"/>
      <c r="H6" s="2129"/>
      <c r="I6" s="2129"/>
      <c r="J6" s="2130"/>
      <c r="K6" s="3044"/>
      <c r="L6" s="2112" t="s">
        <v>2523</v>
      </c>
      <c r="M6" s="2113">
        <f>SUMPRODUCT((区片价!B110:B157=I2)*(区片价!C3:F3=E2)*(区片价!C110:F157))</f>
        <v>9160</v>
      </c>
      <c r="N6" s="2114">
        <f>SUMPRODUCT((因素修正幅度!B110:B157=I2)*(因素修正幅度!C3:F3=E2)*(因素修正幅度!C110:F157))</f>
        <v>0.12</v>
      </c>
      <c r="O6" s="3043"/>
      <c r="P6" s="3043"/>
      <c r="Q6" s="3043"/>
      <c r="R6" s="2104">
        <v>5</v>
      </c>
      <c r="S6" s="2104">
        <f>ROUND(IF(G3&gt;1,IF(R6&lt;7,SUMPRODUCT((B93:B98=R6)*(C92:N92=G2)*(C93:N98)),SUMIF(C92:N92,G2,C100:N100)),IF(R6&lt;7,SUMPRODUCT((B102:B107=R6)*(C92:N92=G2)*(C102:N107)),SUMIF(C92:N92,G2,C109:N109))),4)</f>
        <v>0.73709999999999998</v>
      </c>
      <c r="T6" s="2104">
        <f t="shared" si="0"/>
        <v>6464</v>
      </c>
      <c r="U6" s="2115"/>
      <c r="V6" s="2104">
        <f t="shared" si="1"/>
        <v>0</v>
      </c>
      <c r="W6" s="2105"/>
      <c r="X6" s="2105"/>
      <c r="Y6" s="2105"/>
      <c r="Z6" s="2105"/>
      <c r="AA6" s="2105"/>
      <c r="AB6" s="2105"/>
      <c r="AC6" s="2122"/>
      <c r="AD6" s="2123"/>
      <c r="AE6" s="2123"/>
      <c r="AF6" s="2123"/>
      <c r="AG6" s="2123"/>
      <c r="AH6" s="2123"/>
      <c r="AI6" s="2123"/>
      <c r="AJ6" s="2124"/>
    </row>
    <row r="7" spans="1:36" ht="24" hidden="1">
      <c r="A7" s="3537" t="str">
        <f>IF(E2="商业",IF(C8="不临58条商业街","",2),"")</f>
        <v/>
      </c>
      <c r="B7" s="1607" t="s">
        <v>2524</v>
      </c>
      <c r="C7" s="2131" t="e">
        <f>IF(C8="不临58条商业街",1,ROUND(1+(1.6*E8+1.2*E9+0.8*E10+0.4*E11)*C9,4))</f>
        <v>#DIV/0!</v>
      </c>
      <c r="D7" s="2132" t="s">
        <v>2525</v>
      </c>
      <c r="E7" s="2133"/>
      <c r="F7" s="2134"/>
      <c r="G7" s="2134"/>
      <c r="H7" s="2134"/>
      <c r="I7" s="2134"/>
      <c r="J7" s="2135"/>
      <c r="K7" s="3044"/>
      <c r="L7" s="2112" t="s">
        <v>2526</v>
      </c>
      <c r="M7" s="2113">
        <f>SUMPRODUCT((区片价!B158:B205=I2)*(区片价!C3:F3=E2)*(区片价!C158:F205))</f>
        <v>0</v>
      </c>
      <c r="N7" s="2114">
        <f>SUMPRODUCT((因素修正幅度!B158:B205=I2)*(因素修正幅度!C3:F3=E2)*(因素修正幅度!C158:F205))</f>
        <v>0</v>
      </c>
      <c r="O7" s="3043"/>
      <c r="P7" s="3043"/>
      <c r="Q7" s="3043"/>
      <c r="R7" s="2104">
        <v>6</v>
      </c>
      <c r="S7" s="2104">
        <f>ROUND(IF(G3&gt;1,IF(R7&lt;7,SUMPRODUCT((B93:B98=R7)*(C92:N92=G2)*(C93:N98)),SUMIF(C92:N92,G2,C100:N100)),IF(R7&lt;7,SUMPRODUCT((B102:B107=R7)*(C92:N92=G2)*(C102:N107)),SUMIF(C92:N92,G2,C109:N109))),4)</f>
        <v>0.6482</v>
      </c>
      <c r="T7" s="2104">
        <f t="shared" si="0"/>
        <v>5685</v>
      </c>
      <c r="U7" s="2115"/>
      <c r="V7" s="2104">
        <f t="shared" si="1"/>
        <v>0</v>
      </c>
      <c r="W7" s="2136" t="s">
        <v>2527</v>
      </c>
      <c r="X7" s="2137" t="str">
        <f>G2</f>
        <v>六级</v>
      </c>
      <c r="Y7" s="2137" t="s">
        <v>2528</v>
      </c>
      <c r="Z7" s="2138">
        <f>G3</f>
        <v>2.5</v>
      </c>
      <c r="AA7" s="2105"/>
      <c r="AB7" s="2105"/>
      <c r="AC7" s="2105"/>
      <c r="AD7" s="2106"/>
      <c r="AE7" s="2106"/>
      <c r="AF7" s="2106"/>
      <c r="AG7" s="2106"/>
      <c r="AH7" s="2106"/>
      <c r="AI7" s="2106"/>
      <c r="AJ7" s="2107"/>
    </row>
    <row r="8" spans="1:36" ht="15" hidden="1">
      <c r="A8" s="3538"/>
      <c r="B8" s="50" t="s">
        <v>2529</v>
      </c>
      <c r="C8" s="2139"/>
      <c r="D8" s="65" t="s">
        <v>89</v>
      </c>
      <c r="E8" s="2140" t="e">
        <f>ROUND(C11/E7,4)</f>
        <v>#DIV/0!</v>
      </c>
      <c r="F8" s="2141" t="s">
        <v>2530</v>
      </c>
      <c r="G8" s="2142"/>
      <c r="H8" s="2142"/>
      <c r="I8" s="2142"/>
      <c r="J8" s="2143"/>
      <c r="K8" s="3043"/>
      <c r="L8" s="2112" t="s">
        <v>2531</v>
      </c>
      <c r="M8" s="2113">
        <f>SUMPRODUCT((区片价!B206:B244=I2)*(区片价!C3:F3=E2)*(区片价!C206:F244))</f>
        <v>0</v>
      </c>
      <c r="N8" s="2114">
        <f>SUMPRODUCT((因素修正幅度!B206:B244=I2)*(因素修正幅度!C3:F3=E2)*(因素修正幅度!C206:F244))</f>
        <v>0</v>
      </c>
      <c r="O8" s="3043"/>
      <c r="P8" s="3043"/>
      <c r="Q8" s="3043"/>
      <c r="R8" s="2104">
        <v>7</v>
      </c>
      <c r="S8" s="2115"/>
      <c r="T8" s="2104">
        <f t="shared" si="0"/>
        <v>0</v>
      </c>
      <c r="U8" s="2115"/>
      <c r="V8" s="2104">
        <f t="shared" si="1"/>
        <v>0</v>
      </c>
      <c r="W8" s="3531" t="s">
        <v>2532</v>
      </c>
      <c r="X8" s="3532"/>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hidden="1">
      <c r="A9" s="3538"/>
      <c r="B9" s="50" t="s">
        <v>2545</v>
      </c>
      <c r="C9" s="2145">
        <f>SUMIF(修正!C59:C119,C8,修正!E59:E119)</f>
        <v>0</v>
      </c>
      <c r="D9" s="50" t="s">
        <v>90</v>
      </c>
      <c r="E9" s="50" t="e">
        <f>ROUND(C11/E7,4)</f>
        <v>#DIV/0!</v>
      </c>
      <c r="F9" s="2141" t="s">
        <v>2546</v>
      </c>
      <c r="G9" s="2142"/>
      <c r="H9" s="2142"/>
      <c r="I9" s="2142"/>
      <c r="J9" s="2143"/>
      <c r="K9" s="3043"/>
      <c r="L9" s="2112" t="s">
        <v>2547</v>
      </c>
      <c r="M9" s="2113">
        <f>SUMPRODUCT((区片价!B245:B289=I2)*(区片价!C3:F3=E2)*(区片价!C245:F289))</f>
        <v>0</v>
      </c>
      <c r="N9" s="2114">
        <f>SUMPRODUCT((因素修正幅度!B245:B289=I2)*(因素修正幅度!C3:F3=E2)*(因素修正幅度!C245:F289))</f>
        <v>0</v>
      </c>
      <c r="O9" s="3043"/>
      <c r="P9" s="3043"/>
      <c r="Q9" s="3043"/>
      <c r="R9" s="2104">
        <v>8</v>
      </c>
      <c r="S9" s="2115"/>
      <c r="T9" s="2104">
        <f t="shared" si="0"/>
        <v>0</v>
      </c>
      <c r="U9" s="2115"/>
      <c r="V9" s="2104">
        <f t="shared" si="1"/>
        <v>0</v>
      </c>
      <c r="W9" s="3532"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hidden="1">
      <c r="A10" s="3538"/>
      <c r="B10" s="50" t="s">
        <v>2550</v>
      </c>
      <c r="C10" s="50">
        <f>SUMIF(修正!C59:C119,C8,修正!F59:F119)</f>
        <v>0</v>
      </c>
      <c r="D10" s="50" t="s">
        <v>91</v>
      </c>
      <c r="E10" s="50" t="e">
        <f>ROUND(C11/E7,4)</f>
        <v>#DIV/0!</v>
      </c>
      <c r="F10" s="2141" t="s">
        <v>2551</v>
      </c>
      <c r="G10" s="2142"/>
      <c r="H10" s="2142"/>
      <c r="I10" s="2142"/>
      <c r="J10" s="2143"/>
      <c r="K10" s="3043"/>
      <c r="L10" s="2112" t="s">
        <v>2552</v>
      </c>
      <c r="M10" s="2113">
        <f>SUMPRODUCT((区片价!B290:B316=I2)*(区片价!C3:F3=E2)*(区片价!C290:F316))</f>
        <v>0</v>
      </c>
      <c r="N10" s="2114">
        <f>SUMPRODUCT((因素修正幅度!B290:B316=I2)*(因素修正幅度!C3:F3=E2)*(因素修正幅度!C290:F316))</f>
        <v>0</v>
      </c>
      <c r="O10" s="3043"/>
      <c r="P10" s="3043"/>
      <c r="Q10" s="3043"/>
      <c r="R10" s="2104">
        <v>9</v>
      </c>
      <c r="S10" s="2115"/>
      <c r="T10" s="2104">
        <f t="shared" si="0"/>
        <v>0</v>
      </c>
      <c r="U10" s="2115"/>
      <c r="V10" s="2104">
        <f t="shared" si="1"/>
        <v>0</v>
      </c>
      <c r="W10" s="3532"/>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6" hidden="1" thickBot="1">
      <c r="A11" s="3538"/>
      <c r="B11" s="1608" t="s">
        <v>2553</v>
      </c>
      <c r="C11" s="1608">
        <f>C10/4</f>
        <v>0</v>
      </c>
      <c r="D11" s="1608" t="s">
        <v>92</v>
      </c>
      <c r="E11" s="1608" t="e">
        <f>ROUND(C11/E7,4)</f>
        <v>#DIV/0!</v>
      </c>
      <c r="F11" s="2150" t="s">
        <v>2554</v>
      </c>
      <c r="G11" s="2151"/>
      <c r="H11" s="2151"/>
      <c r="I11" s="2151"/>
      <c r="J11" s="2152"/>
      <c r="K11" s="3043"/>
      <c r="L11" s="2112" t="s">
        <v>2555</v>
      </c>
      <c r="M11" s="2113">
        <f>SUMPRODUCT((区片价!B317:B337=I2)*(区片价!C3:F3=E2)*(区片价!C317:F337))</f>
        <v>0</v>
      </c>
      <c r="N11" s="2114">
        <f>SUMPRODUCT((因素修正幅度!B317:B337=I2)*(因素修正幅度!C3:F3=E2)*(因素修正幅度!C317:F337))</f>
        <v>0</v>
      </c>
      <c r="O11" s="3043"/>
      <c r="P11" s="3043"/>
      <c r="Q11" s="3043"/>
      <c r="R11" s="2104">
        <v>10</v>
      </c>
      <c r="S11" s="2115"/>
      <c r="T11" s="2104">
        <f t="shared" si="0"/>
        <v>0</v>
      </c>
      <c r="U11" s="2115"/>
      <c r="V11" s="2104">
        <f t="shared" si="1"/>
        <v>0</v>
      </c>
      <c r="W11" s="3532" t="s">
        <v>2556</v>
      </c>
      <c r="X11" s="2153" t="s">
        <v>2557</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8" hidden="1" thickBot="1">
      <c r="A12" s="3537" t="str">
        <f>IF(E2="住宅",2,"")</f>
        <v/>
      </c>
      <c r="B12" s="1609" t="s">
        <v>2558</v>
      </c>
      <c r="C12" s="2131">
        <f>ROUND(C15*D15*E15*F15*G15*H15*I15*J15,4)</f>
        <v>1.32</v>
      </c>
      <c r="D12" s="2155" t="s">
        <v>2559</v>
      </c>
      <c r="E12" s="2156"/>
      <c r="F12" s="2156"/>
      <c r="G12" s="2156"/>
      <c r="H12" s="2156"/>
      <c r="I12" s="2156"/>
      <c r="J12" s="2157"/>
      <c r="K12" s="3043"/>
      <c r="L12" s="2158" t="s">
        <v>2560</v>
      </c>
      <c r="M12" s="2159">
        <f>SUMPRODUCT((区片价!B338:B344=I2)*(区片价!C3:F3=E2)*(区片价!C338:F344))</f>
        <v>0</v>
      </c>
      <c r="N12" s="2160">
        <f>SUMPRODUCT((因素修正幅度!B338:B344=I2)*(因素修正幅度!C3:F3=E2)*(因素修正幅度!C338:F344))</f>
        <v>0</v>
      </c>
      <c r="O12" s="3043"/>
      <c r="P12" s="3043"/>
      <c r="Q12" s="3043"/>
      <c r="R12" s="2104">
        <v>11</v>
      </c>
      <c r="S12" s="2115"/>
      <c r="T12" s="2104">
        <f t="shared" si="0"/>
        <v>0</v>
      </c>
      <c r="U12" s="2115"/>
      <c r="V12" s="2104">
        <f t="shared" si="1"/>
        <v>0</v>
      </c>
      <c r="W12" s="3532"/>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hidden="1">
      <c r="A13" s="3539"/>
      <c r="B13" s="1610" t="s">
        <v>2562</v>
      </c>
      <c r="C13" s="2162" t="s">
        <v>2563</v>
      </c>
      <c r="D13" s="1611" t="s">
        <v>2564</v>
      </c>
      <c r="E13" s="1611" t="s">
        <v>2565</v>
      </c>
      <c r="F13" s="264" t="s">
        <v>2566</v>
      </c>
      <c r="G13" s="2163" t="s">
        <v>2567</v>
      </c>
      <c r="H13" s="2163" t="s">
        <v>2567</v>
      </c>
      <c r="I13" s="2163" t="s">
        <v>2567</v>
      </c>
      <c r="J13" s="2164" t="s">
        <v>2567</v>
      </c>
      <c r="K13" s="3043"/>
      <c r="L13" s="3043"/>
      <c r="M13" s="3043"/>
      <c r="N13" s="3043"/>
      <c r="O13" s="3043"/>
      <c r="P13" s="3043"/>
      <c r="Q13" s="3043"/>
      <c r="R13" s="2104">
        <v>12</v>
      </c>
      <c r="S13" s="2115"/>
      <c r="T13" s="2104">
        <f t="shared" si="0"/>
        <v>0</v>
      </c>
      <c r="U13" s="2115"/>
      <c r="V13" s="2104">
        <f t="shared" si="1"/>
        <v>0</v>
      </c>
      <c r="W13" s="3532"/>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hidden="1">
      <c r="A14" s="3539"/>
      <c r="B14" s="1611"/>
      <c r="C14" s="2165" t="s">
        <v>2568</v>
      </c>
      <c r="D14" s="2166" t="s">
        <v>2569</v>
      </c>
      <c r="E14" s="2166" t="s">
        <v>2569</v>
      </c>
      <c r="F14" s="2167" t="s">
        <v>2570</v>
      </c>
      <c r="G14" s="2168" t="s">
        <v>2571</v>
      </c>
      <c r="H14" s="2169"/>
      <c r="I14" s="2170"/>
      <c r="J14" s="2171"/>
      <c r="K14" s="3043"/>
      <c r="L14" s="3043"/>
      <c r="M14" s="3043"/>
      <c r="N14" s="3043"/>
      <c r="O14" s="3043"/>
      <c r="P14" s="3043"/>
      <c r="Q14" s="3043"/>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6" hidden="1" thickBot="1">
      <c r="A15" s="3540"/>
      <c r="B15" s="1612" t="s">
        <v>2572</v>
      </c>
      <c r="C15" s="2172">
        <f>IF(C14="有",1.1,1)</f>
        <v>1.1000000000000001</v>
      </c>
      <c r="D15" s="2172">
        <f>IF(D14="有",1.1,1)</f>
        <v>1</v>
      </c>
      <c r="E15" s="2172">
        <f>IF(E14="有",1.1,1)</f>
        <v>1</v>
      </c>
      <c r="F15" s="2172">
        <f>IF(F14="500米范围内",1.2,IF(F14="500-1000米",1.1,1))</f>
        <v>1.2</v>
      </c>
      <c r="G15" s="2173">
        <v>1</v>
      </c>
      <c r="H15" s="2173">
        <v>1</v>
      </c>
      <c r="I15" s="2173">
        <v>1</v>
      </c>
      <c r="J15" s="2174">
        <v>1</v>
      </c>
      <c r="K15" s="3043"/>
      <c r="L15" s="3043"/>
      <c r="M15" s="3043"/>
      <c r="N15" s="3043"/>
      <c r="O15" s="3043"/>
      <c r="P15" s="3043"/>
      <c r="Q15" s="3043"/>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41">
        <f>IF(E2="办公",2,IF(E2="工业",2,IF(E2="住宅",3,IF(E2="商业",IF(C8="不临58条商业街",2,3)))))</f>
        <v>2</v>
      </c>
      <c r="B16" s="1631" t="s">
        <v>2578</v>
      </c>
      <c r="C16" s="1607">
        <f>ROUND(IF(F17="与级别开发程度一致",0,(G17-E17)/C17),0)</f>
        <v>0</v>
      </c>
      <c r="D16" s="3554" t="s">
        <v>2582</v>
      </c>
      <c r="E16" s="3555"/>
      <c r="F16" s="3554" t="s">
        <v>2579</v>
      </c>
      <c r="G16" s="3555"/>
      <c r="H16" s="2175"/>
      <c r="I16" s="2175"/>
      <c r="J16" s="2176"/>
      <c r="K16" s="2175"/>
      <c r="L16" s="2175"/>
      <c r="M16" s="2175"/>
      <c r="N16" s="2175"/>
      <c r="O16" s="2177"/>
      <c r="P16" s="3043"/>
      <c r="Q16" s="3043"/>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7" thickBot="1">
      <c r="A17" s="3542"/>
      <c r="B17" s="1632" t="s">
        <v>2581</v>
      </c>
      <c r="C17" s="2178">
        <f>SUMPRODUCT((修正!A2:A5=E2)*(修正!B1:M1=G2)*(修正!B2:M5))</f>
        <v>2.5</v>
      </c>
      <c r="D17" s="2172" t="str">
        <f>IF(OR(G2="八级",G2="九级",G2="十级",G2="十一级",G2="十二级"),"五通一平","七通一平")</f>
        <v>七通一平</v>
      </c>
      <c r="E17" s="2179">
        <f>SUMPRODUCT((修正!B1:M1=G2)*(修正!B15:M15))</f>
        <v>300</v>
      </c>
      <c r="F17" s="2180" t="s">
        <v>2888</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3"/>
      <c r="Q17" s="3043"/>
      <c r="R17" s="1623"/>
      <c r="S17" s="1623"/>
      <c r="T17" s="1623"/>
      <c r="U17" s="1623"/>
      <c r="V17" s="1623"/>
      <c r="W17" s="1623"/>
      <c r="X17" s="1623"/>
      <c r="Y17" s="1623"/>
      <c r="Z17" s="1623"/>
      <c r="AA17" s="1623"/>
      <c r="AB17" s="1623"/>
      <c r="AC17" s="1623"/>
      <c r="AD17" s="1623"/>
      <c r="AE17" s="1623"/>
      <c r="AF17" s="1623"/>
    </row>
    <row r="18" spans="1:35" s="2125" customFormat="1" ht="15" thickBot="1">
      <c r="A18" s="2183" t="s">
        <v>2584</v>
      </c>
      <c r="B18" s="1630" t="s">
        <v>2585</v>
      </c>
      <c r="C18" s="2184">
        <f>SUMIF(修正!C18:C39,E3,修正!E18:E39)</f>
        <v>0.8</v>
      </c>
      <c r="D18" s="2185"/>
      <c r="E18" s="2186"/>
      <c r="F18" s="2186"/>
      <c r="G18" s="2186"/>
      <c r="H18" s="2186"/>
      <c r="I18" s="2186"/>
      <c r="J18" s="2187"/>
      <c r="K18" s="3045"/>
      <c r="L18" s="3045"/>
      <c r="M18" s="3045"/>
      <c r="N18" s="3045"/>
      <c r="O18" s="3043"/>
      <c r="P18" s="3043"/>
      <c r="Q18" s="3043"/>
      <c r="R18" s="3043"/>
      <c r="S18" s="3043"/>
      <c r="T18" s="3043"/>
      <c r="U18" s="3043"/>
      <c r="V18" s="3043"/>
      <c r="W18" s="3043"/>
      <c r="X18" s="1623"/>
      <c r="Y18" s="1623"/>
      <c r="Z18" s="1623"/>
      <c r="AA18" s="1623"/>
      <c r="AB18" s="1623"/>
      <c r="AC18" s="1623"/>
      <c r="AD18" s="1623"/>
      <c r="AE18" s="1623"/>
      <c r="AF18" s="1623"/>
      <c r="AG18" s="1624"/>
      <c r="AH18" s="1624"/>
      <c r="AI18" s="1624"/>
    </row>
    <row r="19" spans="1:35" s="2125" customFormat="1" ht="29.4" thickBot="1">
      <c r="A19" s="2183" t="s">
        <v>2586</v>
      </c>
      <c r="B19" s="1613" t="s">
        <v>2587</v>
      </c>
      <c r="C19" s="2189">
        <f>ROUND(IF(H19="按公示增长率计算",SUMPRODUCT((地价!A3:A35=YEAR(G19)&amp;"-"&amp;ROUNDUP(MONTH(G19)/3,0))*(地价!X2:AB2=E2)*(地价!X3:AB35)),IF(H19="地价指数",M20/M19,(1+I19)^O19)),4)</f>
        <v>1.3566</v>
      </c>
      <c r="D19" s="2190" t="s">
        <v>2588</v>
      </c>
      <c r="E19" s="2191">
        <v>41640</v>
      </c>
      <c r="F19" s="2190" t="s">
        <v>2589</v>
      </c>
      <c r="G19" s="2192">
        <f>'数据-取费表'!B2</f>
        <v>44393</v>
      </c>
      <c r="H19" s="2193" t="s">
        <v>2928</v>
      </c>
      <c r="I19" s="2194" t="str">
        <f>IF(H19="季度增幅（自定义）",SUMIF(N21:N24,E2,O21:O24),"")</f>
        <v/>
      </c>
      <c r="J19" s="2195"/>
      <c r="K19" s="3045"/>
      <c r="L19" s="2076" t="s">
        <v>2590</v>
      </c>
      <c r="M19" s="2196">
        <f>ROUND(SUMIF(地价!B2:F2,E2,地价!B35:F35),0)</f>
        <v>258</v>
      </c>
      <c r="N19" s="2197" t="s">
        <v>2591</v>
      </c>
      <c r="O19" s="2198">
        <f>ROUNDDOWN(DATEDIF(E19,G19,"M")/3,0)</f>
        <v>30</v>
      </c>
      <c r="P19" s="3043"/>
      <c r="Q19" s="3045"/>
      <c r="R19" s="3043"/>
      <c r="S19" s="3043"/>
      <c r="T19" s="3043"/>
      <c r="U19" s="3043"/>
      <c r="V19" s="3043"/>
      <c r="W19" s="3043"/>
      <c r="X19" s="1623"/>
      <c r="Y19" s="1623"/>
      <c r="Z19" s="1623"/>
      <c r="AA19" s="1623"/>
      <c r="AB19" s="1623"/>
      <c r="AC19" s="1623"/>
      <c r="AD19" s="1623"/>
      <c r="AE19" s="2188"/>
      <c r="AF19" s="2199"/>
      <c r="AG19" s="2200"/>
      <c r="AH19" s="1624"/>
    </row>
    <row r="20" spans="1:35" s="2125" customFormat="1" ht="29.4" thickBot="1">
      <c r="A20" s="1718" t="s">
        <v>2592</v>
      </c>
      <c r="B20" s="1614" t="s">
        <v>2593</v>
      </c>
      <c r="C20" s="2201">
        <f>ROUND(POWER(1+G20,J20-I20)*(POWER(1+G20,I20)-1)/(POWER(1+G20,J20)-1),4)</f>
        <v>0.88219999999999998</v>
      </c>
      <c r="D20" s="2202" t="s">
        <v>2594</v>
      </c>
      <c r="E20" s="3148">
        <f>存贷款利率!E18/100</f>
        <v>4.3499999999999997E-2</v>
      </c>
      <c r="F20" s="2202" t="s">
        <v>2583</v>
      </c>
      <c r="G20" s="3149">
        <f>SUMIF(M26:P26,E2,M28:P28)</f>
        <v>5.1999999999999998E-2</v>
      </c>
      <c r="H20" s="2202" t="s">
        <v>2595</v>
      </c>
      <c r="I20" s="2203">
        <f>'数据-取费表'!B13</f>
        <v>33</v>
      </c>
      <c r="J20" s="2204">
        <f>IF(E2="住宅",70,IF(E2="商业",40,50))</f>
        <v>50</v>
      </c>
      <c r="K20" s="3045"/>
      <c r="L20" s="2205" t="s">
        <v>2596</v>
      </c>
      <c r="M20" s="2206">
        <f>ROUND(SUMPRODUCT((地价!A4:A35=YEAR(G19)&amp;"-"&amp;ROUNDUP(MONTH(G19)/3,0))*(地价!B2:F2=E2)*(地价!B4:F35)),0)</f>
        <v>350</v>
      </c>
      <c r="N20" s="2207" t="s">
        <v>2597</v>
      </c>
      <c r="O20" s="2208" t="s">
        <v>2598</v>
      </c>
      <c r="P20" s="2209" t="s">
        <v>2599</v>
      </c>
      <c r="Q20" s="3045"/>
      <c r="R20" s="3043"/>
      <c r="S20" s="3043"/>
      <c r="T20" s="3043"/>
      <c r="U20" s="3043"/>
      <c r="V20" s="3043"/>
      <c r="W20" s="3043"/>
      <c r="X20" s="1623"/>
      <c r="Y20" s="1623"/>
      <c r="Z20" s="1623"/>
      <c r="AA20" s="1623"/>
      <c r="AB20" s="1623"/>
      <c r="AC20" s="1623"/>
      <c r="AD20" s="1623"/>
      <c r="AE20" s="2188"/>
      <c r="AF20" s="2188"/>
    </row>
    <row r="21" spans="1:35" s="2125" customFormat="1" ht="14.4">
      <c r="A21" s="2210" t="s">
        <v>2600</v>
      </c>
      <c r="B21" s="1615" t="s">
        <v>2601</v>
      </c>
      <c r="C21" s="2211">
        <f>IF(B21="容积率修正",IF(G3&lt;=10,D22,J22),C23)</f>
        <v>1</v>
      </c>
      <c r="D21" s="2212"/>
      <c r="E21" s="2212"/>
      <c r="F21" s="2212"/>
      <c r="G21" s="2212"/>
      <c r="H21" s="2212"/>
      <c r="I21" s="2212"/>
      <c r="J21" s="2077"/>
      <c r="K21" s="3045"/>
      <c r="L21" s="3045"/>
      <c r="M21" s="3045"/>
      <c r="N21" s="2213" t="s">
        <v>2602</v>
      </c>
      <c r="O21" s="2214"/>
      <c r="P21" s="2215">
        <f>SUMPRODUCT((地价!A3:A35=YEAR(G19)&amp;"-"&amp;ROUNDUP(MONTH(G19)/3,0))*(地价!AD2:AH2=N21)*(地价!AD3:AH35))</f>
        <v>1.0699999999999999E-2</v>
      </c>
      <c r="Q21" s="3045"/>
      <c r="R21" s="3043"/>
      <c r="S21" s="3043"/>
      <c r="T21" s="3043"/>
      <c r="U21" s="3043"/>
      <c r="V21" s="3043"/>
      <c r="W21" s="3043"/>
      <c r="X21" s="1623"/>
      <c r="Y21" s="1623"/>
      <c r="Z21" s="1623"/>
      <c r="AA21" s="1623"/>
      <c r="AB21" s="1623"/>
      <c r="AC21" s="1623"/>
      <c r="AD21" s="1623"/>
      <c r="AE21" s="2188"/>
      <c r="AF21" s="2188"/>
    </row>
    <row r="22" spans="1:35" s="2125" customFormat="1" ht="14.4">
      <c r="A22" s="2073">
        <v>1</v>
      </c>
      <c r="B22" s="2072" t="s">
        <v>2603</v>
      </c>
      <c r="C22" s="2072" t="s">
        <v>2604</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45"/>
      <c r="L22" s="3045"/>
      <c r="M22" s="3045"/>
      <c r="N22" s="2213" t="s">
        <v>2605</v>
      </c>
      <c r="O22" s="2214"/>
      <c r="P22" s="2215">
        <f>SUMPRODUCT((地价!A3:A35=YEAR(G19)&amp;"-"&amp;ROUNDUP(MONTH(G19)/3,0))*(地价!AD2:AH2=N22)*(地价!AD3:AH35))</f>
        <v>1.0699999999999999E-2</v>
      </c>
      <c r="Q22" s="3045"/>
      <c r="R22" s="3043"/>
      <c r="S22" s="3043"/>
      <c r="T22" s="3043"/>
      <c r="U22" s="3043"/>
      <c r="V22" s="3043"/>
      <c r="W22" s="3043"/>
      <c r="X22" s="1623"/>
      <c r="Y22" s="1623"/>
      <c r="Z22" s="1623"/>
      <c r="AA22" s="1623"/>
      <c r="AB22" s="1623"/>
      <c r="AC22" s="1623"/>
      <c r="AD22" s="1623"/>
      <c r="AE22" s="2188"/>
      <c r="AF22" s="2188"/>
    </row>
    <row r="23" spans="1:35" ht="28.8">
      <c r="A23" s="2073">
        <v>2</v>
      </c>
      <c r="B23" s="2072" t="s">
        <v>2606</v>
      </c>
      <c r="C23" s="2217">
        <f>ROUND(IF(G3&gt;1,IF(I3&lt;7,SUMPRODUCT((B93:B98=I3)*(C92:N92=G2)*(C93:N98)),SUMIF(C92:N92,G2,C100:N100)),IF(I3&lt;7,SUMPRODUCT((B102:B107=I3)*(C92:N92=G2)*(C102:N107)),SUMIF(C92:N92,G2,C109:N109))),4)</f>
        <v>0</v>
      </c>
      <c r="D23" s="2169"/>
      <c r="E23" s="2169"/>
      <c r="F23" s="2218"/>
      <c r="G23" s="2219"/>
      <c r="H23" s="1620"/>
      <c r="I23" s="2072"/>
      <c r="J23" s="2216"/>
      <c r="K23" s="3043"/>
      <c r="L23" s="3043"/>
      <c r="M23" s="3043"/>
      <c r="N23" s="2213" t="s">
        <v>2607</v>
      </c>
      <c r="O23" s="2214"/>
      <c r="P23" s="2215">
        <f>SUMPRODUCT((地价!A3:A35=YEAR(G19)&amp;"-"&amp;ROUNDUP(MONTH(G19)/3,0))*(地价!AD2:AH2=N23)*(地价!AD3:AH35))</f>
        <v>1.8700000000000001E-2</v>
      </c>
      <c r="Q23" s="3043"/>
      <c r="R23" s="3043"/>
      <c r="S23" s="3043"/>
      <c r="T23" s="3043"/>
      <c r="U23" s="3043"/>
      <c r="V23" s="3043"/>
      <c r="W23" s="3043"/>
      <c r="X23" s="1623"/>
      <c r="Y23" s="1623"/>
      <c r="Z23" s="1623"/>
      <c r="AA23" s="1623"/>
      <c r="AB23" s="1623"/>
      <c r="AC23" s="1623"/>
      <c r="AD23" s="1623"/>
      <c r="AE23" s="1623"/>
      <c r="AF23" s="1623"/>
    </row>
    <row r="24" spans="1:35" s="2125" customFormat="1" ht="15" thickBot="1">
      <c r="A24" s="2220" t="s">
        <v>2608</v>
      </c>
      <c r="B24" s="1617" t="s">
        <v>2609</v>
      </c>
      <c r="C24" s="2221">
        <f>SUMIF(A46:A88,E2,B46:B88)</f>
        <v>1</v>
      </c>
      <c r="D24" s="2222"/>
      <c r="E24" s="2223"/>
      <c r="F24" s="2223"/>
      <c r="G24" s="2223"/>
      <c r="H24" s="2223"/>
      <c r="I24" s="2223"/>
      <c r="J24" s="2224"/>
      <c r="K24" s="3045"/>
      <c r="L24" s="3045"/>
      <c r="M24" s="3045"/>
      <c r="N24" s="2225" t="s">
        <v>2610</v>
      </c>
      <c r="O24" s="2226"/>
      <c r="P24" s="2227">
        <f>SUMPRODUCT((地价!A3:A35=YEAR(G19)&amp;"-"&amp;ROUNDUP(MONTH(G19)/3,0))*(地价!AD2:AH2=N24)*(地价!AD3:AH35))</f>
        <v>1.24E-2</v>
      </c>
      <c r="Q24" s="3045"/>
      <c r="R24" s="3043"/>
      <c r="S24" s="3043"/>
      <c r="T24" s="3043"/>
      <c r="U24" s="3043"/>
      <c r="V24" s="3043"/>
      <c r="W24" s="3043"/>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43"/>
      <c r="L25" s="3043"/>
      <c r="M25" s="3043"/>
      <c r="N25" s="3046" t="s">
        <v>2613</v>
      </c>
      <c r="O25" s="3047"/>
      <c r="P25" s="3048">
        <f>SUMPRODUCT((地价!A3:A35=YEAR(G19)&amp;"-"&amp;ROUNDUP(MONTH(G19)/3,0))*(地价!AD2:AH2=N25)*(地价!AD3:AH35))</f>
        <v>1.7000000000000001E-2</v>
      </c>
      <c r="Q25" s="3043"/>
      <c r="R25" s="3043"/>
      <c r="S25" s="3043"/>
      <c r="T25" s="3043"/>
      <c r="U25" s="3043"/>
      <c r="V25" s="3043"/>
      <c r="W25" s="3043"/>
      <c r="X25" s="1623"/>
      <c r="Y25" s="1623"/>
      <c r="Z25" s="1623"/>
      <c r="AA25" s="1623"/>
      <c r="AB25" s="1623"/>
      <c r="AC25" s="1623"/>
      <c r="AD25" s="1623"/>
      <c r="AE25" s="1623"/>
      <c r="AF25" s="1623"/>
    </row>
    <row r="26" spans="1:35" ht="14.4">
      <c r="A26" s="1703"/>
      <c r="B26" s="2072" t="s">
        <v>2614</v>
      </c>
      <c r="C26" s="2883">
        <f>IF(B21="容积率修正",E29+SUM(E33:E39),SUM(V2:V16)+SUM(E33:E39))</f>
        <v>3041962</v>
      </c>
      <c r="D26" s="2230"/>
      <c r="E26" s="2169"/>
      <c r="F26" s="1478"/>
      <c r="G26" s="2169"/>
      <c r="H26" s="2169"/>
      <c r="I26" s="2169"/>
      <c r="J26" s="2231"/>
      <c r="K26" s="3043"/>
      <c r="L26" s="3049" t="s">
        <v>2573</v>
      </c>
      <c r="M26" s="2132" t="s">
        <v>2574</v>
      </c>
      <c r="N26" s="2132" t="s">
        <v>2575</v>
      </c>
      <c r="O26" s="2132" t="s">
        <v>2576</v>
      </c>
      <c r="P26" s="3050" t="s">
        <v>2577</v>
      </c>
      <c r="Q26" s="3043"/>
      <c r="R26" s="3043"/>
      <c r="S26" s="3043"/>
      <c r="T26" s="3043"/>
      <c r="U26" s="3043"/>
      <c r="V26" s="3043"/>
      <c r="W26" s="3043"/>
      <c r="X26" s="1623"/>
      <c r="Y26" s="1623"/>
      <c r="Z26" s="1623"/>
      <c r="AA26" s="1623"/>
      <c r="AB26" s="1623"/>
      <c r="AC26" s="1623"/>
      <c r="AD26" s="1623"/>
      <c r="AE26" s="1623"/>
      <c r="AF26" s="1623"/>
    </row>
    <row r="27" spans="1:35" ht="15" thickBot="1">
      <c r="A27" s="1703"/>
      <c r="B27" s="1619" t="s">
        <v>2615</v>
      </c>
      <c r="C27" s="2232">
        <f>E30+SUM(I33:I39)</f>
        <v>0</v>
      </c>
      <c r="D27" s="2181"/>
      <c r="E27" s="2233"/>
      <c r="F27" s="2234"/>
      <c r="G27" s="2233"/>
      <c r="H27" s="2233"/>
      <c r="I27" s="2233"/>
      <c r="J27" s="2235"/>
      <c r="K27" s="3043"/>
      <c r="L27" s="2236" t="s">
        <v>2580</v>
      </c>
      <c r="M27" s="2145">
        <v>0.25</v>
      </c>
      <c r="N27" s="2145">
        <v>0.2</v>
      </c>
      <c r="O27" s="2145">
        <v>0.15</v>
      </c>
      <c r="P27" s="2237">
        <v>0.1</v>
      </c>
      <c r="Q27" s="3043"/>
      <c r="R27" s="3043"/>
      <c r="S27" s="3043"/>
      <c r="T27" s="3043"/>
      <c r="U27" s="3043"/>
      <c r="V27" s="3043"/>
      <c r="W27" s="3043"/>
      <c r="X27" s="1623"/>
      <c r="Y27" s="1623"/>
      <c r="Z27" s="1623"/>
      <c r="AA27" s="1623"/>
      <c r="AB27" s="1623"/>
      <c r="AC27" s="1623"/>
      <c r="AD27" s="1623"/>
      <c r="AE27" s="1623"/>
      <c r="AF27" s="1623"/>
    </row>
    <row r="28" spans="1:35" ht="15" thickBot="1">
      <c r="A28" s="1718"/>
      <c r="B28" s="2238" t="s">
        <v>2616</v>
      </c>
      <c r="C28" s="2239" t="s">
        <v>2617</v>
      </c>
      <c r="D28" s="2239" t="s">
        <v>2618</v>
      </c>
      <c r="E28" s="1618" t="s">
        <v>2619</v>
      </c>
      <c r="F28" s="2240"/>
      <c r="G28" s="2156"/>
      <c r="H28" s="2156"/>
      <c r="I28" s="2156"/>
      <c r="J28" s="2157"/>
      <c r="K28" s="3043"/>
      <c r="L28" s="2241" t="s">
        <v>2583</v>
      </c>
      <c r="M28" s="2242">
        <f>ROUND($E$20*(1+M27),3)</f>
        <v>5.3999999999999999E-2</v>
      </c>
      <c r="N28" s="2242">
        <f>ROUND($E$20*(1+N27),3)</f>
        <v>5.1999999999999998E-2</v>
      </c>
      <c r="O28" s="2242">
        <f>ROUND($E$20*(1+O27),3)</f>
        <v>0.05</v>
      </c>
      <c r="P28" s="2160">
        <f>ROUND($E$20*(1+P27),3)</f>
        <v>4.8000000000000001E-2</v>
      </c>
      <c r="Q28" s="3043"/>
      <c r="R28" s="3043"/>
      <c r="S28" s="3043"/>
      <c r="T28" s="3043"/>
      <c r="U28" s="3043"/>
      <c r="V28" s="3043"/>
      <c r="W28" s="3043"/>
      <c r="X28" s="1623"/>
      <c r="Y28" s="1623"/>
      <c r="Z28" s="1623"/>
      <c r="AA28" s="1623"/>
      <c r="AB28" s="1623"/>
      <c r="AC28" s="1623"/>
      <c r="AD28" s="1623"/>
      <c r="AE28" s="1623"/>
      <c r="AF28" s="1623"/>
    </row>
    <row r="29" spans="1:35" ht="25.2">
      <c r="A29" s="2243"/>
      <c r="B29" s="1620" t="s">
        <v>2620</v>
      </c>
      <c r="C29" s="54">
        <f>ROUND(C5*C18*C19*C20*C21*C24,0)</f>
        <v>8770</v>
      </c>
      <c r="D29" s="2244">
        <f>项目基本情况!C12</f>
        <v>346.86</v>
      </c>
      <c r="E29" s="2031">
        <f>ROUND(C29*D29,0)</f>
        <v>3041962</v>
      </c>
      <c r="F29" s="2245" t="s">
        <v>2621</v>
      </c>
      <c r="G29" s="2246"/>
      <c r="H29" s="2246"/>
      <c r="I29" s="2246"/>
      <c r="J29" s="2247"/>
      <c r="K29" s="3043"/>
      <c r="L29" s="3043"/>
      <c r="M29" s="3043"/>
      <c r="N29" s="3043"/>
      <c r="O29" s="3043"/>
      <c r="P29" s="3043"/>
      <c r="Q29" s="3043"/>
      <c r="R29" s="3043"/>
      <c r="S29" s="3043"/>
      <c r="T29" s="3043"/>
      <c r="U29" s="3043"/>
      <c r="V29" s="3043"/>
      <c r="W29" s="3043"/>
      <c r="X29" s="1623"/>
      <c r="Y29" s="1623"/>
      <c r="Z29" s="1623"/>
      <c r="AA29" s="1623"/>
      <c r="AB29" s="1623"/>
      <c r="AC29" s="1623"/>
      <c r="AD29" s="1623"/>
      <c r="AE29" s="1623"/>
      <c r="AF29" s="1623"/>
    </row>
    <row r="30" spans="1:35" ht="25.8" thickBot="1">
      <c r="A30" s="2248"/>
      <c r="B30" s="1621" t="s">
        <v>2622</v>
      </c>
      <c r="C30" s="2172">
        <f>ROUND(IF(E2="工业",C29*M39,C29*M38),0)</f>
        <v>2193</v>
      </c>
      <c r="D30" s="2249"/>
      <c r="E30" s="2031">
        <f>ROUND(C30*D30,0)</f>
        <v>0</v>
      </c>
      <c r="F30" s="2250" t="s">
        <v>2623</v>
      </c>
      <c r="G30" s="2251"/>
      <c r="H30" s="2251"/>
      <c r="I30" s="2251"/>
      <c r="J30" s="2252"/>
      <c r="K30" s="3043"/>
      <c r="L30" s="3043"/>
      <c r="M30" s="3043"/>
      <c r="N30" s="3043"/>
      <c r="O30" s="3043"/>
      <c r="P30" s="3043"/>
      <c r="Q30" s="3043"/>
      <c r="R30" s="3043"/>
      <c r="S30" s="3043"/>
      <c r="T30" s="3043"/>
      <c r="U30" s="3043"/>
      <c r="V30" s="3043"/>
      <c r="W30" s="3043"/>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43"/>
      <c r="L31" s="3043"/>
      <c r="M31" s="3043"/>
      <c r="N31" s="3043"/>
      <c r="O31" s="3043"/>
      <c r="P31" s="3043"/>
      <c r="Q31" s="3043"/>
      <c r="R31" s="3043"/>
      <c r="S31" s="3043"/>
      <c r="T31" s="3043"/>
      <c r="U31" s="3043"/>
      <c r="V31" s="3043"/>
      <c r="W31" s="3043"/>
      <c r="X31" s="1623"/>
      <c r="Y31" s="1623"/>
      <c r="Z31" s="1623"/>
      <c r="AA31" s="1623"/>
      <c r="AB31" s="1623"/>
      <c r="AC31" s="1623"/>
      <c r="AD31" s="1623"/>
      <c r="AE31" s="1623"/>
      <c r="AF31" s="1623"/>
    </row>
    <row r="32" spans="1:35" ht="36">
      <c r="A32" s="2243"/>
      <c r="B32" s="2256"/>
      <c r="C32" s="1811" t="s">
        <v>2617</v>
      </c>
      <c r="D32" s="1808" t="s">
        <v>2618</v>
      </c>
      <c r="E32" s="1808" t="s">
        <v>2619</v>
      </c>
      <c r="F32" s="50" t="s">
        <v>2627</v>
      </c>
      <c r="G32" s="2217" t="s">
        <v>2617</v>
      </c>
      <c r="H32" s="2217" t="s">
        <v>2618</v>
      </c>
      <c r="I32" s="2217" t="s">
        <v>2619</v>
      </c>
      <c r="J32" s="2069"/>
      <c r="K32" s="3043"/>
      <c r="L32" s="3043"/>
      <c r="M32" s="3043"/>
      <c r="N32" s="3043"/>
      <c r="O32" s="3043"/>
      <c r="P32" s="3043"/>
      <c r="Q32" s="3043"/>
      <c r="R32" s="3043"/>
      <c r="S32" s="3043"/>
      <c r="T32" s="3043"/>
      <c r="U32" s="3043"/>
      <c r="V32" s="3043"/>
      <c r="W32" s="3043"/>
      <c r="X32" s="1623"/>
      <c r="Y32" s="1623"/>
      <c r="Z32" s="1623"/>
      <c r="AA32" s="1623"/>
      <c r="AB32" s="1623"/>
      <c r="AC32" s="1623"/>
      <c r="AD32" s="1623"/>
      <c r="AE32" s="1623"/>
      <c r="AF32" s="1623"/>
    </row>
    <row r="33" spans="1:33">
      <c r="A33" s="3551" t="s">
        <v>2628</v>
      </c>
      <c r="B33" s="2257" t="s">
        <v>2629</v>
      </c>
      <c r="C33" s="54">
        <f>ROUND(D5*C19*C20*C24*F33,0)</f>
        <v>7674</v>
      </c>
      <c r="D33" s="2244"/>
      <c r="E33" s="50">
        <f t="shared" ref="E33:E39" si="6">ROUND(C33*D33,0)</f>
        <v>0</v>
      </c>
      <c r="F33" s="50">
        <f>SUMIF(修正!A45:A56,G2,修正!B45:B56)</f>
        <v>0.7</v>
      </c>
      <c r="G33" s="50">
        <f t="shared" ref="G33" si="7">ROUND(IF(E2="工业",C33*$M$39,C33*$M$38),0)</f>
        <v>1919</v>
      </c>
      <c r="H33" s="50">
        <f>D33</f>
        <v>0</v>
      </c>
      <c r="I33" s="50">
        <f t="shared" ref="I33:I39" si="8">ROUND(G33*H33,0)</f>
        <v>0</v>
      </c>
      <c r="J33" s="2231"/>
      <c r="K33" s="3043"/>
      <c r="L33" s="3043"/>
      <c r="M33" s="3043"/>
      <c r="N33" s="3043"/>
      <c r="O33" s="3043"/>
      <c r="P33" s="3043"/>
      <c r="Q33" s="3043"/>
      <c r="R33" s="3043"/>
      <c r="S33" s="3043"/>
      <c r="T33" s="3043"/>
      <c r="U33" s="3043"/>
      <c r="V33" s="3043"/>
      <c r="W33" s="3043"/>
      <c r="X33" s="1623"/>
      <c r="Y33" s="1623"/>
      <c r="Z33" s="1623"/>
      <c r="AA33" s="1623"/>
      <c r="AB33" s="1623"/>
      <c r="AC33" s="1623"/>
      <c r="AD33" s="1623"/>
      <c r="AE33" s="1623"/>
      <c r="AF33" s="1623"/>
    </row>
    <row r="34" spans="1:33">
      <c r="A34" s="3552"/>
      <c r="B34" s="2162" t="s">
        <v>2630</v>
      </c>
      <c r="C34" s="54">
        <f>ROUND(D5*C19*C20*C24*F34,0)</f>
        <v>4385</v>
      </c>
      <c r="D34" s="2244"/>
      <c r="E34" s="50">
        <f t="shared" si="6"/>
        <v>0</v>
      </c>
      <c r="F34" s="50">
        <f>SUMIF(修正!A45:A56,G2,修正!C45:C56)</f>
        <v>0.4</v>
      </c>
      <c r="G34" s="50">
        <f>ROUND(IF(E2="工业",C34*$M$39,C34*$M$38),0)</f>
        <v>1096</v>
      </c>
      <c r="H34" s="50">
        <f t="shared" ref="H34:H39" si="9">D34</f>
        <v>0</v>
      </c>
      <c r="I34" s="50">
        <f t="shared" si="8"/>
        <v>0</v>
      </c>
      <c r="J34" s="2231"/>
      <c r="K34" s="3043"/>
      <c r="L34" s="3043"/>
      <c r="M34" s="3043"/>
      <c r="N34" s="3043"/>
      <c r="O34" s="3043"/>
      <c r="P34" s="3043"/>
      <c r="Q34" s="3043"/>
      <c r="R34" s="3043"/>
      <c r="S34" s="3043"/>
      <c r="T34" s="3043"/>
      <c r="U34" s="3043"/>
      <c r="V34" s="3043"/>
      <c r="W34" s="3043"/>
      <c r="X34" s="1623"/>
      <c r="Y34" s="1623"/>
      <c r="Z34" s="1623"/>
      <c r="AA34" s="1623"/>
      <c r="AB34" s="1623"/>
      <c r="AC34" s="1623"/>
      <c r="AD34" s="1623"/>
      <c r="AE34" s="1623"/>
      <c r="AF34" s="1623"/>
    </row>
    <row r="35" spans="1:33">
      <c r="A35" s="3552"/>
      <c r="B35" s="2162" t="s">
        <v>2631</v>
      </c>
      <c r="C35" s="54">
        <f>ROUND(D5*C19*C20*C24*F35,0)</f>
        <v>3070</v>
      </c>
      <c r="D35" s="2244"/>
      <c r="E35" s="50">
        <f t="shared" si="6"/>
        <v>0</v>
      </c>
      <c r="F35" s="50">
        <f>SUMIF(修正!A45:A56,G2,修正!D45:D56)</f>
        <v>0.28000000000000003</v>
      </c>
      <c r="G35" s="50">
        <f>ROUND(IF(E2="工业",C35*$M$39,C35*$M$38),0)</f>
        <v>768</v>
      </c>
      <c r="H35" s="50">
        <f t="shared" si="9"/>
        <v>0</v>
      </c>
      <c r="I35" s="50">
        <f t="shared" si="8"/>
        <v>0</v>
      </c>
      <c r="J35" s="2231"/>
      <c r="K35" s="3043"/>
      <c r="L35" s="3043"/>
      <c r="M35" s="3043"/>
      <c r="N35" s="3043"/>
      <c r="O35" s="3043"/>
      <c r="P35" s="3043"/>
      <c r="Q35" s="3043"/>
      <c r="R35" s="3043"/>
      <c r="S35" s="3043"/>
      <c r="T35" s="3043"/>
      <c r="U35" s="3043"/>
      <c r="V35" s="3043"/>
      <c r="W35" s="3043"/>
      <c r="X35" s="1623"/>
      <c r="Y35" s="1623"/>
      <c r="Z35" s="1623"/>
      <c r="AA35" s="1623"/>
      <c r="AB35" s="1623"/>
      <c r="AC35" s="1623"/>
      <c r="AD35" s="1623"/>
      <c r="AE35" s="1623"/>
      <c r="AF35" s="1623"/>
    </row>
    <row r="36" spans="1:33" ht="13.8" thickBot="1">
      <c r="A36" s="3553"/>
      <c r="B36" s="2162" t="s">
        <v>2632</v>
      </c>
      <c r="C36" s="54">
        <f>ROUND(D5*C19*C20*C24*F36,0)</f>
        <v>2741</v>
      </c>
      <c r="D36" s="2244"/>
      <c r="E36" s="50">
        <f t="shared" si="6"/>
        <v>0</v>
      </c>
      <c r="F36" s="50">
        <f>SUMIF(修正!A45:A56,G2,修正!E45:E56)</f>
        <v>0.25</v>
      </c>
      <c r="G36" s="50">
        <f>ROUND(IF(E2="工业",C36*$M$39,C36*$M$38),0)</f>
        <v>685</v>
      </c>
      <c r="H36" s="50">
        <f t="shared" si="9"/>
        <v>0</v>
      </c>
      <c r="I36" s="50">
        <f t="shared" si="8"/>
        <v>0</v>
      </c>
      <c r="J36" s="2231"/>
      <c r="K36" s="3043"/>
      <c r="L36" s="3043"/>
      <c r="M36" s="3043"/>
      <c r="N36" s="3043"/>
      <c r="O36" s="3043"/>
      <c r="P36" s="3043"/>
      <c r="Q36" s="3043"/>
      <c r="R36" s="3043"/>
      <c r="S36" s="3043"/>
      <c r="T36" s="3043"/>
      <c r="U36" s="3043"/>
      <c r="V36" s="3043"/>
      <c r="W36" s="3043"/>
      <c r="X36" s="1623"/>
      <c r="Y36" s="1623"/>
      <c r="Z36" s="1623"/>
      <c r="AA36" s="1623"/>
      <c r="AB36" s="1623"/>
      <c r="AC36" s="1623"/>
      <c r="AD36" s="1623"/>
      <c r="AE36" s="1623"/>
      <c r="AF36" s="1623"/>
    </row>
    <row r="37" spans="1:33">
      <c r="A37" s="2258"/>
      <c r="B37" s="2162" t="s">
        <v>2633</v>
      </c>
      <c r="C37" s="50">
        <f>ROUND(D5*C19*C20*C24*F37,0)</f>
        <v>2741</v>
      </c>
      <c r="D37" s="2244"/>
      <c r="E37" s="50">
        <f t="shared" si="6"/>
        <v>0</v>
      </c>
      <c r="F37" s="54">
        <f>SUMIF(修正!A45:A56,G2,修正!F45:F56)</f>
        <v>0.25</v>
      </c>
      <c r="G37" s="50">
        <f>ROUND(IF(E2="工业",C37*$M$39,C37*$M$38),0)</f>
        <v>685</v>
      </c>
      <c r="H37" s="50">
        <f t="shared" si="9"/>
        <v>0</v>
      </c>
      <c r="I37" s="50">
        <f t="shared" si="8"/>
        <v>0</v>
      </c>
      <c r="J37" s="2231"/>
      <c r="K37" s="3043"/>
      <c r="L37" s="2259" t="s">
        <v>2634</v>
      </c>
      <c r="M37" s="2135"/>
      <c r="N37" s="3043"/>
      <c r="O37" s="3043"/>
      <c r="P37" s="3043"/>
      <c r="Q37" s="3043"/>
      <c r="R37" s="3043"/>
      <c r="S37" s="3043"/>
      <c r="T37" s="3043"/>
      <c r="U37" s="3043"/>
      <c r="V37" s="3043"/>
      <c r="W37" s="3043"/>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0.25</v>
      </c>
      <c r="G38" s="50">
        <f>ROUND(IF(E2="工业",C38*$M$39,C38*$M$38),0)</f>
        <v>0</v>
      </c>
      <c r="H38" s="50">
        <f t="shared" si="9"/>
        <v>0</v>
      </c>
      <c r="I38" s="50">
        <f t="shared" si="8"/>
        <v>0</v>
      </c>
      <c r="J38" s="2231"/>
      <c r="K38" s="3043"/>
      <c r="L38" s="2260" t="s">
        <v>2636</v>
      </c>
      <c r="M38" s="2261">
        <v>0.25</v>
      </c>
      <c r="N38" s="3043"/>
      <c r="O38" s="3043"/>
      <c r="P38" s="3043"/>
      <c r="Q38" s="3043"/>
      <c r="R38" s="3043"/>
      <c r="S38" s="3043"/>
      <c r="T38" s="3043"/>
      <c r="U38" s="3043"/>
      <c r="V38" s="3043"/>
      <c r="W38" s="3043"/>
      <c r="X38" s="1623"/>
      <c r="Y38" s="1623"/>
      <c r="Z38" s="1623"/>
      <c r="AA38" s="1623"/>
      <c r="AB38" s="1623"/>
      <c r="AC38" s="1623"/>
      <c r="AD38" s="1623"/>
      <c r="AE38" s="1623"/>
      <c r="AF38" s="1623"/>
    </row>
    <row r="39" spans="1:33" ht="13.8" thickBot="1">
      <c r="A39" s="2248"/>
      <c r="B39" s="2262" t="s">
        <v>2637</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43"/>
      <c r="L39" s="2263" t="s">
        <v>2577</v>
      </c>
      <c r="M39" s="2264">
        <v>0.15</v>
      </c>
      <c r="N39" s="3043"/>
      <c r="O39" s="3043"/>
      <c r="P39" s="3043"/>
      <c r="Q39" s="3043"/>
      <c r="R39" s="3043"/>
      <c r="S39" s="3043"/>
      <c r="T39" s="3043"/>
      <c r="U39" s="3043"/>
      <c r="V39" s="3043"/>
      <c r="W39" s="3043"/>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3"/>
      <c r="L40" s="3043"/>
      <c r="M40" s="3043"/>
      <c r="N40" s="3043"/>
      <c r="O40" s="3043"/>
      <c r="P40" s="3043"/>
      <c r="Q40" s="3043"/>
      <c r="R40" s="3043"/>
      <c r="S40" s="3043"/>
      <c r="T40" s="3043"/>
      <c r="U40" s="3043"/>
      <c r="V40" s="3043"/>
      <c r="W40" s="3043"/>
      <c r="X40" s="1623"/>
      <c r="Y40" s="1623"/>
      <c r="Z40" s="1623"/>
      <c r="AA40" s="1623"/>
      <c r="AB40" s="1623"/>
      <c r="AC40" s="1623"/>
      <c r="AD40" s="1623"/>
      <c r="AE40" s="1623"/>
      <c r="AF40" s="1623"/>
    </row>
    <row r="41" spans="1:33" s="2265" customFormat="1" ht="24">
      <c r="A41" s="1623"/>
      <c r="B41" s="2266" t="s">
        <v>2717</v>
      </c>
      <c r="C41" s="50">
        <f>ROUND(POWER(1+E41,H41-G41)*(POWER(1+E41,G41)-1)/(POWER(1+E41,H41)-1),4)</f>
        <v>0</v>
      </c>
      <c r="D41" s="50" t="s">
        <v>2715</v>
      </c>
      <c r="E41" s="2267">
        <f>G20</f>
        <v>5.1999999999999998E-2</v>
      </c>
      <c r="F41" s="50" t="s">
        <v>2716</v>
      </c>
      <c r="G41" s="2268"/>
      <c r="H41" s="50">
        <v>50</v>
      </c>
      <c r="I41" s="1623"/>
      <c r="J41" s="1623"/>
      <c r="K41" s="3043"/>
      <c r="L41" s="3043"/>
      <c r="M41" s="3043"/>
      <c r="N41" s="3043"/>
      <c r="O41" s="3043"/>
      <c r="P41" s="3043"/>
      <c r="Q41" s="3043"/>
      <c r="R41" s="3043"/>
      <c r="S41" s="3043"/>
      <c r="T41" s="3043"/>
      <c r="U41" s="3043"/>
      <c r="V41" s="3043"/>
      <c r="W41" s="3043"/>
      <c r="X41" s="1623"/>
      <c r="Y41" s="1623"/>
      <c r="Z41" s="1623"/>
      <c r="AA41" s="1623"/>
      <c r="AB41" s="1623"/>
      <c r="AC41" s="1623"/>
      <c r="AD41" s="1623"/>
      <c r="AE41" s="1623"/>
      <c r="AF41" s="1623"/>
    </row>
    <row r="42" spans="1:33" s="2265" customFormat="1">
      <c r="A42" s="3043"/>
      <c r="B42" s="3043"/>
      <c r="C42" s="3043"/>
      <c r="D42" s="3043"/>
      <c r="E42" s="3043"/>
      <c r="F42" s="3043"/>
      <c r="G42" s="3043"/>
      <c r="H42" s="3043"/>
      <c r="I42" s="3043"/>
      <c r="J42" s="3043"/>
      <c r="K42" s="3043"/>
      <c r="L42" s="3043"/>
      <c r="M42" s="3043"/>
      <c r="N42" s="3043"/>
      <c r="O42" s="3043"/>
      <c r="P42" s="3043"/>
      <c r="Q42" s="3043"/>
      <c r="R42" s="3043"/>
      <c r="S42" s="3043"/>
      <c r="T42" s="3043"/>
      <c r="U42" s="3043"/>
      <c r="V42" s="3043"/>
      <c r="W42" s="3043"/>
      <c r="X42" s="1623"/>
      <c r="Y42" s="1623"/>
      <c r="Z42" s="1623"/>
      <c r="AA42" s="1623"/>
      <c r="AB42" s="1623"/>
      <c r="AC42" s="1623"/>
      <c r="AD42" s="1623"/>
      <c r="AE42" s="1623"/>
      <c r="AF42" s="1623"/>
    </row>
    <row r="43" spans="1:33" s="2265" customFormat="1">
      <c r="A43" s="3043"/>
      <c r="B43" s="3043"/>
      <c r="C43" s="3043"/>
      <c r="D43" s="3043"/>
      <c r="E43" s="3043"/>
      <c r="F43" s="3043"/>
      <c r="G43" s="3043"/>
      <c r="H43" s="3043"/>
      <c r="I43" s="3043"/>
      <c r="J43" s="3043"/>
      <c r="K43" s="3043"/>
      <c r="L43" s="3043"/>
      <c r="M43" s="3043"/>
      <c r="N43" s="3043"/>
      <c r="O43" s="3043"/>
      <c r="P43" s="3043"/>
      <c r="Q43" s="3043"/>
      <c r="R43" s="3043"/>
      <c r="S43" s="3043"/>
      <c r="T43" s="3043"/>
      <c r="U43" s="3043"/>
      <c r="V43" s="3043"/>
      <c r="W43" s="3043"/>
      <c r="X43" s="1623"/>
      <c r="Y43" s="1623"/>
      <c r="Z43" s="1623"/>
      <c r="AA43" s="1623"/>
      <c r="AB43" s="1623"/>
      <c r="AC43" s="1623"/>
      <c r="AD43" s="1623"/>
      <c r="AE43" s="1623"/>
      <c r="AF43" s="1623"/>
    </row>
    <row r="44" spans="1:33" s="2265" customFormat="1">
      <c r="A44" s="3043"/>
      <c r="B44" s="3043"/>
      <c r="C44" s="3043"/>
      <c r="D44" s="3043"/>
      <c r="E44" s="3043"/>
      <c r="F44" s="3043"/>
      <c r="G44" s="3043"/>
      <c r="H44" s="3043"/>
      <c r="I44" s="3043"/>
      <c r="J44" s="3043"/>
      <c r="K44" s="3043"/>
      <c r="L44" s="3043"/>
      <c r="M44" s="3043"/>
      <c r="N44" s="3043"/>
      <c r="O44" s="3043"/>
      <c r="P44" s="3043"/>
      <c r="Q44" s="3043"/>
      <c r="R44" s="3043"/>
      <c r="S44" s="3043"/>
      <c r="T44" s="3043"/>
      <c r="U44" s="3043"/>
      <c r="V44" s="3043"/>
      <c r="W44" s="3043"/>
      <c r="X44" s="1623"/>
      <c r="Y44" s="1623"/>
      <c r="Z44" s="1623"/>
      <c r="AA44" s="1623"/>
      <c r="AB44" s="1623"/>
      <c r="AC44" s="1623"/>
      <c r="AD44" s="1623"/>
      <c r="AE44" s="1623"/>
      <c r="AF44" s="1623"/>
    </row>
    <row r="45" spans="1:33" s="2265" customFormat="1" ht="15" thickBot="1">
      <c r="A45" s="2269" t="s">
        <v>2638</v>
      </c>
      <c r="B45" s="2270"/>
      <c r="C45" s="608"/>
      <c r="D45" s="608"/>
      <c r="E45" s="608"/>
      <c r="F45" s="608"/>
      <c r="G45" s="608"/>
      <c r="H45" s="608"/>
      <c r="I45" s="608"/>
      <c r="J45" s="608"/>
      <c r="K45" s="608"/>
      <c r="L45" s="608"/>
      <c r="M45" s="608"/>
      <c r="N45" s="2100"/>
      <c r="O45" s="1623"/>
      <c r="P45" s="1623"/>
      <c r="Q45" s="3043"/>
      <c r="R45" s="3043"/>
      <c r="S45" s="3043"/>
      <c r="T45" s="3043"/>
      <c r="U45" s="3043"/>
      <c r="V45" s="3043"/>
      <c r="W45" s="3043"/>
      <c r="X45" s="1623"/>
      <c r="Y45" s="1623"/>
      <c r="Z45" s="1623"/>
      <c r="AA45" s="1623"/>
      <c r="AB45" s="1623"/>
      <c r="AC45" s="1623"/>
      <c r="AD45" s="1623"/>
      <c r="AE45" s="1623"/>
      <c r="AF45" s="1623"/>
    </row>
    <row r="46" spans="1:33" s="2265" customFormat="1" ht="14.4">
      <c r="A46" s="2271" t="s">
        <v>2639</v>
      </c>
      <c r="B46" s="2272">
        <f>1+E48</f>
        <v>1</v>
      </c>
      <c r="C46" s="2273"/>
      <c r="D46" s="2274"/>
      <c r="E46" s="2275"/>
      <c r="F46" s="2276"/>
      <c r="G46" s="608"/>
      <c r="H46" s="608"/>
      <c r="I46" s="608"/>
      <c r="J46" s="608"/>
      <c r="K46" s="608"/>
      <c r="L46" s="608"/>
      <c r="M46" s="2100"/>
      <c r="N46" s="2277"/>
      <c r="O46" s="1623"/>
      <c r="P46" s="1623"/>
      <c r="Q46" s="3043"/>
      <c r="R46" s="3043"/>
      <c r="S46" s="3043"/>
      <c r="T46" s="3043"/>
      <c r="U46" s="3043"/>
      <c r="V46" s="3043"/>
      <c r="W46" s="3043"/>
      <c r="X46" s="1623"/>
      <c r="Y46" s="1623"/>
      <c r="Z46" s="1623"/>
      <c r="AA46" s="1623"/>
      <c r="AB46" s="1623"/>
      <c r="AC46" s="1623"/>
      <c r="AD46" s="1623"/>
      <c r="AE46" s="1623"/>
    </row>
    <row r="47" spans="1:33" s="2265" customFormat="1" ht="25.2">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43"/>
      <c r="R47" s="3043"/>
      <c r="S47" s="3043"/>
      <c r="T47" s="3043"/>
      <c r="U47" s="3043"/>
      <c r="V47" s="3043"/>
      <c r="W47" s="3043"/>
      <c r="X47" s="1623"/>
      <c r="Y47" s="1623"/>
      <c r="Z47" s="1623"/>
      <c r="AA47" s="1623"/>
      <c r="AB47" s="1623"/>
      <c r="AC47" s="1623"/>
      <c r="AD47" s="1623"/>
      <c r="AE47" s="1623"/>
      <c r="AF47" s="1623"/>
      <c r="AG47" s="1623"/>
    </row>
    <row r="48" spans="1:33" s="2265" customFormat="1" ht="52.8">
      <c r="A48" s="2278" t="s">
        <v>2654</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43"/>
      <c r="R48" s="3043"/>
      <c r="S48" s="3043"/>
      <c r="T48" s="3043"/>
      <c r="U48" s="3043"/>
      <c r="V48" s="3043"/>
      <c r="W48" s="3043"/>
      <c r="X48" s="1623"/>
      <c r="Y48" s="1623"/>
      <c r="Z48" s="1623"/>
      <c r="AA48" s="1623"/>
      <c r="AB48" s="1623"/>
      <c r="AC48" s="1623"/>
      <c r="AD48" s="1623"/>
      <c r="AE48" s="1623"/>
      <c r="AF48" s="1623"/>
      <c r="AG48" s="1623"/>
    </row>
    <row r="49" spans="1:33" s="2265" customFormat="1" ht="66">
      <c r="A49" s="2278" t="s">
        <v>2655</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43"/>
      <c r="R49" s="3043"/>
      <c r="S49" s="3043"/>
      <c r="T49" s="3043"/>
      <c r="U49" s="3043"/>
      <c r="V49" s="3043"/>
      <c r="W49" s="3043"/>
      <c r="X49" s="1623"/>
      <c r="Y49" s="1623"/>
      <c r="Z49" s="1623"/>
      <c r="AA49" s="1623"/>
      <c r="AB49" s="1623"/>
      <c r="AC49" s="1623"/>
      <c r="AD49" s="1623"/>
      <c r="AE49" s="1623"/>
      <c r="AF49" s="1623"/>
      <c r="AG49" s="1623"/>
    </row>
    <row r="50" spans="1:33" s="2265" customFormat="1" ht="24">
      <c r="A50" s="2278" t="s">
        <v>2656</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43"/>
      <c r="R50" s="3043"/>
      <c r="S50" s="3043"/>
      <c r="T50" s="3043"/>
      <c r="U50" s="3043"/>
      <c r="V50" s="3043"/>
      <c r="W50" s="3043"/>
      <c r="X50" s="1623"/>
      <c r="Y50" s="1623"/>
      <c r="Z50" s="1623"/>
      <c r="AA50" s="1623"/>
      <c r="AB50" s="1623"/>
      <c r="AC50" s="1623"/>
      <c r="AD50" s="1623"/>
      <c r="AE50" s="1623"/>
      <c r="AF50" s="1623"/>
      <c r="AG50" s="1623"/>
    </row>
    <row r="51" spans="1:33" s="2265" customFormat="1" ht="50.4">
      <c r="A51" s="2278" t="s">
        <v>2657</v>
      </c>
      <c r="B51" s="2292" t="s">
        <v>2658</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43"/>
      <c r="R51" s="3043"/>
      <c r="S51" s="3043"/>
      <c r="T51" s="3043"/>
      <c r="U51" s="3043"/>
      <c r="V51" s="3043"/>
      <c r="W51" s="3043"/>
      <c r="X51" s="1623"/>
      <c r="Y51" s="1623"/>
      <c r="Z51" s="1623"/>
      <c r="AA51" s="1623"/>
      <c r="AB51" s="1623"/>
      <c r="AC51" s="1623"/>
      <c r="AD51" s="1623"/>
      <c r="AE51" s="1623"/>
      <c r="AF51" s="1623"/>
      <c r="AG51" s="1623"/>
    </row>
    <row r="52" spans="1:33" s="2265" customFormat="1" ht="24">
      <c r="A52" s="2278" t="s">
        <v>2659</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43"/>
      <c r="R52" s="3043"/>
      <c r="S52" s="3043"/>
      <c r="T52" s="3043"/>
      <c r="U52" s="3043"/>
      <c r="V52" s="3043"/>
      <c r="W52" s="3043"/>
      <c r="X52" s="1623"/>
      <c r="Y52" s="1623"/>
      <c r="Z52" s="1623"/>
      <c r="AA52" s="1623"/>
      <c r="AB52" s="1623"/>
      <c r="AC52" s="1623"/>
      <c r="AD52" s="1623"/>
      <c r="AE52" s="1623"/>
      <c r="AF52" s="1623"/>
      <c r="AG52" s="1623"/>
    </row>
    <row r="53" spans="1:33" s="2265" customFormat="1" ht="36">
      <c r="A53" s="2278" t="s">
        <v>2660</v>
      </c>
      <c r="B53" s="2293" t="s">
        <v>2661</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43"/>
      <c r="R53" s="3043"/>
      <c r="S53" s="3043"/>
      <c r="T53" s="3043"/>
      <c r="U53" s="3043"/>
      <c r="V53" s="3043"/>
      <c r="W53" s="3043"/>
      <c r="X53" s="1623"/>
      <c r="Y53" s="1623"/>
      <c r="Z53" s="1623"/>
      <c r="AA53" s="1623"/>
      <c r="AB53" s="1623"/>
      <c r="AC53" s="1623"/>
      <c r="AD53" s="1623"/>
      <c r="AE53" s="1623"/>
      <c r="AF53" s="1623"/>
      <c r="AG53" s="1623"/>
    </row>
    <row r="54" spans="1:33" s="2265" customFormat="1" ht="26.4">
      <c r="A54" s="2294" t="s">
        <v>2662</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43"/>
      <c r="R54" s="3043"/>
      <c r="S54" s="3043"/>
      <c r="T54" s="3043"/>
      <c r="U54" s="3043"/>
      <c r="V54" s="3043"/>
      <c r="W54" s="3043"/>
      <c r="X54" s="1623"/>
      <c r="Y54" s="1623"/>
      <c r="Z54" s="1623"/>
      <c r="AA54" s="1623"/>
      <c r="AB54" s="1623"/>
      <c r="AC54" s="1623"/>
      <c r="AD54" s="1623"/>
      <c r="AE54" s="1623"/>
      <c r="AF54" s="1623"/>
      <c r="AG54" s="1623"/>
    </row>
    <row r="55" spans="1:33" s="2265" customFormat="1" ht="26.4">
      <c r="A55" s="2294" t="s">
        <v>2663</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43"/>
      <c r="R55" s="3043"/>
      <c r="S55" s="3043"/>
      <c r="T55" s="3043"/>
      <c r="U55" s="3043"/>
      <c r="V55" s="3043"/>
      <c r="W55" s="3043"/>
      <c r="X55" s="1623"/>
      <c r="Y55" s="1623"/>
      <c r="Z55" s="1623"/>
      <c r="AA55" s="1623"/>
      <c r="AB55" s="1623"/>
      <c r="AC55" s="1623"/>
      <c r="AD55" s="1623"/>
      <c r="AE55" s="1623"/>
      <c r="AF55" s="1623"/>
      <c r="AG55" s="1623"/>
    </row>
    <row r="56" spans="1:33" s="2265" customFormat="1" ht="40.200000000000003" thickBot="1">
      <c r="A56" s="2296" t="s">
        <v>2664</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43"/>
      <c r="R56" s="3043"/>
      <c r="S56" s="3043"/>
      <c r="T56" s="3043"/>
      <c r="U56" s="3043"/>
      <c r="V56" s="3043"/>
      <c r="W56" s="3043"/>
      <c r="X56" s="1623"/>
      <c r="Y56" s="1623"/>
      <c r="Z56" s="1623"/>
      <c r="AA56" s="1623"/>
      <c r="AB56" s="1623"/>
      <c r="AC56" s="1623"/>
      <c r="AD56" s="1623"/>
      <c r="AE56" s="1623"/>
      <c r="AF56" s="1623"/>
      <c r="AG56" s="1623"/>
    </row>
    <row r="57" spans="1:33" s="2265" customFormat="1" ht="14.4">
      <c r="A57" s="2271" t="s">
        <v>2665</v>
      </c>
      <c r="B57" s="2300">
        <f>1+E59</f>
        <v>1</v>
      </c>
      <c r="C57" s="2274"/>
      <c r="D57" s="2274"/>
      <c r="E57" s="2275"/>
      <c r="F57" s="2276"/>
      <c r="G57" s="608"/>
      <c r="H57" s="608"/>
      <c r="I57" s="608"/>
      <c r="J57" s="608"/>
      <c r="K57" s="608"/>
      <c r="L57" s="608"/>
      <c r="M57" s="608"/>
      <c r="N57" s="608"/>
      <c r="O57" s="1623"/>
      <c r="P57" s="1623"/>
      <c r="Q57" s="3043"/>
      <c r="R57" s="3043"/>
      <c r="S57" s="3043"/>
      <c r="T57" s="3043"/>
      <c r="U57" s="3043"/>
      <c r="V57" s="3043"/>
      <c r="W57" s="3043"/>
      <c r="X57" s="1623"/>
      <c r="Y57" s="1623"/>
      <c r="Z57" s="1623"/>
      <c r="AA57" s="1623"/>
      <c r="AB57" s="1623"/>
      <c r="AC57" s="1623"/>
      <c r="AD57" s="1623"/>
      <c r="AE57" s="1623"/>
      <c r="AF57" s="1623"/>
      <c r="AG57" s="1623"/>
    </row>
    <row r="58" spans="1:33" s="2265" customFormat="1" ht="25.2">
      <c r="A58" s="2278" t="s">
        <v>2640</v>
      </c>
      <c r="B58" s="2290"/>
      <c r="C58" s="2279" t="s">
        <v>2642</v>
      </c>
      <c r="D58" s="2279" t="s">
        <v>2643</v>
      </c>
      <c r="E58" s="2280" t="s">
        <v>2644</v>
      </c>
      <c r="F58" s="2230" t="s">
        <v>2645</v>
      </c>
      <c r="G58" s="2279" t="s">
        <v>2666</v>
      </c>
      <c r="H58" s="2281" t="s">
        <v>2667</v>
      </c>
      <c r="I58" s="2279" t="s">
        <v>2668</v>
      </c>
      <c r="J58" s="1906" t="s">
        <v>2308</v>
      </c>
      <c r="K58" s="1906" t="s">
        <v>2309</v>
      </c>
      <c r="L58" s="1906" t="s">
        <v>2310</v>
      </c>
      <c r="M58" s="1906" t="s">
        <v>2311</v>
      </c>
      <c r="N58" s="1906" t="s">
        <v>2312</v>
      </c>
      <c r="O58" s="1623"/>
      <c r="P58" s="1623"/>
      <c r="Q58" s="3043"/>
      <c r="R58" s="3043"/>
      <c r="S58" s="3043"/>
      <c r="T58" s="3043"/>
      <c r="U58" s="3043"/>
      <c r="V58" s="3043"/>
      <c r="W58" s="3043"/>
      <c r="X58" s="1623"/>
      <c r="Y58" s="1623"/>
      <c r="Z58" s="1623"/>
      <c r="AA58" s="1623"/>
      <c r="AB58" s="1623"/>
      <c r="AC58" s="1623"/>
      <c r="AD58" s="1623"/>
      <c r="AE58" s="1623"/>
      <c r="AF58" s="1623"/>
      <c r="AG58" s="1623"/>
    </row>
    <row r="59" spans="1:33" s="2265" customFormat="1" ht="52.8">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f>IF(E2="办公",SUMIF(L1:L12,G2,N1:N12),"——")</f>
        <v>0.12</v>
      </c>
      <c r="G59" s="2286"/>
      <c r="H59" s="2287">
        <f t="shared" ref="H59:H67" si="16">IFERROR(ROUNDDOWN($F$59*I59/2,4),"——")</f>
        <v>1.44E-2</v>
      </c>
      <c r="I59" s="2288">
        <v>0.24</v>
      </c>
      <c r="J59" s="2289">
        <f t="shared" ref="J59:J67" si="17">K59+$G59</f>
        <v>0</v>
      </c>
      <c r="K59" s="2289">
        <f t="shared" ref="K59:K67" si="18">$L59+$G59</f>
        <v>0</v>
      </c>
      <c r="L59" s="2289">
        <v>0</v>
      </c>
      <c r="M59" s="2289">
        <f t="shared" ref="M59:N67" si="19">L59-$G59</f>
        <v>0</v>
      </c>
      <c r="N59" s="2289">
        <f t="shared" si="19"/>
        <v>0</v>
      </c>
      <c r="O59" s="1623"/>
      <c r="P59" s="1623"/>
      <c r="Q59" s="3043"/>
      <c r="R59" s="3043"/>
      <c r="S59" s="3043"/>
      <c r="T59" s="3043"/>
      <c r="U59" s="3043"/>
      <c r="V59" s="3043"/>
      <c r="W59" s="3043"/>
      <c r="X59" s="1623"/>
      <c r="Y59" s="1623"/>
      <c r="Z59" s="1623"/>
      <c r="AA59" s="1623"/>
      <c r="AB59" s="1623"/>
      <c r="AC59" s="1623"/>
      <c r="AD59" s="1623"/>
      <c r="AE59" s="1623"/>
      <c r="AF59" s="1623"/>
      <c r="AG59" s="1623"/>
    </row>
    <row r="60" spans="1:33" s="2265" customFormat="1" ht="66">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f t="shared" si="16"/>
        <v>1.7999999999999999E-2</v>
      </c>
      <c r="I60" s="2288">
        <v>0.3</v>
      </c>
      <c r="J60" s="2289">
        <f t="shared" si="17"/>
        <v>0</v>
      </c>
      <c r="K60" s="2289">
        <f t="shared" si="18"/>
        <v>0</v>
      </c>
      <c r="L60" s="2289">
        <v>0</v>
      </c>
      <c r="M60" s="2289">
        <f t="shared" si="19"/>
        <v>0</v>
      </c>
      <c r="N60" s="2289">
        <f t="shared" si="19"/>
        <v>0</v>
      </c>
      <c r="O60" s="1623"/>
      <c r="P60" s="1623"/>
      <c r="Q60" s="3043"/>
      <c r="R60" s="3043"/>
      <c r="S60" s="3043"/>
      <c r="T60" s="3043"/>
      <c r="U60" s="3043"/>
      <c r="V60" s="3043"/>
      <c r="W60" s="3043"/>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f t="shared" si="16"/>
        <v>4.7999999999999996E-3</v>
      </c>
      <c r="I61" s="2288">
        <v>0.08</v>
      </c>
      <c r="J61" s="2289">
        <f t="shared" si="17"/>
        <v>0</v>
      </c>
      <c r="K61" s="2289">
        <f t="shared" si="18"/>
        <v>0</v>
      </c>
      <c r="L61" s="2289">
        <v>0</v>
      </c>
      <c r="M61" s="2289">
        <f t="shared" si="19"/>
        <v>0</v>
      </c>
      <c r="N61" s="2289">
        <f t="shared" si="19"/>
        <v>0</v>
      </c>
      <c r="O61" s="1623"/>
      <c r="P61" s="1623"/>
      <c r="Q61" s="3043"/>
      <c r="R61" s="3043"/>
      <c r="S61" s="3043"/>
      <c r="T61" s="3043"/>
      <c r="U61" s="3043"/>
      <c r="V61" s="3043"/>
      <c r="W61" s="3043"/>
      <c r="X61" s="1623"/>
      <c r="Y61" s="1623"/>
      <c r="Z61" s="1623"/>
      <c r="AA61" s="1623"/>
      <c r="AB61" s="1623"/>
      <c r="AC61" s="1623"/>
      <c r="AD61" s="1623"/>
      <c r="AE61" s="1623"/>
      <c r="AF61" s="1623"/>
      <c r="AG61" s="1623"/>
    </row>
    <row r="62" spans="1:33" s="2265" customFormat="1" ht="50.4">
      <c r="A62" s="2278" t="s">
        <v>2657</v>
      </c>
      <c r="B62" s="2292" t="s">
        <v>2658</v>
      </c>
      <c r="C62" s="2166"/>
      <c r="D62" s="2283">
        <f t="shared" si="15"/>
        <v>0</v>
      </c>
      <c r="E62" s="2291"/>
      <c r="F62" s="2285"/>
      <c r="G62" s="2286"/>
      <c r="H62" s="2287">
        <f t="shared" si="16"/>
        <v>2.3999999999999998E-3</v>
      </c>
      <c r="I62" s="2288">
        <v>0.04</v>
      </c>
      <c r="J62" s="2289">
        <f t="shared" si="17"/>
        <v>0</v>
      </c>
      <c r="K62" s="2289">
        <f t="shared" si="18"/>
        <v>0</v>
      </c>
      <c r="L62" s="2289">
        <v>0</v>
      </c>
      <c r="M62" s="2289">
        <f t="shared" si="19"/>
        <v>0</v>
      </c>
      <c r="N62" s="2289">
        <f t="shared" si="19"/>
        <v>0</v>
      </c>
      <c r="O62" s="1623"/>
      <c r="P62" s="1623"/>
      <c r="Q62" s="3043"/>
      <c r="R62" s="3043"/>
      <c r="S62" s="3043"/>
      <c r="T62" s="3043"/>
      <c r="U62" s="3043"/>
      <c r="V62" s="3043"/>
      <c r="W62" s="3043"/>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f t="shared" si="16"/>
        <v>3.0000000000000001E-3</v>
      </c>
      <c r="I63" s="2288">
        <v>0.05</v>
      </c>
      <c r="J63" s="2289">
        <f t="shared" si="17"/>
        <v>0</v>
      </c>
      <c r="K63" s="2289">
        <f t="shared" si="18"/>
        <v>0</v>
      </c>
      <c r="L63" s="2289">
        <v>0</v>
      </c>
      <c r="M63" s="2289">
        <f t="shared" si="19"/>
        <v>0</v>
      </c>
      <c r="N63" s="2289">
        <f t="shared" si="19"/>
        <v>0</v>
      </c>
      <c r="O63" s="1623"/>
      <c r="P63" s="1623"/>
      <c r="Q63" s="3043"/>
      <c r="R63" s="3043"/>
      <c r="S63" s="3043"/>
      <c r="T63" s="3043"/>
      <c r="U63" s="3043"/>
      <c r="V63" s="3043"/>
      <c r="W63" s="3043"/>
      <c r="X63" s="1623"/>
      <c r="Y63" s="1623"/>
      <c r="Z63" s="1623"/>
      <c r="AA63" s="1623"/>
      <c r="AB63" s="1623"/>
      <c r="AC63" s="1623"/>
      <c r="AD63" s="1623"/>
      <c r="AE63" s="1623"/>
      <c r="AF63" s="1623"/>
      <c r="AG63" s="1623"/>
    </row>
    <row r="64" spans="1:33" s="2265" customFormat="1" ht="36">
      <c r="A64" s="2278" t="s">
        <v>2660</v>
      </c>
      <c r="B64" s="2293" t="s">
        <v>2661</v>
      </c>
      <c r="C64" s="2166"/>
      <c r="D64" s="2283">
        <f t="shared" si="15"/>
        <v>0</v>
      </c>
      <c r="E64" s="2291"/>
      <c r="F64" s="2285"/>
      <c r="G64" s="2286"/>
      <c r="H64" s="2287">
        <f t="shared" si="16"/>
        <v>3.0000000000000001E-3</v>
      </c>
      <c r="I64" s="2288">
        <v>0.05</v>
      </c>
      <c r="J64" s="2289">
        <f t="shared" si="17"/>
        <v>0</v>
      </c>
      <c r="K64" s="2289">
        <f t="shared" si="18"/>
        <v>0</v>
      </c>
      <c r="L64" s="2289">
        <v>0</v>
      </c>
      <c r="M64" s="2289">
        <f t="shared" si="19"/>
        <v>0</v>
      </c>
      <c r="N64" s="2289">
        <f t="shared" si="19"/>
        <v>0</v>
      </c>
      <c r="O64" s="1623"/>
      <c r="P64" s="1623"/>
      <c r="Q64" s="3043"/>
      <c r="R64" s="3043"/>
      <c r="S64" s="3043"/>
      <c r="T64" s="3043"/>
      <c r="U64" s="3043"/>
      <c r="V64" s="3043"/>
      <c r="W64" s="3043"/>
      <c r="X64" s="1623"/>
      <c r="Y64" s="1623"/>
      <c r="Z64" s="1623"/>
      <c r="AA64" s="1623"/>
      <c r="AB64" s="1623"/>
      <c r="AC64" s="1623"/>
      <c r="AD64" s="1623"/>
      <c r="AE64" s="1623"/>
      <c r="AF64" s="1623"/>
      <c r="AG64" s="1623"/>
    </row>
    <row r="65" spans="1:33" s="2265" customFormat="1" ht="26.4">
      <c r="A65" s="2278" t="s">
        <v>2662</v>
      </c>
      <c r="B65" s="2295" t="str">
        <f>估价对象房地状况!C21</f>
        <v>估价对象所在区域公共配套设施齐备情况</v>
      </c>
      <c r="C65" s="2166"/>
      <c r="D65" s="2283">
        <f t="shared" si="15"/>
        <v>0</v>
      </c>
      <c r="E65" s="2291"/>
      <c r="F65" s="2285"/>
      <c r="G65" s="2286"/>
      <c r="H65" s="2287">
        <f t="shared" si="16"/>
        <v>3.5999999999999999E-3</v>
      </c>
      <c r="I65" s="2288">
        <v>0.06</v>
      </c>
      <c r="J65" s="2289">
        <f t="shared" si="17"/>
        <v>0</v>
      </c>
      <c r="K65" s="2289">
        <f t="shared" si="18"/>
        <v>0</v>
      </c>
      <c r="L65" s="2289">
        <v>0</v>
      </c>
      <c r="M65" s="2289">
        <f t="shared" si="19"/>
        <v>0</v>
      </c>
      <c r="N65" s="2289">
        <f t="shared" si="19"/>
        <v>0</v>
      </c>
      <c r="O65" s="1623"/>
      <c r="P65" s="1623"/>
      <c r="Q65" s="3043"/>
      <c r="R65" s="3043"/>
      <c r="S65" s="3043"/>
      <c r="T65" s="3043"/>
      <c r="U65" s="3043"/>
      <c r="V65" s="3043"/>
      <c r="W65" s="3043"/>
      <c r="X65" s="1623"/>
      <c r="Y65" s="1623"/>
      <c r="Z65" s="1623"/>
      <c r="AA65" s="1623"/>
      <c r="AB65" s="1623"/>
      <c r="AC65" s="1623"/>
      <c r="AD65" s="1623"/>
      <c r="AE65" s="1623"/>
      <c r="AF65" s="1623"/>
      <c r="AG65" s="1623"/>
    </row>
    <row r="66" spans="1:33" s="2265" customFormat="1" ht="26.4">
      <c r="A66" s="2278" t="s">
        <v>2663</v>
      </c>
      <c r="B66" s="2295" t="str">
        <f>估价对象房地状况!C22</f>
        <v>估价对象所在区域基础设施水平</v>
      </c>
      <c r="C66" s="2166"/>
      <c r="D66" s="2283">
        <f t="shared" si="15"/>
        <v>0</v>
      </c>
      <c r="E66" s="2291"/>
      <c r="F66" s="2285"/>
      <c r="G66" s="2286"/>
      <c r="H66" s="2287">
        <f t="shared" si="16"/>
        <v>7.1999999999999998E-3</v>
      </c>
      <c r="I66" s="2288">
        <v>0.12</v>
      </c>
      <c r="J66" s="2289">
        <f t="shared" si="17"/>
        <v>0</v>
      </c>
      <c r="K66" s="2289">
        <f t="shared" si="18"/>
        <v>0</v>
      </c>
      <c r="L66" s="2289">
        <v>0</v>
      </c>
      <c r="M66" s="2289">
        <f t="shared" si="19"/>
        <v>0</v>
      </c>
      <c r="N66" s="2289">
        <f t="shared" si="19"/>
        <v>0</v>
      </c>
      <c r="O66" s="1623"/>
      <c r="P66" s="1623"/>
      <c r="Q66" s="3043"/>
      <c r="R66" s="3043"/>
      <c r="S66" s="3043"/>
      <c r="T66" s="3043"/>
      <c r="U66" s="3043"/>
      <c r="V66" s="3043"/>
      <c r="W66" s="3043"/>
      <c r="X66" s="1623"/>
      <c r="Y66" s="1623"/>
      <c r="Z66" s="1623"/>
      <c r="AA66" s="1623"/>
      <c r="AB66" s="1623"/>
      <c r="AC66" s="1623"/>
      <c r="AD66" s="1623"/>
      <c r="AE66" s="1623"/>
      <c r="AF66" s="1623"/>
      <c r="AG66" s="1623"/>
    </row>
    <row r="67" spans="1:33" s="2265" customFormat="1" ht="40.200000000000003" thickBot="1">
      <c r="A67" s="2296" t="s">
        <v>2664</v>
      </c>
      <c r="B67" s="2301" t="str">
        <f>估价对象房地状况!C20</f>
        <v>区域自然环境：；人文环境；综合评价环境状况一般</v>
      </c>
      <c r="C67" s="2166"/>
      <c r="D67" s="2283">
        <f t="shared" si="15"/>
        <v>0</v>
      </c>
      <c r="E67" s="2298"/>
      <c r="F67" s="2285"/>
      <c r="G67" s="2286"/>
      <c r="H67" s="2287">
        <f t="shared" si="16"/>
        <v>3.5999999999999999E-3</v>
      </c>
      <c r="I67" s="2299">
        <v>0.06</v>
      </c>
      <c r="J67" s="2289">
        <f t="shared" si="17"/>
        <v>0</v>
      </c>
      <c r="K67" s="2289">
        <f t="shared" si="18"/>
        <v>0</v>
      </c>
      <c r="L67" s="2289">
        <v>0</v>
      </c>
      <c r="M67" s="2289">
        <f t="shared" si="19"/>
        <v>0</v>
      </c>
      <c r="N67" s="2289">
        <f t="shared" si="19"/>
        <v>0</v>
      </c>
      <c r="O67" s="1623"/>
      <c r="P67" s="1623"/>
      <c r="Q67" s="3043"/>
      <c r="R67" s="3043"/>
      <c r="S67" s="3043"/>
      <c r="T67" s="3043"/>
      <c r="U67" s="3043"/>
      <c r="V67" s="3043"/>
      <c r="W67" s="3043"/>
      <c r="X67" s="1623"/>
      <c r="Y67" s="1623"/>
      <c r="Z67" s="1623"/>
      <c r="AA67" s="1623"/>
      <c r="AB67" s="1623"/>
      <c r="AC67" s="1623"/>
      <c r="AD67" s="1623"/>
      <c r="AE67" s="1623"/>
      <c r="AF67" s="1623"/>
      <c r="AG67" s="1623"/>
    </row>
    <row r="68" spans="1:33" s="2265" customFormat="1" ht="14.4">
      <c r="A68" s="2271" t="s">
        <v>2670</v>
      </c>
      <c r="B68" s="2300">
        <f>1+E70</f>
        <v>1</v>
      </c>
      <c r="C68" s="2274"/>
      <c r="D68" s="2274"/>
      <c r="E68" s="2275"/>
      <c r="F68" s="2276"/>
      <c r="G68" s="608"/>
      <c r="H68" s="608"/>
      <c r="I68" s="608"/>
      <c r="J68" s="608"/>
      <c r="K68" s="608"/>
      <c r="L68" s="608"/>
      <c r="M68" s="608"/>
      <c r="N68" s="608"/>
      <c r="O68" s="1623"/>
      <c r="P68" s="1623"/>
      <c r="Q68" s="3043"/>
      <c r="R68" s="3043"/>
      <c r="S68" s="3043"/>
      <c r="T68" s="3043"/>
      <c r="U68" s="3043"/>
      <c r="V68" s="3043"/>
      <c r="W68" s="3043"/>
      <c r="X68" s="1623"/>
      <c r="Y68" s="1623"/>
      <c r="Z68" s="1623"/>
      <c r="AA68" s="1623"/>
      <c r="AB68" s="1623"/>
      <c r="AC68" s="1623"/>
      <c r="AD68" s="1623"/>
      <c r="AE68" s="1623"/>
      <c r="AF68" s="1623"/>
      <c r="AG68" s="1623"/>
    </row>
    <row r="69" spans="1:33" s="2265" customFormat="1" ht="25.2">
      <c r="A69" s="2278" t="s">
        <v>2640</v>
      </c>
      <c r="B69" s="2290"/>
      <c r="C69" s="2279" t="s">
        <v>2642</v>
      </c>
      <c r="D69" s="2279" t="s">
        <v>2643</v>
      </c>
      <c r="E69" s="2280" t="s">
        <v>2644</v>
      </c>
      <c r="F69" s="2230" t="s">
        <v>2645</v>
      </c>
      <c r="G69" s="2279" t="s">
        <v>2666</v>
      </c>
      <c r="H69" s="2281" t="s">
        <v>2667</v>
      </c>
      <c r="I69" s="2279" t="s">
        <v>2668</v>
      </c>
      <c r="J69" s="1906" t="s">
        <v>2308</v>
      </c>
      <c r="K69" s="1906" t="s">
        <v>2309</v>
      </c>
      <c r="L69" s="1906" t="s">
        <v>2310</v>
      </c>
      <c r="M69" s="1906" t="s">
        <v>2311</v>
      </c>
      <c r="N69" s="1906" t="s">
        <v>2312</v>
      </c>
      <c r="O69" s="1623"/>
      <c r="P69" s="1623"/>
      <c r="Q69" s="3043"/>
      <c r="R69" s="3043"/>
      <c r="S69" s="3043"/>
      <c r="T69" s="3043"/>
      <c r="U69" s="3043"/>
      <c r="V69" s="3043"/>
      <c r="W69" s="3043"/>
      <c r="X69" s="1623"/>
      <c r="Y69" s="1623"/>
      <c r="Z69" s="1623"/>
      <c r="AA69" s="1623"/>
      <c r="AB69" s="1623"/>
      <c r="AC69" s="1623"/>
      <c r="AD69" s="1623"/>
      <c r="AE69" s="1623"/>
      <c r="AF69" s="1623"/>
      <c r="AG69" s="1623"/>
    </row>
    <row r="70" spans="1:33" s="2265" customFormat="1" ht="66">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43"/>
      <c r="R70" s="3043"/>
      <c r="S70" s="3043"/>
      <c r="T70" s="3043"/>
      <c r="U70" s="3043"/>
      <c r="V70" s="3043"/>
      <c r="W70" s="3043"/>
      <c r="X70" s="1623"/>
      <c r="Y70" s="1623"/>
      <c r="Z70" s="1623"/>
      <c r="AA70" s="1623"/>
      <c r="AB70" s="1623"/>
      <c r="AC70" s="1623"/>
      <c r="AD70" s="1623"/>
      <c r="AE70" s="1623"/>
      <c r="AF70" s="1623"/>
      <c r="AG70" s="1623"/>
    </row>
    <row r="71" spans="1:33" s="2265" customFormat="1" ht="66">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43"/>
      <c r="R71" s="3043"/>
      <c r="S71" s="3043"/>
      <c r="T71" s="3043"/>
      <c r="U71" s="3043"/>
      <c r="V71" s="3043"/>
      <c r="W71" s="3043"/>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43"/>
      <c r="R72" s="3043"/>
      <c r="S72" s="3043"/>
      <c r="T72" s="3043"/>
      <c r="U72" s="3043"/>
      <c r="V72" s="3043"/>
      <c r="W72" s="3043"/>
      <c r="X72" s="1623"/>
      <c r="Y72" s="1623"/>
      <c r="Z72" s="1623"/>
      <c r="AA72" s="1623"/>
      <c r="AB72" s="1623"/>
      <c r="AC72" s="1623"/>
      <c r="AD72" s="1623"/>
      <c r="AE72" s="1623"/>
      <c r="AF72" s="1623"/>
      <c r="AG72" s="1623"/>
    </row>
    <row r="73" spans="1:33" s="2265" customFormat="1" ht="13.8">
      <c r="A73" s="2278" t="s">
        <v>2672</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43"/>
      <c r="R73" s="3043"/>
      <c r="S73" s="3043"/>
      <c r="T73" s="3043"/>
      <c r="U73" s="3043"/>
      <c r="V73" s="3043"/>
      <c r="W73" s="3043"/>
      <c r="X73" s="1623"/>
      <c r="Y73" s="1623"/>
      <c r="Z73" s="1623"/>
      <c r="AA73" s="1623"/>
      <c r="AB73" s="1623"/>
      <c r="AC73" s="1623"/>
      <c r="AD73" s="1623"/>
      <c r="AE73" s="1623"/>
      <c r="AF73" s="1623"/>
      <c r="AG73" s="1623"/>
    </row>
    <row r="74" spans="1:33" s="2265" customFormat="1" ht="26.4">
      <c r="A74" s="2278" t="s">
        <v>2662</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43"/>
      <c r="R74" s="3043"/>
      <c r="S74" s="3043"/>
      <c r="T74" s="3043"/>
      <c r="U74" s="3043"/>
      <c r="V74" s="3043"/>
      <c r="W74" s="3043"/>
      <c r="X74" s="1623"/>
      <c r="Y74" s="1623"/>
      <c r="Z74" s="1623"/>
      <c r="AA74" s="1623"/>
      <c r="AB74" s="1623"/>
      <c r="AC74" s="1623"/>
      <c r="AD74" s="1623"/>
      <c r="AE74" s="1623"/>
      <c r="AF74" s="1623"/>
      <c r="AG74" s="1623"/>
    </row>
    <row r="75" spans="1:33" s="2265" customFormat="1" ht="26.4">
      <c r="A75" s="2278" t="s">
        <v>2663</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43"/>
      <c r="R75" s="3043"/>
      <c r="S75" s="3043"/>
      <c r="T75" s="3043"/>
      <c r="U75" s="3043"/>
      <c r="V75" s="3043"/>
      <c r="W75" s="3043"/>
      <c r="X75" s="1623"/>
      <c r="Y75" s="1623"/>
      <c r="Z75" s="1623"/>
      <c r="AA75" s="1623"/>
      <c r="AB75" s="1623"/>
      <c r="AC75" s="1623"/>
      <c r="AD75" s="1623"/>
      <c r="AE75" s="1623"/>
      <c r="AF75" s="1623"/>
      <c r="AG75" s="1623"/>
    </row>
    <row r="76" spans="1:33" ht="36">
      <c r="A76" s="2278" t="s">
        <v>2660</v>
      </c>
      <c r="B76" s="2293" t="s">
        <v>2661</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1"/>
      <c r="R76" s="3051"/>
      <c r="S76" s="3051"/>
      <c r="T76" s="3051"/>
      <c r="U76" s="3051"/>
      <c r="V76" s="3051"/>
      <c r="W76" s="3051"/>
      <c r="AA76" s="1624"/>
      <c r="AG76" s="2265"/>
    </row>
    <row r="77" spans="1:33" ht="39.6">
      <c r="A77" s="2278" t="s">
        <v>2664</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1"/>
      <c r="R77" s="3051"/>
      <c r="S77" s="3051"/>
      <c r="T77" s="3051"/>
      <c r="U77" s="3051"/>
      <c r="V77" s="3051"/>
      <c r="W77" s="3051"/>
      <c r="AA77" s="1624"/>
      <c r="AG77" s="2265"/>
    </row>
    <row r="78" spans="1:33" ht="36.6" thickBot="1">
      <c r="A78" s="2296" t="s">
        <v>2673</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1"/>
      <c r="R78" s="3051"/>
      <c r="S78" s="3051"/>
      <c r="T78" s="3051"/>
      <c r="U78" s="3051"/>
      <c r="V78" s="3051"/>
      <c r="W78" s="3051"/>
      <c r="AA78" s="1624"/>
      <c r="AG78" s="2265"/>
    </row>
    <row r="79" spans="1:33" ht="14.4">
      <c r="A79" s="2271" t="s">
        <v>2674</v>
      </c>
      <c r="B79" s="2300">
        <f>1+E81</f>
        <v>1</v>
      </c>
      <c r="C79" s="2274"/>
      <c r="D79" s="2274"/>
      <c r="E79" s="2275"/>
      <c r="F79" s="2276"/>
      <c r="G79" s="608"/>
      <c r="H79" s="608"/>
      <c r="I79" s="608"/>
      <c r="J79" s="608"/>
      <c r="K79" s="608"/>
      <c r="L79" s="608"/>
      <c r="M79" s="608"/>
      <c r="N79" s="608"/>
      <c r="Q79" s="3051"/>
      <c r="R79" s="3051"/>
      <c r="S79" s="3051"/>
      <c r="T79" s="3051"/>
      <c r="U79" s="3051"/>
      <c r="V79" s="3051"/>
      <c r="W79" s="3051"/>
      <c r="AA79" s="1624"/>
      <c r="AG79" s="2265"/>
    </row>
    <row r="80" spans="1:33" ht="25.2">
      <c r="A80" s="2278" t="s">
        <v>2640</v>
      </c>
      <c r="B80" s="2290"/>
      <c r="C80" s="2279" t="s">
        <v>2642</v>
      </c>
      <c r="D80" s="2279" t="s">
        <v>2643</v>
      </c>
      <c r="E80" s="2280" t="s">
        <v>2644</v>
      </c>
      <c r="F80" s="2230" t="s">
        <v>2645</v>
      </c>
      <c r="G80" s="2279" t="s">
        <v>2666</v>
      </c>
      <c r="H80" s="2281" t="s">
        <v>2667</v>
      </c>
      <c r="I80" s="2279" t="s">
        <v>2668</v>
      </c>
      <c r="J80" s="1906" t="s">
        <v>2308</v>
      </c>
      <c r="K80" s="1906" t="s">
        <v>2309</v>
      </c>
      <c r="L80" s="1906" t="s">
        <v>2310</v>
      </c>
      <c r="M80" s="1906" t="s">
        <v>2311</v>
      </c>
      <c r="N80" s="1906" t="s">
        <v>2312</v>
      </c>
      <c r="Q80" s="3051"/>
      <c r="R80" s="3051"/>
      <c r="S80" s="3051"/>
      <c r="T80" s="3051"/>
      <c r="U80" s="3051"/>
      <c r="V80" s="3051"/>
      <c r="W80" s="3051"/>
      <c r="AA80" s="1624"/>
      <c r="AG80" s="2265"/>
    </row>
    <row r="81" spans="1:33" ht="39.6">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1"/>
      <c r="R81" s="3051"/>
      <c r="S81" s="3051"/>
      <c r="T81" s="3051"/>
      <c r="U81" s="3051"/>
      <c r="V81" s="3051"/>
      <c r="W81" s="3051"/>
      <c r="AA81" s="1624"/>
      <c r="AG81" s="2265"/>
    </row>
    <row r="82" spans="1:33" ht="66">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1"/>
      <c r="R82" s="3051"/>
      <c r="S82" s="3051"/>
      <c r="T82" s="3051"/>
      <c r="U82" s="3051"/>
      <c r="V82" s="3051"/>
      <c r="W82" s="3051"/>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1"/>
      <c r="R83" s="3051"/>
      <c r="S83" s="3051"/>
      <c r="T83" s="3051"/>
      <c r="U83" s="3051"/>
      <c r="V83" s="3051"/>
      <c r="W83" s="3051"/>
      <c r="AA83" s="1624"/>
      <c r="AG83" s="2265"/>
    </row>
    <row r="84" spans="1:33" ht="13.8">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1"/>
      <c r="R84" s="3051"/>
      <c r="S84" s="3051"/>
      <c r="T84" s="3051"/>
      <c r="U84" s="3051"/>
      <c r="V84" s="3051"/>
      <c r="W84" s="3051"/>
      <c r="AA84" s="1624"/>
      <c r="AG84" s="2265"/>
    </row>
    <row r="85" spans="1:33" ht="26.4">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1"/>
      <c r="R85" s="3051"/>
      <c r="S85" s="3051"/>
      <c r="T85" s="3051"/>
      <c r="U85" s="3051"/>
      <c r="V85" s="3051"/>
      <c r="W85" s="3051"/>
      <c r="AA85" s="1624"/>
      <c r="AG85" s="2265"/>
    </row>
    <row r="86" spans="1:33" ht="26.4">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1"/>
      <c r="R86" s="3051"/>
      <c r="S86" s="3051"/>
      <c r="T86" s="3051"/>
      <c r="U86" s="3051"/>
      <c r="V86" s="3051"/>
      <c r="W86" s="3051"/>
      <c r="AA86" s="1624"/>
      <c r="AG86" s="2265"/>
    </row>
    <row r="87" spans="1:33" ht="36">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1"/>
      <c r="R87" s="3051"/>
      <c r="S87" s="3051"/>
      <c r="T87" s="3051"/>
      <c r="U87" s="3051"/>
      <c r="V87" s="3051"/>
      <c r="W87" s="3051"/>
      <c r="AA87" s="1624"/>
      <c r="AG87" s="2265"/>
    </row>
    <row r="88" spans="1:33" ht="53.4"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1"/>
      <c r="R88" s="3051"/>
      <c r="S88" s="3051"/>
      <c r="T88" s="3051"/>
      <c r="U88" s="3051"/>
      <c r="V88" s="3051"/>
      <c r="W88" s="3051"/>
      <c r="AA88" s="1624"/>
      <c r="AG88" s="2265"/>
    </row>
    <row r="89" spans="1:33">
      <c r="Q89" s="3051"/>
      <c r="R89" s="3051"/>
      <c r="S89" s="3051"/>
      <c r="T89" s="3051"/>
      <c r="U89" s="3051"/>
      <c r="V89" s="3051"/>
      <c r="W89" s="3051"/>
    </row>
    <row r="90" spans="1:33">
      <c r="A90" s="3543" t="s">
        <v>2677</v>
      </c>
      <c r="B90" s="3543"/>
      <c r="C90" s="3543"/>
      <c r="D90" s="3543"/>
      <c r="E90" s="3543"/>
      <c r="F90" s="3543"/>
      <c r="G90" s="3543"/>
      <c r="H90" s="3543"/>
      <c r="I90" s="3543"/>
      <c r="J90" s="3543"/>
      <c r="K90" s="2306"/>
      <c r="L90" s="2306"/>
      <c r="M90" s="2306"/>
      <c r="N90" s="2306"/>
      <c r="Q90" s="3051"/>
      <c r="R90" s="3051"/>
      <c r="S90" s="3051"/>
      <c r="T90" s="3051"/>
      <c r="U90" s="3051"/>
      <c r="V90" s="3051"/>
      <c r="W90" s="3051"/>
    </row>
    <row r="91" spans="1:33">
      <c r="A91" s="3545" t="s">
        <v>2678</v>
      </c>
      <c r="B91" s="3545" t="s">
        <v>2679</v>
      </c>
      <c r="C91" s="2245" t="s">
        <v>2680</v>
      </c>
      <c r="D91" s="2246"/>
      <c r="E91" s="2246"/>
      <c r="F91" s="2246"/>
      <c r="G91" s="2246"/>
      <c r="H91" s="2246"/>
      <c r="I91" s="2246"/>
      <c r="J91" s="2308"/>
      <c r="K91" s="2068"/>
      <c r="L91" s="2068"/>
      <c r="M91" s="2068"/>
      <c r="N91" s="2068"/>
      <c r="Q91" s="3051"/>
      <c r="R91" s="3051"/>
      <c r="S91" s="3051"/>
      <c r="T91" s="3051"/>
      <c r="U91" s="3051"/>
      <c r="V91" s="3051"/>
      <c r="W91" s="3051"/>
    </row>
    <row r="92" spans="1:33">
      <c r="A92" s="3545"/>
      <c r="B92" s="3545"/>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1"/>
      <c r="R92" s="3051"/>
      <c r="S92" s="3051"/>
      <c r="T92" s="3051"/>
      <c r="U92" s="3051"/>
      <c r="V92" s="3051"/>
      <c r="W92" s="3051"/>
    </row>
    <row r="93" spans="1:33">
      <c r="A93" s="3546"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1"/>
      <c r="R93" s="3051"/>
      <c r="S93" s="3051"/>
      <c r="T93" s="3051"/>
      <c r="U93" s="3051"/>
      <c r="V93" s="3051"/>
      <c r="W93" s="3051"/>
    </row>
    <row r="94" spans="1:33">
      <c r="A94" s="3547"/>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1"/>
      <c r="R94" s="3051"/>
      <c r="S94" s="3051"/>
      <c r="T94" s="3051"/>
      <c r="U94" s="3051"/>
      <c r="V94" s="3051"/>
      <c r="W94" s="3051"/>
    </row>
    <row r="95" spans="1:33">
      <c r="A95" s="3547"/>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1"/>
      <c r="R95" s="3051"/>
      <c r="S95" s="3051"/>
      <c r="T95" s="3051"/>
      <c r="U95" s="3051"/>
      <c r="V95" s="3051"/>
      <c r="W95" s="3051"/>
    </row>
    <row r="96" spans="1:33">
      <c r="A96" s="3547"/>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1"/>
      <c r="R96" s="3051"/>
      <c r="S96" s="3051"/>
      <c r="T96" s="3051"/>
      <c r="U96" s="3051"/>
      <c r="V96" s="3051"/>
      <c r="W96" s="3051"/>
    </row>
    <row r="97" spans="1:23">
      <c r="A97" s="3547"/>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1"/>
      <c r="R97" s="3051"/>
      <c r="S97" s="3051"/>
      <c r="T97" s="3051"/>
      <c r="U97" s="3051"/>
      <c r="V97" s="3051"/>
      <c r="W97" s="3051"/>
    </row>
    <row r="98" spans="1:23">
      <c r="A98" s="3547"/>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1"/>
      <c r="R98" s="3051"/>
      <c r="S98" s="3051"/>
      <c r="T98" s="3051"/>
      <c r="U98" s="3051"/>
      <c r="V98" s="3051"/>
      <c r="W98" s="3051"/>
    </row>
    <row r="99" spans="1:23">
      <c r="A99" s="3547"/>
      <c r="B99" s="2309" t="s">
        <v>2549</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1"/>
      <c r="R99" s="3051"/>
      <c r="S99" s="3051"/>
      <c r="T99" s="3051"/>
      <c r="U99" s="3051"/>
      <c r="V99" s="3051"/>
      <c r="W99" s="3051"/>
    </row>
    <row r="100" spans="1:23">
      <c r="A100" s="3548"/>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1"/>
      <c r="R100" s="3051"/>
      <c r="S100" s="3051"/>
      <c r="T100" s="3051"/>
      <c r="U100" s="3051"/>
      <c r="V100" s="3051"/>
      <c r="W100" s="3051"/>
    </row>
    <row r="101" spans="1:23">
      <c r="A101" s="3546" t="s">
        <v>2682</v>
      </c>
      <c r="B101" s="2313" t="s">
        <v>2683</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1"/>
      <c r="R101" s="3051"/>
      <c r="S101" s="3051"/>
      <c r="T101" s="3051"/>
      <c r="U101" s="3051"/>
      <c r="V101" s="3051"/>
      <c r="W101" s="3051"/>
    </row>
    <row r="102" spans="1:23">
      <c r="A102" s="3547"/>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1"/>
      <c r="R102" s="3051"/>
      <c r="S102" s="3051"/>
      <c r="T102" s="3051"/>
      <c r="U102" s="3051"/>
      <c r="V102" s="3051"/>
      <c r="W102" s="3051"/>
    </row>
    <row r="103" spans="1:23">
      <c r="A103" s="3547"/>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1"/>
      <c r="R103" s="3051"/>
      <c r="S103" s="3051"/>
      <c r="T103" s="3051"/>
      <c r="U103" s="3051"/>
      <c r="V103" s="3051"/>
      <c r="W103" s="3051"/>
    </row>
    <row r="104" spans="1:23">
      <c r="A104" s="3547"/>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1"/>
      <c r="R104" s="3051"/>
      <c r="S104" s="3051"/>
      <c r="T104" s="3051"/>
      <c r="U104" s="3051"/>
      <c r="V104" s="3051"/>
      <c r="W104" s="3051"/>
    </row>
    <row r="105" spans="1:23">
      <c r="A105" s="3547"/>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1"/>
      <c r="R105" s="3051"/>
      <c r="S105" s="3051"/>
      <c r="T105" s="3051"/>
      <c r="U105" s="3051"/>
      <c r="V105" s="3051"/>
      <c r="W105" s="3051"/>
    </row>
    <row r="106" spans="1:23">
      <c r="A106" s="3547"/>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1"/>
      <c r="R106" s="3051"/>
      <c r="S106" s="3051"/>
      <c r="T106" s="3051"/>
      <c r="U106" s="3051"/>
      <c r="V106" s="3051"/>
      <c r="W106" s="3051"/>
    </row>
    <row r="107" spans="1:23">
      <c r="A107" s="3547"/>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1"/>
      <c r="R107" s="3051"/>
      <c r="S107" s="3051"/>
      <c r="T107" s="3051"/>
      <c r="U107" s="3051"/>
      <c r="V107" s="3051"/>
      <c r="W107" s="3051"/>
    </row>
    <row r="108" spans="1:23">
      <c r="A108" s="3547"/>
      <c r="B108" s="3549" t="s">
        <v>2684</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1"/>
      <c r="R108" s="3051"/>
      <c r="S108" s="3051"/>
      <c r="T108" s="3051"/>
      <c r="U108" s="3051"/>
      <c r="V108" s="3051"/>
      <c r="W108" s="3051"/>
    </row>
    <row r="109" spans="1:23">
      <c r="A109" s="3548"/>
      <c r="B109" s="3550"/>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1"/>
      <c r="R109" s="3051"/>
      <c r="S109" s="3051"/>
      <c r="T109" s="3051"/>
      <c r="U109" s="3051"/>
      <c r="V109" s="3051"/>
      <c r="W109" s="3051"/>
    </row>
    <row r="110" spans="1:23">
      <c r="A110" s="3544" t="s">
        <v>2685</v>
      </c>
      <c r="B110" s="3544"/>
      <c r="C110" s="3544"/>
      <c r="D110" s="3544"/>
      <c r="E110" s="3544"/>
      <c r="F110" s="3544"/>
      <c r="G110" s="3544"/>
      <c r="H110" s="3544"/>
      <c r="I110" s="3544"/>
      <c r="J110" s="3544"/>
      <c r="K110" s="2080"/>
      <c r="L110" s="2080"/>
      <c r="M110" s="2080"/>
      <c r="N110" s="2080"/>
      <c r="Q110" s="3051"/>
      <c r="R110" s="3051"/>
      <c r="S110" s="3051"/>
      <c r="T110" s="3051"/>
      <c r="U110" s="3051"/>
      <c r="V110" s="3051"/>
      <c r="W110" s="3051"/>
    </row>
    <row r="112" spans="1:23" ht="13.8" thickBot="1"/>
    <row r="113" spans="1:13" ht="25.8" thickBot="1">
      <c r="A113" s="2315" t="s">
        <v>2686</v>
      </c>
      <c r="B113" s="2316">
        <f>G3</f>
        <v>2.5</v>
      </c>
      <c r="C113" s="2317" t="s">
        <v>2687</v>
      </c>
      <c r="D113" s="2318">
        <f>SUMPRODUCT((A115:A118=F113)*(B114:M114=H113)*B115:M118)</f>
        <v>0.82420000000000004</v>
      </c>
      <c r="E113" s="1602" t="s">
        <v>2573</v>
      </c>
      <c r="F113" s="2319" t="str">
        <f>E2</f>
        <v>办公</v>
      </c>
      <c r="G113" s="1602" t="s">
        <v>2507</v>
      </c>
      <c r="H113" s="2319" t="str">
        <f>G2</f>
        <v>六级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2574</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2575</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2576</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8" thickBot="1">
      <c r="A118" s="2330" t="s">
        <v>2577</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56" t="s">
        <v>779</v>
      </c>
      <c r="B1" s="3556"/>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56" t="s">
        <v>105</v>
      </c>
      <c r="B1" s="3556"/>
      <c r="C1" s="3556"/>
      <c r="D1" s="3556"/>
      <c r="E1" s="3556"/>
      <c r="F1" s="355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57" t="s">
        <v>118</v>
      </c>
      <c r="B2" s="3557"/>
      <c r="C2" s="3557"/>
      <c r="D2" s="3557"/>
      <c r="E2" s="3557"/>
      <c r="F2" s="355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9160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0" t="s">
        <v>132</v>
      </c>
      <c r="B18" s="768" t="s">
        <v>517</v>
      </c>
      <c r="C18" s="769" t="s">
        <v>518</v>
      </c>
      <c r="D18" s="770"/>
      <c r="E18" s="768">
        <v>1</v>
      </c>
      <c r="F18" s="771" t="s">
        <v>519</v>
      </c>
      <c r="G18" s="772"/>
      <c r="H18" s="764"/>
      <c r="I18" s="764"/>
    </row>
    <row r="19" spans="1:9" s="773" customFormat="1" ht="19.5" customHeight="1">
      <c r="A19" s="3560"/>
      <c r="B19" s="3560" t="s">
        <v>520</v>
      </c>
      <c r="C19" s="769" t="s">
        <v>521</v>
      </c>
      <c r="D19" s="770"/>
      <c r="E19" s="768">
        <v>0.9</v>
      </c>
      <c r="F19" s="771" t="s">
        <v>522</v>
      </c>
      <c r="G19" s="772"/>
      <c r="H19" s="764"/>
      <c r="I19" s="764"/>
    </row>
    <row r="20" spans="1:9" s="773" customFormat="1" ht="19.5" customHeight="1">
      <c r="A20" s="3560"/>
      <c r="B20" s="3560"/>
      <c r="C20" s="769" t="s">
        <v>523</v>
      </c>
      <c r="D20" s="770"/>
      <c r="E20" s="768">
        <v>1.1000000000000001</v>
      </c>
      <c r="F20" s="771" t="s">
        <v>524</v>
      </c>
      <c r="G20" s="772"/>
      <c r="H20" s="764"/>
      <c r="I20" s="764"/>
    </row>
    <row r="21" spans="1:9" s="773" customFormat="1" ht="19.5" customHeight="1">
      <c r="A21" s="3560"/>
      <c r="B21" s="3560"/>
      <c r="C21" s="769" t="s">
        <v>525</v>
      </c>
      <c r="D21" s="770"/>
      <c r="E21" s="768">
        <v>0.8</v>
      </c>
      <c r="F21" s="771" t="s">
        <v>526</v>
      </c>
      <c r="G21" s="772"/>
      <c r="H21" s="764"/>
      <c r="I21" s="764"/>
    </row>
    <row r="22" spans="1:9" s="773" customFormat="1" ht="19.5" customHeight="1">
      <c r="A22" s="3560"/>
      <c r="B22" s="3560"/>
      <c r="C22" s="769" t="s">
        <v>527</v>
      </c>
      <c r="D22" s="770"/>
      <c r="E22" s="768">
        <v>0.5</v>
      </c>
      <c r="F22" s="771"/>
      <c r="G22" s="772"/>
      <c r="H22" s="764"/>
      <c r="I22" s="764"/>
    </row>
    <row r="23" spans="1:9" s="773" customFormat="1" ht="19.5" customHeight="1">
      <c r="A23" s="3560" t="s">
        <v>133</v>
      </c>
      <c r="B23" s="768" t="s">
        <v>517</v>
      </c>
      <c r="C23" s="769" t="s">
        <v>528</v>
      </c>
      <c r="D23" s="770"/>
      <c r="E23" s="768">
        <v>1</v>
      </c>
      <c r="F23" s="771" t="s">
        <v>529</v>
      </c>
      <c r="G23" s="772"/>
      <c r="H23" s="764"/>
      <c r="I23" s="764"/>
    </row>
    <row r="24" spans="1:9" s="773" customFormat="1" ht="19.5" customHeight="1">
      <c r="A24" s="3560"/>
      <c r="B24" s="3560" t="s">
        <v>520</v>
      </c>
      <c r="C24" s="769" t="s">
        <v>530</v>
      </c>
      <c r="D24" s="770"/>
      <c r="E24" s="768">
        <v>0.5</v>
      </c>
      <c r="F24" s="771"/>
      <c r="G24" s="772"/>
      <c r="H24" s="764"/>
      <c r="I24" s="764"/>
    </row>
    <row r="25" spans="1:9" s="773" customFormat="1" ht="19.5" customHeight="1">
      <c r="A25" s="3560"/>
      <c r="B25" s="3560"/>
      <c r="C25" s="769" t="s">
        <v>531</v>
      </c>
      <c r="D25" s="770"/>
      <c r="E25" s="768">
        <v>1.1000000000000001</v>
      </c>
      <c r="F25" s="771"/>
      <c r="G25" s="772"/>
      <c r="H25" s="764"/>
      <c r="I25" s="764"/>
    </row>
    <row r="26" spans="1:9" s="773" customFormat="1" ht="19.5" customHeight="1">
      <c r="A26" s="3560"/>
      <c r="B26" s="3560"/>
      <c r="C26" s="769" t="s">
        <v>532</v>
      </c>
      <c r="D26" s="770"/>
      <c r="E26" s="768">
        <v>1.1000000000000001</v>
      </c>
      <c r="F26" s="771"/>
      <c r="G26" s="772"/>
      <c r="H26" s="764"/>
      <c r="I26" s="764"/>
    </row>
    <row r="27" spans="1:9" s="773" customFormat="1" ht="19.5" customHeight="1">
      <c r="A27" s="3560"/>
      <c r="B27" s="3560"/>
      <c r="C27" s="769" t="s">
        <v>533</v>
      </c>
      <c r="D27" s="770"/>
      <c r="E27" s="768">
        <v>0.9</v>
      </c>
      <c r="F27" s="771" t="s">
        <v>534</v>
      </c>
      <c r="G27" s="772"/>
      <c r="H27" s="764"/>
      <c r="I27" s="764"/>
    </row>
    <row r="28" spans="1:9" s="773" customFormat="1" ht="19.5" customHeight="1">
      <c r="A28" s="3560"/>
      <c r="B28" s="3560"/>
      <c r="C28" s="769" t="s">
        <v>535</v>
      </c>
      <c r="D28" s="770"/>
      <c r="E28" s="768">
        <v>0.9</v>
      </c>
      <c r="F28" s="771" t="s">
        <v>536</v>
      </c>
      <c r="G28" s="772"/>
      <c r="H28" s="764"/>
      <c r="I28" s="764"/>
    </row>
    <row r="29" spans="1:9" s="773" customFormat="1" ht="19.5" customHeight="1">
      <c r="A29" s="3560"/>
      <c r="B29" s="3560"/>
      <c r="C29" s="769" t="s">
        <v>537</v>
      </c>
      <c r="D29" s="770"/>
      <c r="E29" s="768">
        <v>0.9</v>
      </c>
      <c r="F29" s="771" t="s">
        <v>538</v>
      </c>
      <c r="G29" s="772"/>
      <c r="H29" s="764"/>
      <c r="I29" s="764"/>
    </row>
    <row r="30" spans="1:9" s="773" customFormat="1" ht="19.5" customHeight="1">
      <c r="A30" s="3560"/>
      <c r="B30" s="3560"/>
      <c r="C30" s="769" t="s">
        <v>539</v>
      </c>
      <c r="D30" s="770"/>
      <c r="E30" s="768">
        <v>0.9</v>
      </c>
      <c r="F30" s="771" t="s">
        <v>540</v>
      </c>
      <c r="G30" s="772"/>
      <c r="H30" s="764"/>
      <c r="I30" s="764"/>
    </row>
    <row r="31" spans="1:9" s="773" customFormat="1" ht="19.5" customHeight="1">
      <c r="A31" s="3560"/>
      <c r="B31" s="3560"/>
      <c r="C31" s="769" t="s">
        <v>541</v>
      </c>
      <c r="D31" s="770"/>
      <c r="E31" s="768">
        <v>0.8</v>
      </c>
      <c r="F31" s="771" t="s">
        <v>542</v>
      </c>
      <c r="G31" s="772"/>
      <c r="H31" s="764"/>
      <c r="I31" s="764"/>
    </row>
    <row r="32" spans="1:9" s="773" customFormat="1" ht="19.5" customHeight="1">
      <c r="A32" s="3560"/>
      <c r="B32" s="3560"/>
      <c r="C32" s="769" t="s">
        <v>543</v>
      </c>
      <c r="D32" s="770"/>
      <c r="E32" s="768">
        <v>0.8</v>
      </c>
      <c r="F32" s="771" t="s">
        <v>544</v>
      </c>
      <c r="G32" s="772"/>
      <c r="H32" s="764"/>
      <c r="I32" s="764"/>
    </row>
    <row r="33" spans="1:9" s="773" customFormat="1" ht="19.5" customHeight="1">
      <c r="A33" s="3560" t="s">
        <v>134</v>
      </c>
      <c r="B33" s="768" t="s">
        <v>517</v>
      </c>
      <c r="C33" s="769" t="s">
        <v>545</v>
      </c>
      <c r="D33" s="770"/>
      <c r="E33" s="768">
        <v>1</v>
      </c>
      <c r="F33" s="771" t="s">
        <v>546</v>
      </c>
      <c r="G33" s="772"/>
      <c r="H33" s="764"/>
      <c r="I33" s="764"/>
    </row>
    <row r="34" spans="1:9" s="773" customFormat="1" ht="19.5" customHeight="1">
      <c r="A34" s="3560"/>
      <c r="B34" s="768" t="s">
        <v>520</v>
      </c>
      <c r="C34" s="769" t="s">
        <v>547</v>
      </c>
      <c r="D34" s="770"/>
      <c r="E34" s="768">
        <v>1.5</v>
      </c>
      <c r="F34" s="771" t="s">
        <v>548</v>
      </c>
      <c r="G34" s="772"/>
      <c r="H34" s="764"/>
      <c r="I34" s="764"/>
    </row>
    <row r="35" spans="1:9" s="773" customFormat="1" ht="19.5" customHeight="1">
      <c r="A35" s="3560" t="s">
        <v>135</v>
      </c>
      <c r="B35" s="768" t="s">
        <v>517</v>
      </c>
      <c r="C35" s="769" t="s">
        <v>549</v>
      </c>
      <c r="D35" s="770"/>
      <c r="E35" s="768">
        <v>1</v>
      </c>
      <c r="F35" s="771" t="s">
        <v>550</v>
      </c>
      <c r="G35" s="772"/>
      <c r="H35" s="764"/>
      <c r="I35" s="764"/>
    </row>
    <row r="36" spans="1:9" s="773" customFormat="1" ht="19.5" customHeight="1">
      <c r="A36" s="3560"/>
      <c r="B36" s="3560" t="s">
        <v>520</v>
      </c>
      <c r="C36" s="769" t="s">
        <v>551</v>
      </c>
      <c r="D36" s="770"/>
      <c r="E36" s="768">
        <v>1</v>
      </c>
      <c r="F36" s="771" t="s">
        <v>552</v>
      </c>
      <c r="G36" s="772"/>
      <c r="H36" s="764"/>
      <c r="I36" s="764"/>
    </row>
    <row r="37" spans="1:9" s="773" customFormat="1" ht="19.5" customHeight="1">
      <c r="A37" s="3560"/>
      <c r="B37" s="3560"/>
      <c r="C37" s="769" t="s">
        <v>553</v>
      </c>
      <c r="D37" s="770"/>
      <c r="E37" s="768">
        <v>1.5</v>
      </c>
      <c r="F37" s="771" t="s">
        <v>554</v>
      </c>
      <c r="G37" s="772"/>
      <c r="H37" s="764"/>
      <c r="I37" s="764"/>
    </row>
    <row r="38" spans="1:9" s="773" customFormat="1" ht="19.5" customHeight="1">
      <c r="A38" s="3560"/>
      <c r="B38" s="3560"/>
      <c r="C38" s="769" t="s">
        <v>555</v>
      </c>
      <c r="D38" s="770"/>
      <c r="E38" s="768">
        <v>1</v>
      </c>
      <c r="F38" s="771" t="s">
        <v>556</v>
      </c>
      <c r="G38" s="772"/>
      <c r="H38" s="764"/>
      <c r="I38" s="764"/>
    </row>
    <row r="39" spans="1:9" s="773" customFormat="1" ht="19.5" customHeight="1">
      <c r="A39" s="3560"/>
      <c r="B39" s="356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60" t="s">
        <v>571</v>
      </c>
      <c r="C61" s="682" t="s">
        <v>572</v>
      </c>
      <c r="D61" s="682" t="s">
        <v>573</v>
      </c>
      <c r="E61" s="781">
        <v>0.5</v>
      </c>
      <c r="F61" s="768">
        <v>80</v>
      </c>
    </row>
    <row r="62" spans="1:8" s="764" customFormat="1" ht="36">
      <c r="A62" s="768">
        <v>2</v>
      </c>
      <c r="B62" s="3560"/>
      <c r="C62" s="682" t="s">
        <v>574</v>
      </c>
      <c r="D62" s="682" t="s">
        <v>575</v>
      </c>
      <c r="E62" s="781">
        <v>0.5</v>
      </c>
      <c r="F62" s="768">
        <v>80</v>
      </c>
    </row>
    <row r="63" spans="1:8" s="764" customFormat="1" ht="48">
      <c r="A63" s="768">
        <v>3</v>
      </c>
      <c r="B63" s="3560"/>
      <c r="C63" s="682" t="s">
        <v>576</v>
      </c>
      <c r="D63" s="682" t="s">
        <v>577</v>
      </c>
      <c r="E63" s="781">
        <v>0.5</v>
      </c>
      <c r="F63" s="768">
        <v>80</v>
      </c>
    </row>
    <row r="64" spans="1:8" s="764" customFormat="1" ht="48">
      <c r="A64" s="768">
        <v>4</v>
      </c>
      <c r="B64" s="3560"/>
      <c r="C64" s="682" t="s">
        <v>578</v>
      </c>
      <c r="D64" s="682" t="s">
        <v>579</v>
      </c>
      <c r="E64" s="781">
        <v>0.4</v>
      </c>
      <c r="F64" s="768">
        <v>60</v>
      </c>
    </row>
    <row r="65" spans="1:6" s="764" customFormat="1" ht="48">
      <c r="A65" s="768">
        <v>5</v>
      </c>
      <c r="B65" s="3560"/>
      <c r="C65" s="682" t="s">
        <v>580</v>
      </c>
      <c r="D65" s="682" t="s">
        <v>581</v>
      </c>
      <c r="E65" s="781">
        <v>0.2</v>
      </c>
      <c r="F65" s="768">
        <v>30</v>
      </c>
    </row>
    <row r="66" spans="1:6" s="764" customFormat="1" ht="48">
      <c r="A66" s="768">
        <v>6</v>
      </c>
      <c r="B66" s="3560"/>
      <c r="C66" s="682" t="s">
        <v>582</v>
      </c>
      <c r="D66" s="682" t="s">
        <v>583</v>
      </c>
      <c r="E66" s="781">
        <v>0.3</v>
      </c>
      <c r="F66" s="768">
        <v>50</v>
      </c>
    </row>
    <row r="67" spans="1:6" s="764" customFormat="1" ht="48">
      <c r="A67" s="768">
        <v>7</v>
      </c>
      <c r="B67" s="3560"/>
      <c r="C67" s="682" t="s">
        <v>584</v>
      </c>
      <c r="D67" s="682" t="s">
        <v>585</v>
      </c>
      <c r="E67" s="781">
        <v>0.2</v>
      </c>
      <c r="F67" s="768">
        <v>30</v>
      </c>
    </row>
    <row r="68" spans="1:6" s="764" customFormat="1" ht="48">
      <c r="A68" s="768">
        <v>8</v>
      </c>
      <c r="B68" s="3560"/>
      <c r="C68" s="682" t="s">
        <v>586</v>
      </c>
      <c r="D68" s="682" t="s">
        <v>587</v>
      </c>
      <c r="E68" s="781">
        <v>0.2</v>
      </c>
      <c r="F68" s="768">
        <v>30</v>
      </c>
    </row>
    <row r="69" spans="1:6" s="764" customFormat="1" ht="48">
      <c r="A69" s="768">
        <v>9</v>
      </c>
      <c r="B69" s="3560"/>
      <c r="C69" s="682" t="s">
        <v>588</v>
      </c>
      <c r="D69" s="682" t="s">
        <v>589</v>
      </c>
      <c r="E69" s="781">
        <v>0.2</v>
      </c>
      <c r="F69" s="768">
        <v>30</v>
      </c>
    </row>
    <row r="70" spans="1:6" s="764" customFormat="1" ht="60">
      <c r="A70" s="768">
        <v>10</v>
      </c>
      <c r="B70" s="3560"/>
      <c r="C70" s="682" t="s">
        <v>590</v>
      </c>
      <c r="D70" s="682" t="s">
        <v>591</v>
      </c>
      <c r="E70" s="781">
        <v>0.2</v>
      </c>
      <c r="F70" s="768">
        <v>30</v>
      </c>
    </row>
    <row r="71" spans="1:6" s="764" customFormat="1" ht="60">
      <c r="A71" s="768">
        <v>11</v>
      </c>
      <c r="B71" s="3560"/>
      <c r="C71" s="682" t="s">
        <v>592</v>
      </c>
      <c r="D71" s="682" t="s">
        <v>593</v>
      </c>
      <c r="E71" s="781">
        <v>0.2</v>
      </c>
      <c r="F71" s="768">
        <v>30</v>
      </c>
    </row>
    <row r="72" spans="1:6" s="764" customFormat="1" ht="36">
      <c r="A72" s="768">
        <v>12</v>
      </c>
      <c r="B72" s="3560"/>
      <c r="C72" s="682" t="s">
        <v>594</v>
      </c>
      <c r="D72" s="682" t="s">
        <v>595</v>
      </c>
      <c r="E72" s="781">
        <v>0.5</v>
      </c>
      <c r="F72" s="768">
        <v>80</v>
      </c>
    </row>
    <row r="73" spans="1:6" s="764" customFormat="1" ht="36">
      <c r="A73" s="768">
        <v>13</v>
      </c>
      <c r="B73" s="3560"/>
      <c r="C73" s="682" t="s">
        <v>596</v>
      </c>
      <c r="D73" s="682" t="s">
        <v>597</v>
      </c>
      <c r="E73" s="781">
        <v>0.4</v>
      </c>
      <c r="F73" s="768">
        <v>60</v>
      </c>
    </row>
    <row r="74" spans="1:6" s="764" customFormat="1" ht="36">
      <c r="A74" s="768">
        <v>14</v>
      </c>
      <c r="B74" s="3560"/>
      <c r="C74" s="682" t="s">
        <v>598</v>
      </c>
      <c r="D74" s="682" t="s">
        <v>599</v>
      </c>
      <c r="E74" s="781">
        <v>0.2</v>
      </c>
      <c r="F74" s="768">
        <v>30</v>
      </c>
    </row>
    <row r="75" spans="1:6" s="764" customFormat="1" ht="36">
      <c r="A75" s="768">
        <v>15</v>
      </c>
      <c r="B75" s="3560"/>
      <c r="C75" s="682" t="s">
        <v>600</v>
      </c>
      <c r="D75" s="682" t="s">
        <v>601</v>
      </c>
      <c r="E75" s="781">
        <v>0.2</v>
      </c>
      <c r="F75" s="768">
        <v>30</v>
      </c>
    </row>
    <row r="76" spans="1:6" s="764" customFormat="1" ht="36">
      <c r="A76" s="768">
        <v>16</v>
      </c>
      <c r="B76" s="3560" t="s">
        <v>602</v>
      </c>
      <c r="C76" s="682" t="s">
        <v>603</v>
      </c>
      <c r="D76" s="682" t="s">
        <v>604</v>
      </c>
      <c r="E76" s="781">
        <v>0.5</v>
      </c>
      <c r="F76" s="768">
        <v>80</v>
      </c>
    </row>
    <row r="77" spans="1:6" s="764" customFormat="1" ht="36">
      <c r="A77" s="768">
        <v>17</v>
      </c>
      <c r="B77" s="3560"/>
      <c r="C77" s="682" t="s">
        <v>605</v>
      </c>
      <c r="D77" s="682" t="s">
        <v>606</v>
      </c>
      <c r="E77" s="781">
        <v>0.5</v>
      </c>
      <c r="F77" s="768">
        <v>80</v>
      </c>
    </row>
    <row r="78" spans="1:6" s="764" customFormat="1" ht="36">
      <c r="A78" s="768">
        <v>18</v>
      </c>
      <c r="B78" s="3560"/>
      <c r="C78" s="682" t="s">
        <v>607</v>
      </c>
      <c r="D78" s="682" t="s">
        <v>608</v>
      </c>
      <c r="E78" s="781">
        <v>0.2</v>
      </c>
      <c r="F78" s="768">
        <v>30</v>
      </c>
    </row>
    <row r="79" spans="1:6" s="764" customFormat="1" ht="36">
      <c r="A79" s="768">
        <v>19</v>
      </c>
      <c r="B79" s="3560"/>
      <c r="C79" s="682" t="s">
        <v>609</v>
      </c>
      <c r="D79" s="682" t="s">
        <v>610</v>
      </c>
      <c r="E79" s="781">
        <v>0.5</v>
      </c>
      <c r="F79" s="768">
        <v>80</v>
      </c>
    </row>
    <row r="80" spans="1:6" s="764" customFormat="1" ht="36">
      <c r="A80" s="768">
        <v>20</v>
      </c>
      <c r="B80" s="3560"/>
      <c r="C80" s="682" t="s">
        <v>611</v>
      </c>
      <c r="D80" s="682" t="s">
        <v>612</v>
      </c>
      <c r="E80" s="781">
        <v>0.2</v>
      </c>
      <c r="F80" s="768">
        <v>30</v>
      </c>
    </row>
    <row r="81" spans="1:6" s="764" customFormat="1" ht="36">
      <c r="A81" s="768">
        <v>21</v>
      </c>
      <c r="B81" s="3560"/>
      <c r="C81" s="682" t="s">
        <v>613</v>
      </c>
      <c r="D81" s="682" t="s">
        <v>614</v>
      </c>
      <c r="E81" s="781">
        <v>0.2</v>
      </c>
      <c r="F81" s="768">
        <v>30</v>
      </c>
    </row>
    <row r="82" spans="1:6" s="764" customFormat="1" ht="60">
      <c r="A82" s="768">
        <v>22</v>
      </c>
      <c r="B82" s="3560"/>
      <c r="C82" s="682" t="s">
        <v>615</v>
      </c>
      <c r="D82" s="682" t="s">
        <v>616</v>
      </c>
      <c r="E82" s="781">
        <v>0.2</v>
      </c>
      <c r="F82" s="768">
        <v>30</v>
      </c>
    </row>
    <row r="83" spans="1:6" s="764" customFormat="1" ht="60">
      <c r="A83" s="768">
        <v>23</v>
      </c>
      <c r="B83" s="3560"/>
      <c r="C83" s="682" t="s">
        <v>617</v>
      </c>
      <c r="D83" s="682" t="s">
        <v>618</v>
      </c>
      <c r="E83" s="781">
        <v>0.2</v>
      </c>
      <c r="F83" s="768">
        <v>30</v>
      </c>
    </row>
    <row r="84" spans="1:6" s="764" customFormat="1" ht="48">
      <c r="A84" s="768">
        <v>24</v>
      </c>
      <c r="B84" s="3560"/>
      <c r="C84" s="682" t="s">
        <v>619</v>
      </c>
      <c r="D84" s="682" t="s">
        <v>620</v>
      </c>
      <c r="E84" s="781">
        <v>0.2</v>
      </c>
      <c r="F84" s="768">
        <v>30</v>
      </c>
    </row>
    <row r="85" spans="1:6" s="764" customFormat="1" ht="36">
      <c r="A85" s="768">
        <v>25</v>
      </c>
      <c r="B85" s="3560"/>
      <c r="C85" s="682" t="s">
        <v>621</v>
      </c>
      <c r="D85" s="682" t="s">
        <v>622</v>
      </c>
      <c r="E85" s="781">
        <v>0.5</v>
      </c>
      <c r="F85" s="768">
        <v>80</v>
      </c>
    </row>
    <row r="86" spans="1:6" s="764" customFormat="1" ht="36">
      <c r="A86" s="768">
        <v>26</v>
      </c>
      <c r="B86" s="3560"/>
      <c r="C86" s="682" t="s">
        <v>623</v>
      </c>
      <c r="D86" s="682" t="s">
        <v>624</v>
      </c>
      <c r="E86" s="781">
        <v>0.2</v>
      </c>
      <c r="F86" s="768">
        <v>30</v>
      </c>
    </row>
    <row r="87" spans="1:6" s="764" customFormat="1" ht="36">
      <c r="A87" s="768">
        <v>27</v>
      </c>
      <c r="B87" s="3560"/>
      <c r="C87" s="682" t="s">
        <v>625</v>
      </c>
      <c r="D87" s="682" t="s">
        <v>626</v>
      </c>
      <c r="E87" s="781">
        <v>0.2</v>
      </c>
      <c r="F87" s="768">
        <v>30</v>
      </c>
    </row>
    <row r="88" spans="1:6" s="764" customFormat="1" ht="36">
      <c r="A88" s="768">
        <v>28</v>
      </c>
      <c r="B88" s="3560"/>
      <c r="C88" s="682" t="s">
        <v>627</v>
      </c>
      <c r="D88" s="682" t="s">
        <v>628</v>
      </c>
      <c r="E88" s="781">
        <v>0.2</v>
      </c>
      <c r="F88" s="768">
        <v>30</v>
      </c>
    </row>
    <row r="89" spans="1:6" s="764" customFormat="1" ht="36">
      <c r="A89" s="768">
        <v>29</v>
      </c>
      <c r="B89" s="3560"/>
      <c r="C89" s="682" t="s">
        <v>629</v>
      </c>
      <c r="D89" s="682" t="s">
        <v>630</v>
      </c>
      <c r="E89" s="781">
        <v>0.2</v>
      </c>
      <c r="F89" s="768">
        <v>30</v>
      </c>
    </row>
    <row r="90" spans="1:6" s="764" customFormat="1" ht="36">
      <c r="A90" s="768">
        <v>30</v>
      </c>
      <c r="B90" s="3560"/>
      <c r="C90" s="682" t="s">
        <v>631</v>
      </c>
      <c r="D90" s="682" t="s">
        <v>632</v>
      </c>
      <c r="E90" s="781">
        <v>0.2</v>
      </c>
      <c r="F90" s="768">
        <v>30</v>
      </c>
    </row>
    <row r="91" spans="1:6" s="764" customFormat="1" ht="48">
      <c r="A91" s="768">
        <v>31</v>
      </c>
      <c r="B91" s="3560"/>
      <c r="C91" s="682" t="s">
        <v>633</v>
      </c>
      <c r="D91" s="682" t="s">
        <v>634</v>
      </c>
      <c r="E91" s="781">
        <v>0.2</v>
      </c>
      <c r="F91" s="768">
        <v>30</v>
      </c>
    </row>
    <row r="92" spans="1:6" s="764" customFormat="1" ht="36">
      <c r="A92" s="768">
        <v>32</v>
      </c>
      <c r="B92" s="3560" t="s">
        <v>635</v>
      </c>
      <c r="C92" s="768" t="s">
        <v>636</v>
      </c>
      <c r="D92" s="682" t="s">
        <v>637</v>
      </c>
      <c r="E92" s="781">
        <v>0.2</v>
      </c>
      <c r="F92" s="768">
        <v>30</v>
      </c>
    </row>
    <row r="93" spans="1:6" s="764" customFormat="1" ht="36">
      <c r="A93" s="768">
        <v>33</v>
      </c>
      <c r="B93" s="3560"/>
      <c r="C93" s="768" t="s">
        <v>638</v>
      </c>
      <c r="D93" s="682" t="s">
        <v>639</v>
      </c>
      <c r="E93" s="781">
        <v>0.2</v>
      </c>
      <c r="F93" s="768">
        <v>30</v>
      </c>
    </row>
    <row r="94" spans="1:6" s="764" customFormat="1" ht="60">
      <c r="A94" s="768">
        <v>34</v>
      </c>
      <c r="B94" s="3560"/>
      <c r="C94" s="768" t="s">
        <v>640</v>
      </c>
      <c r="D94" s="682" t="s">
        <v>641</v>
      </c>
      <c r="E94" s="781">
        <v>0.2</v>
      </c>
      <c r="F94" s="768">
        <v>30</v>
      </c>
    </row>
    <row r="95" spans="1:6" s="764" customFormat="1" ht="48">
      <c r="A95" s="768">
        <v>35</v>
      </c>
      <c r="B95" s="3560"/>
      <c r="C95" s="768" t="s">
        <v>642</v>
      </c>
      <c r="D95" s="682" t="s">
        <v>643</v>
      </c>
      <c r="E95" s="781">
        <v>0.2</v>
      </c>
      <c r="F95" s="768">
        <v>30</v>
      </c>
    </row>
    <row r="96" spans="1:6" s="764" customFormat="1" ht="72">
      <c r="A96" s="768">
        <v>36</v>
      </c>
      <c r="B96" s="3560"/>
      <c r="C96" s="682" t="s">
        <v>644</v>
      </c>
      <c r="D96" s="682" t="s">
        <v>645</v>
      </c>
      <c r="E96" s="781">
        <v>0.2</v>
      </c>
      <c r="F96" s="768">
        <v>30</v>
      </c>
    </row>
    <row r="97" spans="1:6" s="764" customFormat="1" ht="36">
      <c r="A97" s="768">
        <v>37</v>
      </c>
      <c r="B97" s="3560"/>
      <c r="C97" s="768" t="s">
        <v>646</v>
      </c>
      <c r="D97" s="682" t="s">
        <v>647</v>
      </c>
      <c r="E97" s="781">
        <v>0.2</v>
      </c>
      <c r="F97" s="768">
        <v>30</v>
      </c>
    </row>
    <row r="98" spans="1:6" s="764" customFormat="1" ht="36">
      <c r="A98" s="768">
        <v>38</v>
      </c>
      <c r="B98" s="3560"/>
      <c r="C98" s="768" t="s">
        <v>648</v>
      </c>
      <c r="D98" s="682" t="s">
        <v>649</v>
      </c>
      <c r="E98" s="781">
        <v>0.2</v>
      </c>
      <c r="F98" s="768">
        <v>30</v>
      </c>
    </row>
    <row r="99" spans="1:6" s="764" customFormat="1" ht="36">
      <c r="A99" s="768">
        <v>39</v>
      </c>
      <c r="B99" s="3560" t="s">
        <v>650</v>
      </c>
      <c r="C99" s="768" t="s">
        <v>651</v>
      </c>
      <c r="D99" s="682" t="s">
        <v>652</v>
      </c>
      <c r="E99" s="781">
        <v>0.3</v>
      </c>
      <c r="F99" s="768">
        <v>50</v>
      </c>
    </row>
    <row r="100" spans="1:6" s="764" customFormat="1" ht="36">
      <c r="A100" s="768">
        <v>40</v>
      </c>
      <c r="B100" s="3560"/>
      <c r="C100" s="768" t="s">
        <v>653</v>
      </c>
      <c r="D100" s="682" t="s">
        <v>654</v>
      </c>
      <c r="E100" s="781">
        <v>0.2</v>
      </c>
      <c r="F100" s="768">
        <v>30</v>
      </c>
    </row>
    <row r="101" spans="1:6" s="764" customFormat="1" ht="36">
      <c r="A101" s="768">
        <v>41</v>
      </c>
      <c r="B101" s="3560"/>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60" t="s">
        <v>665</v>
      </c>
      <c r="C105" s="768" t="s">
        <v>666</v>
      </c>
      <c r="D105" s="682" t="s">
        <v>667</v>
      </c>
      <c r="E105" s="781">
        <v>0.2</v>
      </c>
      <c r="F105" s="768">
        <v>30</v>
      </c>
    </row>
    <row r="106" spans="1:6" s="764" customFormat="1" ht="48">
      <c r="A106" s="768">
        <v>46</v>
      </c>
      <c r="B106" s="3560"/>
      <c r="C106" s="768" t="s">
        <v>668</v>
      </c>
      <c r="D106" s="682" t="s">
        <v>669</v>
      </c>
      <c r="E106" s="781">
        <v>0.2</v>
      </c>
      <c r="F106" s="768">
        <v>30</v>
      </c>
    </row>
    <row r="107" spans="1:6" s="764" customFormat="1" ht="36">
      <c r="A107" s="768">
        <v>47</v>
      </c>
      <c r="B107" s="3560" t="s">
        <v>670</v>
      </c>
      <c r="C107" s="768" t="s">
        <v>671</v>
      </c>
      <c r="D107" s="682" t="s">
        <v>672</v>
      </c>
      <c r="E107" s="781">
        <v>0.3</v>
      </c>
      <c r="F107" s="768">
        <v>50</v>
      </c>
    </row>
    <row r="108" spans="1:6" s="764" customFormat="1" ht="48">
      <c r="A108" s="768">
        <v>48</v>
      </c>
      <c r="B108" s="356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60" t="s">
        <v>681</v>
      </c>
      <c r="C111" s="768" t="s">
        <v>682</v>
      </c>
      <c r="D111" s="682" t="s">
        <v>683</v>
      </c>
      <c r="E111" s="781">
        <v>0.2</v>
      </c>
      <c r="F111" s="768">
        <v>30</v>
      </c>
    </row>
    <row r="112" spans="1:6" s="764" customFormat="1" ht="36">
      <c r="A112" s="768">
        <v>52</v>
      </c>
      <c r="B112" s="3560"/>
      <c r="C112" s="768" t="s">
        <v>684</v>
      </c>
      <c r="D112" s="682" t="s">
        <v>685</v>
      </c>
      <c r="E112" s="781">
        <v>0.2</v>
      </c>
      <c r="F112" s="768">
        <v>30</v>
      </c>
    </row>
    <row r="113" spans="1:6" s="764" customFormat="1" ht="36">
      <c r="A113" s="768">
        <v>53</v>
      </c>
      <c r="B113" s="3560"/>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60" t="s">
        <v>694</v>
      </c>
      <c r="C116" s="768" t="s">
        <v>695</v>
      </c>
      <c r="D116" s="682" t="s">
        <v>696</v>
      </c>
      <c r="E116" s="781">
        <v>0.2</v>
      </c>
      <c r="F116" s="768">
        <v>30</v>
      </c>
    </row>
    <row r="117" spans="1:6" ht="36">
      <c r="A117" s="768">
        <v>57</v>
      </c>
      <c r="B117" s="3560"/>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3.2"/>
  <cols>
    <col min="1" max="1" width="9" style="2355"/>
    <col min="2" max="6" width="9" style="2355" customWidth="1"/>
    <col min="7" max="7" width="9" style="2398"/>
    <col min="8" max="8" width="9" style="2355"/>
    <col min="9" max="12" width="9" style="2355" customWidth="1"/>
    <col min="13" max="13" width="2.21875" style="2355" customWidth="1"/>
    <col min="14" max="14" width="9" style="2398" customWidth="1"/>
    <col min="15" max="17" width="9" style="2355" customWidth="1"/>
    <col min="18" max="18" width="2.33203125" style="2355" customWidth="1"/>
    <col min="19" max="19" width="7.109375" style="2398" customWidth="1"/>
    <col min="20" max="22" width="7.109375" style="2355" customWidth="1"/>
    <col min="23" max="23" width="23.88671875" style="2355" customWidth="1"/>
    <col min="24" max="25" width="9" style="2355"/>
    <col min="26" max="27" width="11.6640625" style="2355" customWidth="1"/>
    <col min="28" max="28" width="9" style="2355"/>
    <col min="29" max="29" width="2" style="2355" customWidth="1"/>
    <col min="30" max="16384" width="9" style="2355"/>
  </cols>
  <sheetData>
    <row r="1" spans="1:34" s="2333" customFormat="1">
      <c r="B1" s="3566" t="s">
        <v>1020</v>
      </c>
      <c r="C1" s="3566"/>
      <c r="D1" s="3566"/>
      <c r="E1" s="3566"/>
      <c r="F1" s="3566"/>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34" customFormat="1" ht="1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4">
      <c r="A3" s="2338" t="s">
        <v>2705</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4">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53">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 customHeight="1">
      <c r="A6" s="2369" t="s">
        <v>2890</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53">
        <v>2021</v>
      </c>
      <c r="H6" s="2371">
        <v>2</v>
      </c>
      <c r="I6" s="3154">
        <v>0.92</v>
      </c>
      <c r="J6" s="3154">
        <v>0.72</v>
      </c>
      <c r="K6" s="3154">
        <v>0.95</v>
      </c>
      <c r="L6" s="3155">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 customHeight="1">
      <c r="A7" s="2369" t="s">
        <v>2889</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2">
        <v>2021</v>
      </c>
      <c r="H7" s="2371">
        <v>1</v>
      </c>
      <c r="I7" s="3154">
        <v>0.97</v>
      </c>
      <c r="J7" s="3154">
        <v>0.16</v>
      </c>
      <c r="K7" s="3154">
        <v>1.1100000000000001</v>
      </c>
      <c r="L7" s="3155">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 customHeight="1">
      <c r="A8" s="2369" t="s">
        <v>2885</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43">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 customHeight="1">
      <c r="A9" s="2369" t="s">
        <v>2884</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2">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 customHeight="1">
      <c r="A10" s="2369" t="s">
        <v>2736</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 customHeight="1">
      <c r="A11" s="2369" t="s">
        <v>2733</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 customHeight="1">
      <c r="A12" s="2369" t="s">
        <v>2731</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 customHeight="1" thickBot="1">
      <c r="A13" s="2369" t="s">
        <v>2728</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 customHeight="1">
      <c r="A14" s="2369" t="s">
        <v>2723</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 customHeight="1" thickBot="1">
      <c r="A15" s="2369" t="s">
        <v>2724</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2718</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64">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 customHeight="1">
      <c r="A17" s="2369" t="s">
        <v>2713</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64"/>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 customHeight="1">
      <c r="A18" s="2369" t="s">
        <v>2712</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64"/>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2709</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71"/>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2706</v>
      </c>
      <c r="B20" s="2379">
        <v>439</v>
      </c>
      <c r="C20" s="2379">
        <v>327</v>
      </c>
      <c r="D20" s="2379">
        <f t="shared" si="147"/>
        <v>327</v>
      </c>
      <c r="E20" s="2379">
        <v>627</v>
      </c>
      <c r="F20" s="2380">
        <v>283</v>
      </c>
      <c r="G20" s="3567">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 customHeight="1">
      <c r="A21" s="2369" t="s">
        <v>2703</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64"/>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64"/>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71"/>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67">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64"/>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64"/>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8"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65"/>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8" thickBot="1">
      <c r="A28" s="2369" t="s">
        <v>101</v>
      </c>
      <c r="B28" s="2379">
        <v>333</v>
      </c>
      <c r="C28" s="2379">
        <v>277</v>
      </c>
      <c r="D28" s="2379">
        <f t="shared" si="172"/>
        <v>277</v>
      </c>
      <c r="E28" s="2379">
        <v>459</v>
      </c>
      <c r="F28" s="2380">
        <v>249</v>
      </c>
      <c r="G28" s="3563">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64"/>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64"/>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65"/>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8" thickBot="1">
      <c r="A32" s="2369" t="s">
        <v>97</v>
      </c>
      <c r="B32" s="2401">
        <v>318</v>
      </c>
      <c r="C32" s="2401">
        <v>268</v>
      </c>
      <c r="D32" s="2401">
        <f t="shared" si="172"/>
        <v>268</v>
      </c>
      <c r="E32" s="2401">
        <v>437</v>
      </c>
      <c r="F32" s="2402">
        <v>237</v>
      </c>
      <c r="G32" s="3563">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64"/>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8"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64"/>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8"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65"/>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8" thickBot="1">
      <c r="A36" s="2369" t="s">
        <v>1038</v>
      </c>
      <c r="B36" s="2379">
        <v>299</v>
      </c>
      <c r="C36" s="2379">
        <v>252</v>
      </c>
      <c r="D36" s="2379">
        <f t="shared" si="172"/>
        <v>252</v>
      </c>
      <c r="E36" s="2379">
        <v>409</v>
      </c>
      <c r="F36" s="2380">
        <v>227</v>
      </c>
      <c r="G36" s="3568">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69"/>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69"/>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70"/>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8" thickBot="1">
      <c r="A40" s="2369" t="s">
        <v>1042</v>
      </c>
      <c r="B40" s="2422">
        <v>278</v>
      </c>
      <c r="C40" s="2422">
        <v>234</v>
      </c>
      <c r="D40" s="2422">
        <f t="shared" si="172"/>
        <v>234</v>
      </c>
      <c r="E40" s="2422">
        <v>379</v>
      </c>
      <c r="F40" s="2423">
        <v>220</v>
      </c>
      <c r="G40" s="3563">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64"/>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64"/>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8" thickBot="1">
      <c r="A43" s="2369" t="s">
        <v>1045</v>
      </c>
      <c r="B43" s="2386">
        <f>B42/(1+N42)</f>
        <v>275.19025476197027</v>
      </c>
      <c r="C43" s="2424">
        <v>232</v>
      </c>
      <c r="D43" s="2424">
        <f t="shared" si="172"/>
        <v>232</v>
      </c>
      <c r="E43" s="2386">
        <f t="shared" si="183"/>
        <v>375.65990977608692</v>
      </c>
      <c r="F43" s="2386">
        <f t="shared" si="183"/>
        <v>214.12518283971252</v>
      </c>
      <c r="G43" s="3565"/>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8" thickBot="1">
      <c r="A44" s="2369" t="s">
        <v>1046</v>
      </c>
      <c r="B44" s="2379">
        <v>275</v>
      </c>
      <c r="C44" s="2379">
        <v>232</v>
      </c>
      <c r="D44" s="2379">
        <f t="shared" si="172"/>
        <v>232</v>
      </c>
      <c r="E44" s="2379">
        <v>376</v>
      </c>
      <c r="F44" s="2380">
        <v>213</v>
      </c>
      <c r="G44" s="3563">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64">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64">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8"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65">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8" thickBot="1">
      <c r="A48" s="2369" t="s">
        <v>1050</v>
      </c>
      <c r="B48" s="2379">
        <v>269</v>
      </c>
      <c r="C48" s="2379">
        <v>221</v>
      </c>
      <c r="D48" s="2379">
        <f t="shared" si="172"/>
        <v>221</v>
      </c>
      <c r="E48" s="2379">
        <v>373</v>
      </c>
      <c r="F48" s="2380">
        <v>196</v>
      </c>
      <c r="G48" s="3563">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64">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64">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8"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65">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8" thickBot="1">
      <c r="A52" s="2369" t="s">
        <v>1054</v>
      </c>
      <c r="B52" s="2379">
        <v>220</v>
      </c>
      <c r="C52" s="2379">
        <v>187</v>
      </c>
      <c r="D52" s="2379">
        <f t="shared" si="172"/>
        <v>187</v>
      </c>
      <c r="E52" s="2379">
        <v>301</v>
      </c>
      <c r="F52" s="2380">
        <v>168</v>
      </c>
      <c r="G52" s="3563">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64">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64">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65">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8" thickBot="1">
      <c r="A56" s="2369" t="s">
        <v>1058</v>
      </c>
      <c r="B56" s="2422">
        <v>214</v>
      </c>
      <c r="C56" s="2422">
        <v>188</v>
      </c>
      <c r="D56" s="2422">
        <f t="shared" si="172"/>
        <v>188</v>
      </c>
      <c r="E56" s="2422">
        <v>289</v>
      </c>
      <c r="F56" s="2423">
        <v>166</v>
      </c>
      <c r="G56" s="3563">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64">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64">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8"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65">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8" thickBot="1">
      <c r="A60" s="2369" t="s">
        <v>1062</v>
      </c>
      <c r="B60" s="2379">
        <v>188</v>
      </c>
      <c r="C60" s="2379">
        <v>165</v>
      </c>
      <c r="D60" s="2379">
        <f t="shared" si="172"/>
        <v>165</v>
      </c>
      <c r="E60" s="2379">
        <v>254</v>
      </c>
      <c r="F60" s="2380">
        <v>148</v>
      </c>
      <c r="G60" s="3563">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64">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64">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65">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8" thickBot="1">
      <c r="A64" s="2369" t="s">
        <v>1066</v>
      </c>
      <c r="B64" s="2401">
        <v>159</v>
      </c>
      <c r="C64" s="2401">
        <v>141</v>
      </c>
      <c r="D64" s="2401">
        <f t="shared" si="172"/>
        <v>141</v>
      </c>
      <c r="E64" s="2401">
        <v>195</v>
      </c>
      <c r="F64" s="2402">
        <v>122</v>
      </c>
      <c r="G64" s="3563">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64">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64">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65">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8" thickBot="1">
      <c r="A68" s="2369" t="s">
        <v>1070</v>
      </c>
      <c r="B68" s="2401">
        <v>138</v>
      </c>
      <c r="C68" s="2401">
        <v>131</v>
      </c>
      <c r="D68" s="2401">
        <f t="shared" si="172"/>
        <v>131</v>
      </c>
      <c r="E68" s="2401">
        <v>155</v>
      </c>
      <c r="F68" s="2402">
        <v>114</v>
      </c>
      <c r="G68" s="3563">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64">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64">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65">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8" thickBot="1">
      <c r="A72" s="2369" t="s">
        <v>1074</v>
      </c>
      <c r="B72" s="2422">
        <v>121</v>
      </c>
      <c r="C72" s="2422">
        <v>122</v>
      </c>
      <c r="D72" s="2422">
        <f t="shared" si="172"/>
        <v>122</v>
      </c>
      <c r="E72" s="2422">
        <v>124</v>
      </c>
      <c r="F72" s="2423">
        <v>107</v>
      </c>
      <c r="G72" s="3563">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64">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64">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8"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65">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8" thickBot="1">
      <c r="A76" s="2369" t="s">
        <v>1078</v>
      </c>
      <c r="B76" s="2442">
        <v>111</v>
      </c>
      <c r="C76" s="2442">
        <v>114</v>
      </c>
      <c r="D76" s="2442">
        <f t="shared" si="172"/>
        <v>114</v>
      </c>
      <c r="E76" s="2442">
        <v>108</v>
      </c>
      <c r="F76" s="2443">
        <v>104</v>
      </c>
      <c r="G76" s="3563">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64">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64">
        <v>2003</v>
      </c>
      <c r="H78" s="2389">
        <v>2</v>
      </c>
      <c r="I78" s="2444"/>
      <c r="J78" s="2444"/>
      <c r="K78" s="2444"/>
      <c r="L78" s="2444"/>
      <c r="X78" s="2436"/>
      <c r="Y78" s="2436"/>
      <c r="Z78" s="2436"/>
    </row>
    <row r="79" spans="1:26" ht="13.8" thickBot="1">
      <c r="A79" s="2369" t="s">
        <v>1081</v>
      </c>
      <c r="B79" s="2446">
        <f t="shared" si="208"/>
        <v>107.25</v>
      </c>
      <c r="C79" s="2446">
        <f t="shared" si="208"/>
        <v>108.75</v>
      </c>
      <c r="D79" s="2446">
        <f t="shared" si="172"/>
        <v>108.75</v>
      </c>
      <c r="E79" s="2446">
        <f t="shared" si="209"/>
        <v>105.75</v>
      </c>
      <c r="F79" s="2446">
        <f t="shared" si="209"/>
        <v>102.5</v>
      </c>
      <c r="G79" s="3565">
        <v>2003</v>
      </c>
      <c r="H79" s="2447">
        <v>1</v>
      </c>
      <c r="I79" s="2444"/>
      <c r="J79" s="2444"/>
      <c r="K79" s="2444"/>
      <c r="L79" s="2444"/>
      <c r="S79" s="2387"/>
      <c r="T79" s="2356"/>
      <c r="U79" s="2356"/>
      <c r="X79" s="2436"/>
      <c r="Y79" s="2436"/>
      <c r="Z79" s="2436"/>
    </row>
    <row r="80" spans="1:26" ht="13.8" thickBot="1">
      <c r="A80" s="2369" t="s">
        <v>1082</v>
      </c>
      <c r="B80" s="2448">
        <v>106</v>
      </c>
      <c r="C80" s="2448">
        <v>107</v>
      </c>
      <c r="D80" s="2448">
        <f t="shared" si="172"/>
        <v>107</v>
      </c>
      <c r="E80" s="2448">
        <v>105</v>
      </c>
      <c r="F80" s="2449">
        <v>102</v>
      </c>
      <c r="G80" s="3563">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64">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64">
        <v>2002</v>
      </c>
      <c r="H82" s="2389">
        <v>2</v>
      </c>
      <c r="I82" s="2444"/>
      <c r="J82" s="2444"/>
      <c r="K82" s="2444"/>
      <c r="L82" s="2444"/>
      <c r="X82" s="2436"/>
      <c r="Y82" s="2436"/>
      <c r="Z82" s="2436"/>
    </row>
    <row r="83" spans="1:26" s="2409" customFormat="1" ht="13.8" thickBot="1">
      <c r="A83" s="2405" t="s">
        <v>1085</v>
      </c>
      <c r="B83" s="2412">
        <f t="shared" si="210"/>
        <v>103</v>
      </c>
      <c r="C83" s="2412">
        <f t="shared" si="210"/>
        <v>104</v>
      </c>
      <c r="D83" s="2412">
        <f t="shared" si="172"/>
        <v>104</v>
      </c>
      <c r="E83" s="2412">
        <f t="shared" si="211"/>
        <v>103.5</v>
      </c>
      <c r="F83" s="2412">
        <f t="shared" si="211"/>
        <v>100.5</v>
      </c>
      <c r="G83" s="3565">
        <v>2002</v>
      </c>
      <c r="H83" s="2450">
        <v>1</v>
      </c>
      <c r="I83" s="2451"/>
      <c r="J83" s="2451"/>
      <c r="K83" s="2451"/>
      <c r="L83" s="2451"/>
      <c r="N83" s="2452"/>
      <c r="S83" s="2452"/>
      <c r="X83" s="2453"/>
      <c r="Y83" s="2453"/>
      <c r="Z83" s="2453"/>
    </row>
    <row r="84" spans="1:26" ht="13.8"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8"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8"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44393</v>
      </c>
      <c r="D1" s="1293" t="s">
        <v>1173</v>
      </c>
      <c r="E1" s="1299">
        <f>'数据-取费表'!B24</f>
        <v>1</v>
      </c>
      <c r="F1" s="1293" t="s">
        <v>1174</v>
      </c>
      <c r="G1" s="1300">
        <f ca="1">INDIRECT("d"&amp;$K$1)/100</f>
        <v>3.85E-2</v>
      </c>
      <c r="H1" s="1293" t="s">
        <v>1204</v>
      </c>
      <c r="I1" s="1300">
        <f ca="1">F4/100</f>
        <v>1.4999999999999999E-2</v>
      </c>
      <c r="J1" s="1294">
        <f>IF(C1&gt;C13,0,MATCH(C1,C$13:C$105,-1))+IF(SUMIF(C13:C105,C1,D13:D105)=0,13,12)</f>
        <v>13</v>
      </c>
      <c r="K1" s="1294">
        <f ca="1">MATCH(E1,C3:C7,1)+IF(SUMIF(C3:C7,E1,D3:D7)=0,2,1)</f>
        <v>4</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7" customFormat="1" ht="15.6">
      <c r="A17" s="3144"/>
      <c r="B17" s="1280" t="s">
        <v>2886</v>
      </c>
      <c r="C17" s="1289">
        <v>43697</v>
      </c>
      <c r="D17" s="3145">
        <v>4.25</v>
      </c>
      <c r="E17" s="3145">
        <f>D17</f>
        <v>4.25</v>
      </c>
      <c r="F17" s="3145">
        <f>D17</f>
        <v>4.25</v>
      </c>
      <c r="G17" s="3145">
        <f>D17</f>
        <v>4.25</v>
      </c>
      <c r="H17" s="3145">
        <v>4.8499999999999996</v>
      </c>
      <c r="I17" s="3145"/>
      <c r="J17" s="3145"/>
      <c r="K17" s="3144"/>
      <c r="L17" s="1286"/>
      <c r="M17" s="1287">
        <v>42135</v>
      </c>
      <c r="N17" s="1286">
        <v>0.35</v>
      </c>
      <c r="O17" s="1286">
        <v>1.85</v>
      </c>
      <c r="P17" s="1286">
        <v>2.0499999999999998</v>
      </c>
      <c r="Q17" s="1286">
        <v>2.25</v>
      </c>
      <c r="R17" s="1286">
        <v>2.85</v>
      </c>
      <c r="S17" s="1286">
        <v>3.5</v>
      </c>
      <c r="T17" s="1286"/>
      <c r="U17" s="1286"/>
      <c r="V17" s="1286"/>
      <c r="W17" s="1286"/>
      <c r="X17" s="1286"/>
      <c r="Y17" s="1286"/>
      <c r="Z17" s="1286"/>
      <c r="AA17" s="3146"/>
      <c r="AB17" s="3146"/>
      <c r="AC17" s="3146"/>
      <c r="AD17" s="3146"/>
      <c r="AE17" s="3146"/>
      <c r="AF17" s="3146"/>
      <c r="AG17" s="3146"/>
      <c r="AH17" s="3146"/>
      <c r="AI17" s="3146"/>
      <c r="AJ17" s="3146"/>
      <c r="AK17" s="3146"/>
      <c r="AL17" s="3146"/>
      <c r="AM17" s="3146"/>
      <c r="AN17" s="3146"/>
      <c r="AO17" s="3146"/>
      <c r="AP17" s="3146"/>
      <c r="AQ17" s="3146"/>
      <c r="AR17" s="3146"/>
      <c r="AS17" s="3146"/>
      <c r="AT17" s="3146"/>
      <c r="AU17" s="3146"/>
      <c r="AV17" s="3146"/>
      <c r="AW17" s="3146"/>
      <c r="AX17" s="3146"/>
      <c r="AY17" s="3146"/>
      <c r="AZ17" s="3146"/>
      <c r="BA17" s="3146"/>
      <c r="BB17" s="3146"/>
      <c r="BC17" s="3146"/>
      <c r="BD17" s="3146"/>
      <c r="BE17" s="3146"/>
      <c r="BF17" s="3146"/>
      <c r="BG17" s="3146"/>
      <c r="BH17" s="3146"/>
      <c r="BI17" s="3146"/>
      <c r="BJ17" s="3146"/>
      <c r="BK17" s="3146"/>
      <c r="BL17" s="3146"/>
      <c r="BM17" s="3146"/>
      <c r="BN17" s="3146"/>
      <c r="BO17" s="3146"/>
      <c r="BP17" s="3146"/>
      <c r="BQ17" s="3146"/>
      <c r="BR17" s="3146"/>
      <c r="BS17" s="3146"/>
      <c r="BT17" s="3146"/>
      <c r="BU17" s="3146"/>
      <c r="BV17" s="3146"/>
      <c r="BW17" s="3146"/>
      <c r="BX17" s="3146"/>
      <c r="BY17" s="3146"/>
      <c r="BZ17" s="3146"/>
      <c r="CA17" s="3146"/>
      <c r="CB17" s="3146"/>
      <c r="CC17" s="3146"/>
      <c r="CD17" s="3146"/>
      <c r="CE17" s="3146"/>
      <c r="CF17" s="3146"/>
      <c r="CG17" s="3146"/>
      <c r="CH17" s="3146"/>
      <c r="CI17" s="3146"/>
      <c r="CJ17" s="3146"/>
      <c r="CK17" s="3146"/>
      <c r="CL17" s="3146"/>
      <c r="CM17" s="3146"/>
      <c r="CN17" s="3146"/>
      <c r="CO17" s="3146"/>
      <c r="CP17" s="3146"/>
      <c r="CQ17" s="3146"/>
      <c r="CR17" s="3146"/>
      <c r="CS17" s="3146"/>
      <c r="CT17" s="3146"/>
      <c r="CU17" s="3146"/>
      <c r="CV17" s="3146"/>
      <c r="CW17" s="3146"/>
      <c r="CX17" s="3146"/>
      <c r="CY17" s="3146"/>
      <c r="CZ17" s="3146"/>
      <c r="DA17" s="3146"/>
      <c r="DB17" s="3146"/>
      <c r="DC17" s="3146"/>
      <c r="DD17" s="3146"/>
      <c r="DE17" s="3146"/>
      <c r="DF17" s="3146"/>
      <c r="DG17" s="3146"/>
      <c r="DH17" s="3146"/>
      <c r="DI17" s="3146"/>
      <c r="DJ17" s="3146"/>
      <c r="DK17" s="3146"/>
      <c r="DL17" s="3146"/>
      <c r="DM17" s="3146"/>
      <c r="DN17" s="3146"/>
      <c r="DO17" s="3146"/>
      <c r="DP17" s="3146"/>
      <c r="DQ17" s="3146"/>
      <c r="DR17" s="3146"/>
      <c r="DS17" s="3146"/>
      <c r="DT17" s="3146"/>
      <c r="DU17" s="3146"/>
      <c r="DV17" s="3146"/>
      <c r="DW17" s="3146"/>
      <c r="DX17" s="3146"/>
      <c r="DY17" s="3146"/>
      <c r="DZ17" s="3146"/>
      <c r="EA17" s="3146"/>
      <c r="EB17" s="3146"/>
      <c r="EC17" s="3146"/>
      <c r="ED17" s="3146"/>
      <c r="EE17" s="3146"/>
      <c r="EF17" s="3146"/>
      <c r="EG17" s="3146"/>
      <c r="EH17" s="3146"/>
      <c r="EI17" s="3146"/>
      <c r="EJ17" s="3146"/>
      <c r="EK17" s="3146"/>
      <c r="EL17" s="3146"/>
      <c r="EM17" s="3146"/>
      <c r="EN17" s="3146"/>
      <c r="EO17" s="3146"/>
      <c r="EP17" s="3146"/>
      <c r="EQ17" s="3146"/>
      <c r="ER17" s="3146"/>
      <c r="ES17" s="3146"/>
      <c r="ET17" s="3146"/>
      <c r="EU17" s="3146"/>
      <c r="EV17" s="3146"/>
      <c r="EW17" s="3146"/>
      <c r="EX17" s="3146"/>
      <c r="EY17" s="3146"/>
      <c r="EZ17" s="3146"/>
      <c r="FA17" s="3146"/>
      <c r="FB17" s="3146"/>
      <c r="FC17" s="3146"/>
      <c r="FD17" s="3146"/>
      <c r="FE17" s="3146"/>
      <c r="FF17" s="3146"/>
      <c r="FG17" s="3146"/>
      <c r="FH17" s="3146"/>
      <c r="FI17" s="3146"/>
      <c r="FJ17" s="3146"/>
      <c r="FK17" s="3146"/>
      <c r="FL17" s="3146"/>
      <c r="FM17" s="3146"/>
      <c r="FN17" s="3146"/>
      <c r="FO17" s="3146"/>
      <c r="FP17" s="3146"/>
      <c r="FQ17" s="3146"/>
      <c r="FR17" s="3146"/>
      <c r="FS17" s="3146"/>
      <c r="FT17" s="3146"/>
      <c r="FU17" s="3146"/>
      <c r="FV17" s="3146"/>
      <c r="FW17" s="3146"/>
      <c r="FX17" s="3146"/>
      <c r="FY17" s="3146"/>
      <c r="FZ17" s="3146"/>
      <c r="GA17" s="3146"/>
      <c r="GB17" s="3146"/>
      <c r="GC17" s="3146"/>
      <c r="GD17" s="3146"/>
      <c r="GE17" s="3146"/>
      <c r="GF17" s="3146"/>
      <c r="GG17" s="3146"/>
      <c r="GH17" s="3146"/>
      <c r="GI17" s="3146"/>
      <c r="GJ17" s="3146"/>
      <c r="GK17" s="3146"/>
      <c r="GL17" s="3146"/>
      <c r="GM17" s="3146"/>
      <c r="GN17" s="3146"/>
      <c r="GO17" s="3146"/>
      <c r="GP17" s="3146"/>
      <c r="GQ17" s="3146"/>
      <c r="GR17" s="3146"/>
      <c r="GS17" s="3146"/>
      <c r="GT17" s="3146"/>
      <c r="GU17" s="3146"/>
      <c r="GV17" s="3146"/>
      <c r="GW17" s="3146"/>
      <c r="GX17" s="3146"/>
      <c r="GY17" s="3146"/>
      <c r="GZ17" s="3146"/>
      <c r="HA17" s="3146"/>
      <c r="HB17" s="3146"/>
      <c r="HC17" s="3146"/>
      <c r="HD17" s="3146"/>
      <c r="HE17" s="3146"/>
      <c r="HF17" s="3146"/>
      <c r="HG17" s="3146"/>
      <c r="HH17" s="3146"/>
      <c r="HI17" s="3146"/>
      <c r="HJ17" s="3146"/>
      <c r="HK17" s="3146"/>
      <c r="HL17" s="3146"/>
      <c r="HM17" s="3146"/>
      <c r="HN17" s="3146"/>
      <c r="HO17" s="3146"/>
      <c r="HP17" s="3146"/>
      <c r="HQ17" s="3146"/>
      <c r="HR17" s="3146"/>
      <c r="HS17" s="3146"/>
      <c r="HT17" s="3146"/>
      <c r="HU17" s="3146"/>
      <c r="HV17" s="3146"/>
      <c r="HW17" s="3146"/>
      <c r="HX17" s="3146"/>
      <c r="HY17" s="3146"/>
      <c r="HZ17" s="3146"/>
      <c r="IA17" s="3146"/>
      <c r="IB17" s="3146"/>
      <c r="IC17" s="3146"/>
      <c r="ID17" s="3146"/>
      <c r="IE17" s="3146"/>
      <c r="IF17" s="3146"/>
      <c r="IG17" s="3146"/>
      <c r="IH17" s="3146"/>
      <c r="II17" s="3146"/>
      <c r="IJ17" s="3146"/>
      <c r="IK17" s="3146"/>
      <c r="IL17" s="3146"/>
      <c r="IM17" s="3146"/>
      <c r="IN17" s="3146"/>
      <c r="IO17" s="3146"/>
      <c r="IP17" s="3146"/>
      <c r="IQ17" s="3146"/>
      <c r="IR17" s="3146"/>
      <c r="IS17" s="3146"/>
      <c r="IT17" s="3146"/>
      <c r="IU17" s="3146"/>
      <c r="IV17" s="3146"/>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N44" sqref="N44"/>
    </sheetView>
  </sheetViews>
  <sheetFormatPr defaultRowHeight="14.4"/>
  <sheetData>
    <row r="1" spans="1:1">
      <c r="A1" s="1341" t="s">
        <v>2931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1"/>
      <c r="C2" s="3191"/>
      <c r="D2" s="3191"/>
      <c r="E2" s="3191"/>
    </row>
    <row r="3" spans="1:5" ht="13.5" customHeight="1">
      <c r="A3" s="1362"/>
      <c r="B3" s="1362"/>
      <c r="C3" s="1362"/>
      <c r="D3" s="1362"/>
      <c r="E3" s="1362"/>
    </row>
    <row r="4" spans="1:5" ht="18" thickBot="1">
      <c r="A4" s="3192" t="str">
        <f>IF(项目基本情况!D5="房地产市场价值","估价结果一览表（市场价值不需本页表格)","估价结果一览表")</f>
        <v>估价结果一览表</v>
      </c>
      <c r="B4" s="3192"/>
      <c r="C4" s="3192"/>
      <c r="D4" s="3192"/>
      <c r="E4" s="3192"/>
    </row>
    <row r="5" spans="1:5" ht="14.25" customHeight="1" thickTop="1">
      <c r="A5" s="1359"/>
      <c r="B5" s="1363" t="s">
        <v>742</v>
      </c>
      <c r="C5" s="3193" t="s">
        <v>775</v>
      </c>
      <c r="D5" s="3194"/>
      <c r="E5" s="1359"/>
    </row>
    <row r="6" spans="1:5" ht="15.6">
      <c r="A6" s="1359"/>
      <c r="B6" s="1364" t="str">
        <f>项目基本情况!I1</f>
        <v>北京市房地产</v>
      </c>
      <c r="C6" s="3195">
        <f>项目基本情况!C12</f>
        <v>346.86</v>
      </c>
      <c r="D6" s="3195"/>
      <c r="E6" s="1359"/>
    </row>
    <row r="7" spans="1:5" ht="15.6">
      <c r="A7" s="1359"/>
      <c r="B7" s="3189" t="s">
        <v>776</v>
      </c>
      <c r="C7" s="1365" t="str">
        <f>IF('数据-取费表'!B3="万元","总价（万元）","总价（元）")</f>
        <v>总价（万元）</v>
      </c>
      <c r="D7" s="1366">
        <f ca="1">IF('数据-取费表'!E3="否",结果表!I102,'结果表 (1修多)'!I104)</f>
        <v>748</v>
      </c>
      <c r="E7" s="1359"/>
    </row>
    <row r="8" spans="1:5" ht="15.6">
      <c r="A8" s="1359"/>
      <c r="B8" s="3189"/>
      <c r="C8" s="1367" t="s">
        <v>1162</v>
      </c>
      <c r="D8" s="1368" t="str">
        <f ca="1">IF('数据-取费表'!B3="万元",NUMBERSTRING(INT(D7*10000),2)&amp;"元整",NUMBERSTRING(INT(D7),2)&amp;"元整")</f>
        <v>柒佰肆拾捌万元整</v>
      </c>
      <c r="E8" s="1359"/>
    </row>
    <row r="9" spans="1:5" ht="15.6">
      <c r="A9" s="1359"/>
      <c r="B9" s="3189"/>
      <c r="C9" s="1369" t="s">
        <v>1259</v>
      </c>
      <c r="D9" s="1366">
        <f ca="1">IF('数据-取费表'!E3="否",结果表!I103,'结果表 (1修多)'!I105)</f>
        <v>21565</v>
      </c>
      <c r="E9" s="1359"/>
    </row>
    <row r="10" spans="1:5" ht="15.6">
      <c r="A10" s="1359"/>
      <c r="B10" s="3196"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96"/>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96" t="str">
        <f>IF('数据-取费表'!E3="否",结果表!F110,'结果表 (1修多)'!F112)</f>
        <v>3.房地产抵押价值</v>
      </c>
      <c r="C15" s="1360" t="str">
        <f>C7</f>
        <v>总价（万元）</v>
      </c>
      <c r="D15" s="1366">
        <f ca="1">IF('数据-取费表'!E3="否",结果表!I110,'结果表 (1修多)'!I112)</f>
        <v>748</v>
      </c>
      <c r="E15" s="1359"/>
    </row>
    <row r="16" spans="1:5" ht="15.6">
      <c r="A16" s="1359"/>
      <c r="B16" s="3196"/>
      <c r="C16" s="1367" t="s">
        <v>1162</v>
      </c>
      <c r="D16" s="1366" t="str">
        <f ca="1">IF('数据-取费表'!B3="万元",NUMBERSTRING(INT(D15*10000),2)&amp;"元整",NUMBERSTRING(INT(D15),2)&amp;"元整")</f>
        <v>柒佰肆拾捌万元整</v>
      </c>
      <c r="E16" s="1359"/>
    </row>
    <row r="17" spans="1:5" ht="15.6">
      <c r="A17" s="1359"/>
      <c r="B17" s="3196"/>
      <c r="C17" s="1369" t="s">
        <v>1259</v>
      </c>
      <c r="D17" s="1366">
        <f ca="1">IF('数据-取费表'!E3="否",结果表!I111,'结果表 (1修多)'!I113)</f>
        <v>21565</v>
      </c>
      <c r="E17" s="1359"/>
    </row>
    <row r="18" spans="1:5" ht="15.6">
      <c r="A18" s="1359"/>
      <c r="B18" s="3196" t="str">
        <f>IF('数据-取费表'!E3="否",结果表!F112,'结果表 (1修多)'!F114)</f>
        <v>——</v>
      </c>
      <c r="C18" s="1360" t="str">
        <f>C7</f>
        <v>总价（万元）</v>
      </c>
      <c r="D18" s="1366" t="str">
        <f>IF('数据-取费表'!E3="否",结果表!I112,'结果表 (1修多)'!I114)</f>
        <v>——</v>
      </c>
      <c r="E18" s="1359"/>
    </row>
    <row r="19" spans="1:5" ht="15.6">
      <c r="A19" s="1359"/>
      <c r="B19" s="3196"/>
      <c r="C19" s="1367" t="s">
        <v>1162</v>
      </c>
      <c r="D19" s="1366" t="e">
        <f>IF('数据-取费表'!B3="万元",NUMBERSTRING(INT(D18*10000),2)&amp;"元整",NUMBERSTRING(INT(D18),2)&amp;"元整")</f>
        <v>#VALUE!</v>
      </c>
      <c r="E19" s="1359"/>
    </row>
    <row r="20" spans="1:5" ht="15.6">
      <c r="A20" s="1359"/>
      <c r="B20" s="3196"/>
      <c r="C20" s="1369" t="s">
        <v>1259</v>
      </c>
      <c r="D20" s="1366" t="str">
        <f>IF('数据-取费表'!E3="否",结果表!I113,'结果表 (1修多)'!I115)</f>
        <v>——</v>
      </c>
      <c r="E20" s="1359"/>
    </row>
    <row r="21" spans="1:5" ht="15.6">
      <c r="A21" s="1359"/>
      <c r="B21" s="3189" t="str">
        <f>IF('数据-取费表'!E3="否",结果表!F114,'结果表 (1修多)'!F116)</f>
        <v>——</v>
      </c>
      <c r="C21" s="1365" t="str">
        <f>C7</f>
        <v>总价（万元）</v>
      </c>
      <c r="D21" s="1366" t="str">
        <f>IF('数据-取费表'!E3="否",结果表!I114,'结果表 (1修多)'!I116)</f>
        <v>——</v>
      </c>
      <c r="E21" s="1359"/>
    </row>
    <row r="22" spans="1:5" ht="15.6">
      <c r="A22" s="1359"/>
      <c r="B22" s="3189"/>
      <c r="C22" s="1367" t="s">
        <v>1162</v>
      </c>
      <c r="D22" s="1368" t="e">
        <f>IF('数据-取费表'!B3="万元",NUMBERSTRING(INT(D21*10000),2)&amp;"元整",NUMBERSTRING(INT(D21),2)&amp;"元整")</f>
        <v>#VALUE!</v>
      </c>
      <c r="E22" s="1359"/>
    </row>
    <row r="23" spans="1:5" ht="16.2" thickBot="1">
      <c r="A23" s="1359"/>
      <c r="B23" s="3190"/>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81" t="s">
        <v>1260</v>
      </c>
      <c r="C25" s="3181"/>
      <c r="D25" s="3181"/>
      <c r="E25" s="1359"/>
    </row>
    <row r="26" spans="1:5" ht="18.75" customHeight="1" thickTop="1">
      <c r="A26" s="1359"/>
      <c r="B26" s="3184" t="s">
        <v>1161</v>
      </c>
      <c r="C26" s="3185"/>
      <c r="D26" s="3182" t="s">
        <v>1160</v>
      </c>
      <c r="E26" s="1359"/>
    </row>
    <row r="27" spans="1:5" ht="18.75" customHeight="1">
      <c r="A27" s="1359"/>
      <c r="B27" s="3186"/>
      <c r="C27" s="3187"/>
      <c r="D27" s="3183"/>
      <c r="E27" s="1359"/>
    </row>
    <row r="28" spans="1:5" ht="15.6">
      <c r="A28" s="1359"/>
      <c r="B28" s="3174" t="s">
        <v>776</v>
      </c>
      <c r="C28" s="1376" t="s">
        <v>1163</v>
      </c>
      <c r="D28" s="1377">
        <f ca="1">IF('数据-取费表'!E3="否",结果表!I102,'结果表 (1修多)'!I104)</f>
        <v>748</v>
      </c>
      <c r="E28" s="1359"/>
    </row>
    <row r="29" spans="1:5" ht="15.6">
      <c r="A29" s="1359"/>
      <c r="B29" s="3175"/>
      <c r="C29" s="1378" t="s">
        <v>1162</v>
      </c>
      <c r="D29" s="1379" t="str">
        <f ca="1">IF('数据-取费表'!B3="万元",NUMBERSTRING(INT(D28*10000),2)&amp;"元整",NUMBERSTRING(INT(D28),2)&amp;"元整")</f>
        <v>柒佰肆拾捌万元整</v>
      </c>
      <c r="E29" s="1359"/>
    </row>
    <row r="30" spans="1:5" ht="15.6">
      <c r="A30" s="1359"/>
      <c r="B30" s="3176"/>
      <c r="C30" s="1369" t="s">
        <v>1165</v>
      </c>
      <c r="D30" s="1380">
        <f ca="1">IF('数据-取费表'!E3="否",结果表!I103,'结果表 (1修多)'!I105)</f>
        <v>21565</v>
      </c>
      <c r="E30" s="1359"/>
    </row>
    <row r="31" spans="1:5" ht="15.6">
      <c r="A31" s="1359"/>
      <c r="B31" s="3179" t="str">
        <f>B10</f>
        <v>2.估价师所知悉的法定优先受偿款</v>
      </c>
      <c r="C31" s="1381" t="s">
        <v>1164</v>
      </c>
      <c r="D31" s="1382">
        <f>IF('数据-取费表'!E3="否",结果表!I105,'结果表 (1修多)'!I107)</f>
        <v>0</v>
      </c>
      <c r="E31" s="1359"/>
    </row>
    <row r="32" spans="1:5" ht="15.6">
      <c r="A32" s="1359"/>
      <c r="B32" s="3188"/>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77" t="str">
        <f>B15</f>
        <v>3.房地产抵押价值</v>
      </c>
      <c r="C36" s="1381" t="str">
        <f>C28</f>
        <v>总价</v>
      </c>
      <c r="D36" s="1382">
        <f ca="1">IF('数据-取费表'!E3="否",结果表!I110,'结果表 (1修多)'!I112)</f>
        <v>748</v>
      </c>
      <c r="E36" s="1359"/>
    </row>
    <row r="37" spans="1:5" ht="15.6">
      <c r="A37" s="1359"/>
      <c r="B37" s="3177"/>
      <c r="C37" s="1378" t="s">
        <v>1162</v>
      </c>
      <c r="D37" s="1383" t="str">
        <f ca="1">IF('数据-取费表'!B3="万元",NUMBERSTRING(INT(D36*10000),2)&amp;"元整",NUMBERSTRING(INT(D36),2)&amp;"元整")</f>
        <v>柒佰肆拾捌万元整</v>
      </c>
      <c r="E37" s="1359"/>
    </row>
    <row r="38" spans="1:5" ht="15.6">
      <c r="A38" s="1359"/>
      <c r="B38" s="3177"/>
      <c r="C38" s="1369" t="s">
        <v>1166</v>
      </c>
      <c r="D38" s="1380">
        <f ca="1">IF('数据-取费表'!E3="否",结果表!D113,'结果表 (1修多)'!D117)</f>
        <v>21565</v>
      </c>
      <c r="E38" s="1359"/>
    </row>
    <row r="39" spans="1:5" ht="15.6">
      <c r="A39" s="1359"/>
      <c r="B39" s="3178" t="str">
        <f>B18</f>
        <v>——</v>
      </c>
      <c r="C39" s="1381" t="str">
        <f>C28</f>
        <v>总价</v>
      </c>
      <c r="D39" s="1382" t="str">
        <f>IF('数据-取费表'!E3="否",结果表!I112,'结果表 (1修多)'!I114)</f>
        <v>——</v>
      </c>
      <c r="E39" s="1359"/>
    </row>
    <row r="40" spans="1:5" ht="15.6">
      <c r="A40" s="1359"/>
      <c r="B40" s="3178"/>
      <c r="C40" s="1378" t="s">
        <v>1162</v>
      </c>
      <c r="D40" s="1383" t="e">
        <f>IF('数据-取费表'!B3="万元",NUMBERSTRING(INT(D39*10000),2)&amp;"元整",NUMBERSTRING(INT(D39),2)&amp;"元整")</f>
        <v>#VALUE!</v>
      </c>
      <c r="E40" s="1359"/>
    </row>
    <row r="41" spans="1:5" ht="15.6">
      <c r="A41" s="1359"/>
      <c r="B41" s="3178"/>
      <c r="C41" s="1369" t="s">
        <v>1166</v>
      </c>
      <c r="D41" s="1380" t="str">
        <f>IF('数据-取费表'!E3="否",结果表!D115,'结果表 (1修多)'!D119)</f>
        <v>——</v>
      </c>
      <c r="E41" s="1359"/>
    </row>
    <row r="42" spans="1:5" ht="15.6">
      <c r="A42" s="1359"/>
      <c r="B42" s="3177" t="str">
        <f>B21</f>
        <v>——</v>
      </c>
      <c r="C42" s="1381" t="str">
        <f>C28</f>
        <v>总价</v>
      </c>
      <c r="D42" s="1382" t="str">
        <f>IF('数据-取费表'!E3="否",结果表!I114,'结果表 (1修多)'!I116)</f>
        <v>——</v>
      </c>
      <c r="E42" s="1359"/>
    </row>
    <row r="43" spans="1:5" ht="15.6">
      <c r="A43" s="1359"/>
      <c r="B43" s="3179"/>
      <c r="C43" s="1378" t="s">
        <v>1162</v>
      </c>
      <c r="D43" s="1384" t="e">
        <f>IF('数据-取费表'!B3="万元",NUMBERSTRING(INT(D42*10000),2)&amp;"元整",NUMBERSTRING(INT(D42),2)&amp;"元整")</f>
        <v>#VALUE!</v>
      </c>
      <c r="E43" s="1359"/>
    </row>
    <row r="44" spans="1:5" ht="16.2" thickBot="1">
      <c r="A44" s="1359"/>
      <c r="B44" s="3180"/>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203" t="str">
        <f>IF(项目基本情况!D5="房地产市场价值","估价结果一览表","结果表-2")</f>
        <v>结果表-2</v>
      </c>
      <c r="B1" s="3203"/>
      <c r="C1" s="3203"/>
      <c r="D1" s="3203"/>
      <c r="E1" s="3203"/>
      <c r="F1" s="3203"/>
      <c r="G1" s="3203"/>
      <c r="H1" s="3203"/>
      <c r="I1" s="3203"/>
    </row>
    <row r="2" spans="1:9" ht="30" customHeight="1" thickTop="1">
      <c r="A2" s="3204" t="s">
        <v>1261</v>
      </c>
      <c r="B2" s="3204" t="s">
        <v>1262</v>
      </c>
      <c r="C2" s="3204" t="s">
        <v>1263</v>
      </c>
      <c r="D2" s="3204" t="str">
        <f>IF('数据-取费表'!E3="否",结果表!D119,'结果表 (1修多)'!D123)</f>
        <v>出让国有建设用地使用权价值</v>
      </c>
      <c r="E2" s="3204"/>
      <c r="F2" s="3204" t="s">
        <v>1264</v>
      </c>
      <c r="G2" s="3204"/>
      <c r="H2" s="3204" t="s">
        <v>1265</v>
      </c>
      <c r="I2" s="3204"/>
    </row>
    <row r="3" spans="1:9" ht="15.6">
      <c r="A3" s="3197"/>
      <c r="B3" s="3197"/>
      <c r="C3" s="3197"/>
      <c r="D3" s="818" t="s">
        <v>1266</v>
      </c>
      <c r="E3" s="818" t="s">
        <v>1267</v>
      </c>
      <c r="F3" s="818" t="s">
        <v>1266</v>
      </c>
      <c r="G3" s="818" t="s">
        <v>1268</v>
      </c>
      <c r="H3" s="818" t="s">
        <v>1266</v>
      </c>
      <c r="I3" s="818" t="s">
        <v>1268</v>
      </c>
    </row>
    <row r="4" spans="1:9" ht="46.5" customHeight="1">
      <c r="A4" s="818" t="str">
        <f>项目基本情况!I1</f>
        <v>北京市房地产</v>
      </c>
      <c r="B4" s="818">
        <f>结果表!B121</f>
        <v>346.86</v>
      </c>
      <c r="C4" s="818">
        <f>结果表!C121</f>
        <v>0</v>
      </c>
      <c r="D4" s="818">
        <f ca="1">IF('数据-取费表'!E3="否",结果表!D121,'结果表 (1修多)'!D125)</f>
        <v>640</v>
      </c>
      <c r="E4" s="818">
        <f ca="1">IF('数据-取费表'!E3="否",结果表!E121,'结果表 (1修多)'!E125)</f>
        <v>18451</v>
      </c>
      <c r="F4" s="818">
        <f ca="1">IF('数据-取费表'!E3="否",结果表!F121,'结果表 (1修多)'!F125)</f>
        <v>108</v>
      </c>
      <c r="G4" s="818">
        <f ca="1">IF('数据-取费表'!E3="否",结果表!G121,'结果表 (1修多)'!G125)</f>
        <v>3114</v>
      </c>
      <c r="H4" s="818">
        <f ca="1">IF('数据-取费表'!E3="否",结果表!H121,'结果表 (1修多)'!H125)</f>
        <v>748</v>
      </c>
      <c r="I4" s="818">
        <f ca="1">IF('数据-取费表'!E3="否",结果表!I121,'结果表 (1修多)'!I125)</f>
        <v>21565</v>
      </c>
    </row>
    <row r="5" spans="1:9" ht="15">
      <c r="A5" s="3197" t="s">
        <v>1269</v>
      </c>
      <c r="B5" s="3197"/>
      <c r="C5" s="3197"/>
      <c r="D5" s="3198" t="str">
        <f ca="1">IF('数据-取费表'!E3="否",结果表!D122,'结果表 (1修多)'!D126)</f>
        <v>陆佰肆拾万元整</v>
      </c>
      <c r="E5" s="3198"/>
      <c r="F5" s="3198" t="str">
        <f ca="1">IF('数据-取费表'!E3="否",结果表!F122,'结果表 (1修多)'!F126)</f>
        <v>壹佰零捌万元整</v>
      </c>
      <c r="G5" s="3198"/>
      <c r="H5" s="3198" t="str">
        <f ca="1">IF('数据-取费表'!E3="否",结果表!H122,'结果表 (1修多)'!H126)</f>
        <v>柒佰肆拾捌万元整</v>
      </c>
      <c r="I5" s="3198"/>
    </row>
    <row r="6" spans="1:9" ht="15.6">
      <c r="A6" s="3199" t="str">
        <f>IF('数据-取费表'!E3="否",结果表!A123,'结果表 (1修多)'!A127)</f>
        <v>估价师所知悉的法定优先受偿款</v>
      </c>
      <c r="B6" s="3199"/>
      <c r="C6" s="3199"/>
      <c r="D6" s="3199">
        <f>IF('数据-取费表'!E3="否",结果表!D123,'结果表 (1修多)'!D127)</f>
        <v>0</v>
      </c>
      <c r="E6" s="3199"/>
      <c r="F6" s="3199"/>
      <c r="G6" s="3199"/>
      <c r="H6" s="3199"/>
      <c r="I6" s="3199"/>
    </row>
    <row r="7" spans="1:9" ht="15">
      <c r="A7" s="3197" t="s">
        <v>1269</v>
      </c>
      <c r="B7" s="3197"/>
      <c r="C7" s="3197"/>
      <c r="D7" s="3205">
        <f>IF('数据-取费表'!E3="否",结果表!D124,'结果表 (1修多)'!D128)</f>
        <v>0</v>
      </c>
      <c r="E7" s="3206"/>
      <c r="F7" s="3206"/>
      <c r="G7" s="3206"/>
      <c r="H7" s="3206"/>
      <c r="I7" s="3207"/>
    </row>
    <row r="8" spans="1:9" ht="15.6">
      <c r="A8" s="3199" t="str">
        <f>IF('数据-取费表'!E3="否",结果表!A125,'结果表 (1修多)'!A129)</f>
        <v>房地产抵押价值</v>
      </c>
      <c r="B8" s="3199"/>
      <c r="C8" s="3199"/>
      <c r="D8" s="3199">
        <f ca="1">IF('数据-取费表'!E3="否",结果表!D125,'结果表 (1修多)'!D129)</f>
        <v>748</v>
      </c>
      <c r="E8" s="3199"/>
      <c r="F8" s="3199"/>
      <c r="G8" s="3199"/>
      <c r="H8" s="3199"/>
      <c r="I8" s="3199"/>
    </row>
    <row r="9" spans="1:9" ht="15">
      <c r="A9" s="3197" t="s">
        <v>1269</v>
      </c>
      <c r="B9" s="3197"/>
      <c r="C9" s="3197"/>
      <c r="D9" s="3198">
        <f ca="1">IF('数据-取费表'!E3="否",结果表!D126,'结果表 (1修多)'!D130)</f>
        <v>21565</v>
      </c>
      <c r="E9" s="3198"/>
      <c r="F9" s="3198"/>
      <c r="G9" s="3198"/>
      <c r="H9" s="3198"/>
      <c r="I9" s="3198"/>
    </row>
    <row r="10" spans="1:9" ht="15.6">
      <c r="A10" s="3199" t="str">
        <f>IF('数据-取费表'!E3="否",结果表!A127,'结果表 (1修多)'!A131)</f>
        <v/>
      </c>
      <c r="B10" s="3199"/>
      <c r="C10" s="3199"/>
      <c r="D10" s="3199" t="str">
        <f>IF('数据-取费表'!E3="否",结果表!D127,'结果表 (1修多)'!D130)</f>
        <v>——</v>
      </c>
      <c r="E10" s="3199"/>
      <c r="F10" s="3199"/>
      <c r="G10" s="3199"/>
      <c r="H10" s="3199"/>
      <c r="I10" s="3199"/>
    </row>
    <row r="11" spans="1:9" ht="15">
      <c r="A11" s="3197" t="s">
        <v>1269</v>
      </c>
      <c r="B11" s="3197"/>
      <c r="C11" s="3197"/>
      <c r="D11" s="3198" t="str">
        <f>IF('数据-取费表'!E3="否",结果表!D128,'结果表 (1修多)'!D132)</f>
        <v>——</v>
      </c>
      <c r="E11" s="3198"/>
      <c r="F11" s="3198"/>
      <c r="G11" s="3198"/>
      <c r="H11" s="3198"/>
      <c r="I11" s="3198"/>
    </row>
    <row r="12" spans="1:9" ht="15.6">
      <c r="A12" s="3199" t="str">
        <f>IF('数据-取费表'!E3="否",结果表!A129,'结果表 (1修多)'!A133)</f>
        <v/>
      </c>
      <c r="B12" s="3199"/>
      <c r="C12" s="3199"/>
      <c r="D12" s="3199" t="str">
        <f>IF('数据-取费表'!E3="否",结果表!D129,'结果表 (1修多)'!D133)</f>
        <v>——</v>
      </c>
      <c r="E12" s="3199"/>
      <c r="F12" s="3199"/>
      <c r="G12" s="3199"/>
      <c r="H12" s="3199"/>
      <c r="I12" s="3199"/>
    </row>
    <row r="13" spans="1:9" ht="15.6" thickBot="1">
      <c r="A13" s="3200" t="s">
        <v>1269</v>
      </c>
      <c r="B13" s="3200"/>
      <c r="C13" s="3200"/>
      <c r="D13" s="3201">
        <f>IF('数据-取费表'!E3="否",结果表!D130,'结果表 (1修多)'!D134)</f>
        <v>0</v>
      </c>
      <c r="E13" s="3201"/>
      <c r="F13" s="3201"/>
      <c r="G13" s="3201"/>
      <c r="H13" s="3201"/>
      <c r="I13" s="3201"/>
    </row>
    <row r="14" spans="1:9" ht="14.4" thickTop="1">
      <c r="A14" s="3202" t="str">
        <f>IF('数据-取费表'!E3="否",结果表!A131,'结果表 (1修多)'!A135)</f>
        <v>单位：平方米、万元、元/平方米（币种：人民币）</v>
      </c>
      <c r="B14" s="3202"/>
      <c r="C14" s="3202"/>
      <c r="D14" s="3202"/>
      <c r="E14" s="3202"/>
      <c r="F14" s="3202"/>
      <c r="G14" s="3202"/>
      <c r="H14" s="3202"/>
      <c r="I14" s="3202"/>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09" t="s">
        <v>1282</v>
      </c>
      <c r="B1" s="3209"/>
      <c r="C1" s="3209"/>
      <c r="D1" s="3209"/>
    </row>
    <row r="2" spans="1:4" ht="17.399999999999999">
      <c r="A2" s="3208" t="s">
        <v>1271</v>
      </c>
      <c r="B2" s="3208"/>
      <c r="C2" s="3208"/>
      <c r="D2" s="3208"/>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08" t="s">
        <v>1276</v>
      </c>
      <c r="B7" s="3208"/>
      <c r="C7" s="3208"/>
      <c r="D7" s="3208"/>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10" t="s">
        <v>2737</v>
      </c>
      <c r="B12" s="3211"/>
      <c r="C12" s="3211"/>
      <c r="D12" s="3211"/>
    </row>
    <row r="13" spans="1:4" ht="15.6">
      <c r="A13" s="32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1"/>
      <c r="C13" s="3211"/>
      <c r="D13" s="3211"/>
    </row>
    <row r="14" spans="1:4" ht="30" customHeight="1">
      <c r="A14" s="321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1"/>
      <c r="C14" s="3211"/>
      <c r="D14" s="3211"/>
    </row>
    <row r="15" spans="1:4" ht="15.75" customHeight="1">
      <c r="A15" s="3210" t="str">
        <f>IF(项目基本情况!D4="抵押","4.本次评估估价师所知悉的法定优先受偿款情况说明如下：","——")</f>
        <v>4.本次评估估价师所知悉的法定优先受偿款情况说明如下：</v>
      </c>
      <c r="B15" s="3211"/>
      <c r="C15" s="3211"/>
      <c r="D15" s="3211"/>
    </row>
    <row r="16" spans="1:4" ht="75" customHeight="1">
      <c r="A16" s="321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0"/>
      <c r="C16" s="3210"/>
      <c r="D16" s="3210"/>
    </row>
    <row r="17" spans="1:4" ht="63.75" customHeight="1">
      <c r="A17" s="3212" t="s">
        <v>1284</v>
      </c>
      <c r="B17" s="3212"/>
      <c r="C17" s="3212"/>
      <c r="D17" s="3212"/>
    </row>
    <row r="18" spans="1:4" ht="15.75" customHeight="1">
      <c r="A18" s="3210" t="str">
        <f>IF(项目基本情况!D4="抵押",结果表!L106,"——")</f>
        <v>本次评估不存在估价师所知悉的法定优先受偿款。</v>
      </c>
      <c r="B18" s="3210"/>
      <c r="C18" s="3210"/>
      <c r="D18" s="3210"/>
    </row>
    <row r="19" spans="1:4" ht="46.5" customHeight="1">
      <c r="A19" s="32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0"/>
      <c r="C19" s="3210"/>
      <c r="D19" s="3210"/>
    </row>
    <row r="20" spans="1:4" ht="15">
      <c r="A20" s="3212" t="s">
        <v>2738</v>
      </c>
      <c r="B20" s="3212"/>
      <c r="C20" s="3212"/>
      <c r="D20" s="3212"/>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18" t="s">
        <v>1363</v>
      </c>
      <c r="B15" s="3213" t="s">
        <v>1364</v>
      </c>
      <c r="C15" s="3214"/>
    </row>
    <row r="16" spans="1:7" ht="14.4">
      <c r="A16" s="3219"/>
      <c r="B16" s="3213" t="s">
        <v>1365</v>
      </c>
      <c r="C16" s="3214"/>
    </row>
    <row r="17" spans="1:3" ht="14.4">
      <c r="A17" s="3219"/>
      <c r="B17" s="3213" t="s">
        <v>1366</v>
      </c>
      <c r="C17" s="3214"/>
    </row>
    <row r="18" spans="1:3" ht="14.4">
      <c r="A18" s="3220"/>
      <c r="B18" s="3215" t="s">
        <v>1367</v>
      </c>
      <c r="C18" s="3214"/>
    </row>
    <row r="19" spans="1:3" ht="14.4">
      <c r="A19" s="1412" t="s">
        <v>1368</v>
      </c>
      <c r="B19" s="1413"/>
      <c r="C19" s="1414"/>
    </row>
    <row r="20" spans="1:3" ht="14.4">
      <c r="A20" s="3216" t="s">
        <v>1369</v>
      </c>
      <c r="B20" s="3215" t="s">
        <v>1370</v>
      </c>
      <c r="C20" s="3214"/>
    </row>
    <row r="21" spans="1:3" ht="14.4">
      <c r="A21" s="3216"/>
      <c r="B21" s="3215" t="s">
        <v>1371</v>
      </c>
      <c r="C21" s="3214"/>
    </row>
    <row r="22" spans="1:3" ht="14.4">
      <c r="A22" s="3216"/>
      <c r="B22" s="3215" t="s">
        <v>1372</v>
      </c>
      <c r="C22" s="3214"/>
    </row>
    <row r="23" spans="1:3" ht="14.4">
      <c r="A23" s="3216"/>
      <c r="B23" s="3217" t="s">
        <v>1373</v>
      </c>
      <c r="C23" s="1415" t="s">
        <v>1374</v>
      </c>
    </row>
    <row r="24" spans="1:3" ht="14.4">
      <c r="A24" s="3216"/>
      <c r="B24" s="3217"/>
      <c r="C24" s="1415" t="s">
        <v>1375</v>
      </c>
    </row>
    <row r="25" spans="1:3" ht="14.4">
      <c r="A25" s="3216"/>
      <c r="B25" s="3217"/>
      <c r="C25" s="1415" t="s">
        <v>1376</v>
      </c>
    </row>
    <row r="26" spans="1:3" ht="14.4">
      <c r="A26" s="3216"/>
      <c r="B26" s="3217"/>
      <c r="C26" s="1415" t="s">
        <v>1377</v>
      </c>
    </row>
    <row r="27" spans="1:3" ht="14.4">
      <c r="A27" s="3216"/>
      <c r="B27" s="3217"/>
      <c r="C27" s="1415" t="s">
        <v>1378</v>
      </c>
    </row>
    <row r="28" spans="1:3" ht="14.4">
      <c r="A28" s="3216"/>
      <c r="B28" s="3217"/>
      <c r="C28" s="1415" t="s">
        <v>1379</v>
      </c>
    </row>
    <row r="29" spans="1:3" ht="14.4">
      <c r="A29" s="3216"/>
      <c r="B29" s="3217"/>
      <c r="C29" s="1415" t="s">
        <v>1380</v>
      </c>
    </row>
    <row r="30" spans="1:3" ht="14.4">
      <c r="A30" s="3216"/>
      <c r="B30" s="3217"/>
      <c r="C30" s="1415" t="s">
        <v>1381</v>
      </c>
    </row>
    <row r="31" spans="1:3" ht="14.4">
      <c r="A31" s="3216"/>
      <c r="B31" s="321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3" customWidth="1"/>
    <col min="2" max="2" width="38.6640625" style="3053" customWidth="1"/>
    <col min="3" max="3" width="26" style="3053" customWidth="1"/>
    <col min="4" max="4" width="35" style="3053" hidden="1" customWidth="1"/>
    <col min="5" max="5" width="30.109375" style="3053" customWidth="1"/>
    <col min="6" max="6" width="35.44140625" style="3053" customWidth="1"/>
    <col min="7" max="7" width="31" style="3053" customWidth="1"/>
    <col min="8" max="8" width="37.44140625" style="3053" hidden="1" customWidth="1"/>
    <col min="9" max="16384" width="22.6640625" style="3053"/>
  </cols>
  <sheetData>
    <row r="1" spans="1:8" ht="24" customHeight="1">
      <c r="A1" s="3056"/>
      <c r="B1" s="3056"/>
      <c r="C1" s="3056"/>
      <c r="D1" s="3056"/>
      <c r="E1" s="3056"/>
      <c r="F1" s="3056"/>
      <c r="G1" s="3056"/>
      <c r="H1" s="3056"/>
    </row>
    <row r="2" spans="1:8" ht="24" customHeight="1">
      <c r="A2" s="3057" t="s">
        <v>746</v>
      </c>
      <c r="B2" s="3058">
        <f ca="1">TODAY()</f>
        <v>44396</v>
      </c>
      <c r="C2" s="3059" t="s">
        <v>747</v>
      </c>
      <c r="D2" s="3059"/>
      <c r="E2" s="3059"/>
      <c r="F2" s="3056"/>
      <c r="G2" s="3056"/>
      <c r="H2" s="3056"/>
    </row>
    <row r="3" spans="1:8" ht="24" customHeight="1">
      <c r="A3" s="3060" t="s">
        <v>748</v>
      </c>
      <c r="B3" s="3061" t="s">
        <v>749</v>
      </c>
      <c r="C3" s="3061" t="s">
        <v>750</v>
      </c>
      <c r="D3" s="3062" t="s">
        <v>772</v>
      </c>
      <c r="E3" s="3075" t="s">
        <v>751</v>
      </c>
      <c r="F3" s="1301" t="s">
        <v>752</v>
      </c>
      <c r="G3" s="3061" t="s">
        <v>750</v>
      </c>
      <c r="H3" s="3062" t="s">
        <v>773</v>
      </c>
    </row>
    <row r="4" spans="1:8" ht="24" customHeight="1">
      <c r="A4" s="1301" t="s">
        <v>753</v>
      </c>
      <c r="B4" s="1301">
        <f ca="1">IF(C4&lt;B2,"已过期",1119970066)</f>
        <v>1119970066</v>
      </c>
      <c r="C4" s="3063">
        <v>44876</v>
      </c>
      <c r="D4" s="3074" t="str">
        <f ca="1">A4&amp;"（注册号："&amp;B4&amp;"）"</f>
        <v>梁津（注册号：1119970066）</v>
      </c>
      <c r="E4" s="3076" t="s">
        <v>753</v>
      </c>
      <c r="F4" s="1301">
        <f ca="1">IF(G4&lt;B2,"已过期",96010014)</f>
        <v>96010014</v>
      </c>
      <c r="G4" s="3064">
        <v>47118</v>
      </c>
      <c r="H4" s="3065" t="str">
        <f ca="1">E4&amp;"（注册号："&amp;F4&amp;"）"</f>
        <v>梁津（注册号：96010014）</v>
      </c>
    </row>
    <row r="5" spans="1:8" ht="24" customHeight="1">
      <c r="A5" s="1301" t="s">
        <v>754</v>
      </c>
      <c r="B5" s="1301">
        <f ca="1">IF(C5&lt;B2,"已过期",1119970111)</f>
        <v>1119970111</v>
      </c>
      <c r="C5" s="3063">
        <v>44876</v>
      </c>
      <c r="D5" s="3074" t="str">
        <f t="shared" ref="D5:D14" ca="1" si="0">A5&amp;"（注册号："&amp;B5&amp;"）"</f>
        <v>叶凌（注册号：1119970111）</v>
      </c>
      <c r="E5" s="3076" t="s">
        <v>754</v>
      </c>
      <c r="F5" s="1301">
        <f ca="1">IF(G5&lt;B2,"已过期",94010078)</f>
        <v>94010078</v>
      </c>
      <c r="G5" s="3064">
        <v>46387</v>
      </c>
      <c r="H5" s="3065" t="str">
        <f t="shared" ref="H5:H16" ca="1" si="1">E5&amp;"（注册号："&amp;F5&amp;"）"</f>
        <v>叶凌（注册号：94010078）</v>
      </c>
    </row>
    <row r="6" spans="1:8" ht="24" customHeight="1">
      <c r="A6" s="1301" t="s">
        <v>755</v>
      </c>
      <c r="B6" s="1301" t="str">
        <f ca="1">IF(C6&lt;B2,"已过期",1120050019)</f>
        <v>已过期</v>
      </c>
      <c r="C6" s="3063">
        <v>44395</v>
      </c>
      <c r="D6" s="3074" t="str">
        <f t="shared" ca="1" si="0"/>
        <v>王鹏（注册号：已过期）</v>
      </c>
      <c r="E6" s="3076" t="s">
        <v>755</v>
      </c>
      <c r="F6" s="1301">
        <f ca="1">IF(G6&lt;B2,"已过期",2002110030)</f>
        <v>2002110030</v>
      </c>
      <c r="G6" s="3064">
        <v>46387</v>
      </c>
      <c r="H6" s="3065" t="str">
        <f t="shared" ca="1" si="1"/>
        <v>王鹏（注册号：2002110030）</v>
      </c>
    </row>
    <row r="7" spans="1:8" ht="24" customHeight="1">
      <c r="A7" s="1301" t="s">
        <v>756</v>
      </c>
      <c r="B7" s="1301">
        <f ca="1">IF(C7&lt;B2,"已过期",1120000080)</f>
        <v>1120000080</v>
      </c>
      <c r="C7" s="3063">
        <v>44876</v>
      </c>
      <c r="D7" s="3074" t="str">
        <f t="shared" ca="1" si="0"/>
        <v>欧红伟（注册号：1120000080）</v>
      </c>
      <c r="E7" s="3076" t="s">
        <v>756</v>
      </c>
      <c r="F7" s="1301">
        <f ca="1">IF(G7&lt;B2,"已过期",2000110082)</f>
        <v>2000110082</v>
      </c>
      <c r="G7" s="3064">
        <v>46387</v>
      </c>
      <c r="H7" s="3065" t="str">
        <f t="shared" ca="1" si="1"/>
        <v>欧红伟（注册号：2000110082）</v>
      </c>
    </row>
    <row r="8" spans="1:8" ht="24" customHeight="1">
      <c r="A8" s="1301" t="s">
        <v>757</v>
      </c>
      <c r="B8" s="1301">
        <f ca="1">IF(C8&lt;B2,"已过期",1419970001)</f>
        <v>1419970001</v>
      </c>
      <c r="C8" s="3063">
        <v>44899</v>
      </c>
      <c r="D8" s="3074" t="str">
        <f t="shared" ca="1" si="0"/>
        <v>吴薇（注册号：1419970001）</v>
      </c>
      <c r="E8" s="3076" t="s">
        <v>757</v>
      </c>
      <c r="F8" s="1301">
        <f ca="1">IF(G8&lt;B2,"已过期",2002110125)</f>
        <v>2002110125</v>
      </c>
      <c r="G8" s="3064">
        <v>47118</v>
      </c>
      <c r="H8" s="3065" t="str">
        <f t="shared" ca="1" si="1"/>
        <v>吴薇（注册号：2002110125）</v>
      </c>
    </row>
    <row r="9" spans="1:8" ht="24" customHeight="1">
      <c r="A9" s="1301" t="s">
        <v>758</v>
      </c>
      <c r="B9" s="1301">
        <f ca="1">IF(C9&lt;B2,"已过期",1120060040)</f>
        <v>1120060040</v>
      </c>
      <c r="C9" s="3066">
        <v>44554</v>
      </c>
      <c r="D9" s="3074" t="str">
        <f t="shared" ca="1" si="0"/>
        <v>陈颖（注册号：1120060040）</v>
      </c>
      <c r="E9" s="3076" t="s">
        <v>758</v>
      </c>
      <c r="F9" s="1301">
        <f ca="1">IF(G9&lt;B2,"已过期",2004110096)</f>
        <v>2004110096</v>
      </c>
      <c r="G9" s="3064">
        <v>47118</v>
      </c>
      <c r="H9" s="3065" t="str">
        <f t="shared" ca="1" si="1"/>
        <v>陈颖（注册号：2004110096）</v>
      </c>
    </row>
    <row r="10" spans="1:8" ht="24" customHeight="1">
      <c r="A10" s="1301" t="s">
        <v>759</v>
      </c>
      <c r="B10" s="1301">
        <f ca="1">IF(C10&lt;B2,"已过期",1120100036)</f>
        <v>1120100036</v>
      </c>
      <c r="C10" s="3066">
        <v>44675</v>
      </c>
      <c r="D10" s="3074" t="str">
        <f t="shared" ca="1" si="0"/>
        <v>崔锴（注册号：1120100036）</v>
      </c>
      <c r="E10" s="3076" t="s">
        <v>759</v>
      </c>
      <c r="F10" s="1301">
        <f ca="1">IF(G10&lt;B2,"已过期",2010110070)</f>
        <v>2010110070</v>
      </c>
      <c r="G10" s="3064">
        <v>47907</v>
      </c>
      <c r="H10" s="3065" t="str">
        <f t="shared" ca="1" si="1"/>
        <v>崔锴（注册号：2010110070）</v>
      </c>
    </row>
    <row r="11" spans="1:8" ht="24" customHeight="1">
      <c r="A11" s="1301" t="s">
        <v>760</v>
      </c>
      <c r="B11" s="1301">
        <f ca="1">IF(C11&lt;B2,"已过期",1120070131)</f>
        <v>1120070131</v>
      </c>
      <c r="C11" s="3063">
        <v>44849</v>
      </c>
      <c r="D11" s="3074" t="str">
        <f t="shared" ca="1" si="0"/>
        <v>郑燚（注册号：1120070131）</v>
      </c>
      <c r="E11" s="3076" t="s">
        <v>760</v>
      </c>
      <c r="F11" s="1301">
        <f ca="1">IF(G11&lt;B2,"已过期",2014110011)</f>
        <v>2014110011</v>
      </c>
      <c r="G11" s="3064">
        <v>49302</v>
      </c>
      <c r="H11" s="3065" t="str">
        <f t="shared" ca="1" si="1"/>
        <v>郑燚（注册号：2014110011）</v>
      </c>
    </row>
    <row r="12" spans="1:8" ht="24" customHeight="1">
      <c r="A12" s="1301" t="s">
        <v>2714</v>
      </c>
      <c r="B12" s="1301">
        <f ca="1">IF(C12&lt;B2,"已过期",1120040230)</f>
        <v>1120040230</v>
      </c>
      <c r="C12" s="3066">
        <v>44864</v>
      </c>
      <c r="D12" s="3074" t="str">
        <f t="shared" ca="1" si="0"/>
        <v>苏海（注册号：1120040230）</v>
      </c>
      <c r="E12" s="3076" t="s">
        <v>2714</v>
      </c>
      <c r="F12" s="1301">
        <f ca="1">IF(G12&lt;B2,"已过期",98030020)</f>
        <v>98030020</v>
      </c>
      <c r="G12" s="3064">
        <v>47118</v>
      </c>
      <c r="H12" s="3065" t="str">
        <f t="shared" ca="1" si="1"/>
        <v>苏海（注册号：98030020）</v>
      </c>
    </row>
    <row r="13" spans="1:8" ht="24" customHeight="1">
      <c r="A13" s="1301" t="s">
        <v>761</v>
      </c>
      <c r="B13" s="1301" t="str">
        <f ca="1">IF(C13&lt;B2,"已过期",1120020033)</f>
        <v>已过期</v>
      </c>
      <c r="C13" s="3063">
        <v>44339</v>
      </c>
      <c r="D13" s="3074" t="str">
        <f t="shared" ca="1" si="0"/>
        <v>刘敬东（注册号：已过期）</v>
      </c>
      <c r="E13" s="3076" t="s">
        <v>761</v>
      </c>
      <c r="F13" s="1301">
        <f ca="1">IF(G13&lt;B2,"已过期",2000110137)</f>
        <v>2000110137</v>
      </c>
      <c r="G13" s="3064">
        <v>46387</v>
      </c>
      <c r="H13" s="3065" t="str">
        <f t="shared" ca="1" si="1"/>
        <v>刘敬东（注册号：2000110137）</v>
      </c>
    </row>
    <row r="14" spans="1:8" ht="24" customHeight="1">
      <c r="A14" s="1301" t="s">
        <v>2730</v>
      </c>
      <c r="B14" s="1301">
        <f ca="1">IF(C14&lt;B2,"已过期",1119980106)</f>
        <v>1119980106</v>
      </c>
      <c r="C14" s="3066">
        <v>44969</v>
      </c>
      <c r="D14" s="3074" t="str">
        <f t="shared" ca="1" si="0"/>
        <v>刘俊财（注册号：1119980106）</v>
      </c>
      <c r="E14" s="3076" t="s">
        <v>2830</v>
      </c>
      <c r="F14" s="1301">
        <f ca="1">IF(G14&lt;B2,"已过期",96010063)</f>
        <v>96010063</v>
      </c>
      <c r="G14" s="3064">
        <v>47483</v>
      </c>
      <c r="H14" s="3065" t="str">
        <f t="shared" ca="1" si="1"/>
        <v>刘俊财（注册号：96010063）</v>
      </c>
    </row>
    <row r="15" spans="1:8" ht="24" customHeight="1">
      <c r="A15" s="1301"/>
      <c r="B15" s="1301"/>
      <c r="C15" s="3066"/>
      <c r="D15" s="3074" t="str">
        <f t="shared" ref="D15" si="2">A15&amp;"（注册号："&amp;B15&amp;"）"</f>
        <v>（注册号：）</v>
      </c>
      <c r="E15" s="3076" t="s">
        <v>2834</v>
      </c>
      <c r="F15" s="1301">
        <f ca="1">IF(G15&lt;B2,"已过期",2011110090)</f>
        <v>2011110090</v>
      </c>
      <c r="G15" s="3064">
        <v>48302</v>
      </c>
      <c r="H15" s="3065" t="str">
        <f t="shared" ref="H15" ca="1" si="3">E15&amp;"（注册号："&amp;F15&amp;"）"</f>
        <v>赵雯（注册号：2011110090）</v>
      </c>
    </row>
    <row r="16" spans="1:8" s="3054" customFormat="1" ht="24" customHeight="1">
      <c r="A16" s="1301"/>
      <c r="B16" s="1301"/>
      <c r="C16" s="1301"/>
      <c r="D16" s="3074" t="str">
        <f>A16&amp;"（注册号："&amp;B16&amp;"）"</f>
        <v>（注册号：）</v>
      </c>
      <c r="E16" s="3076"/>
      <c r="F16" s="1301"/>
      <c r="G16" s="1301"/>
      <c r="H16" s="3067" t="str">
        <f t="shared" si="1"/>
        <v>（注册号：）</v>
      </c>
    </row>
    <row r="17" spans="1:8" ht="24" customHeight="1">
      <c r="A17" s="3221" t="s">
        <v>762</v>
      </c>
      <c r="B17" s="3221"/>
      <c r="C17" s="3221"/>
      <c r="D17" s="3221"/>
      <c r="E17" s="3221"/>
      <c r="F17" s="3221"/>
      <c r="G17" s="3221"/>
      <c r="H17" s="3221"/>
    </row>
    <row r="18" spans="1:8" ht="24" customHeight="1">
      <c r="A18" s="3222" t="s">
        <v>763</v>
      </c>
      <c r="B18" s="3222"/>
      <c r="C18" s="3222"/>
      <c r="D18" s="3062"/>
      <c r="E18" s="3223" t="s">
        <v>764</v>
      </c>
      <c r="F18" s="3222"/>
      <c r="G18" s="3222"/>
    </row>
    <row r="19" spans="1:8" s="3052" customFormat="1" ht="24" customHeight="1">
      <c r="A19" s="3068" t="s">
        <v>765</v>
      </c>
      <c r="B19" s="3061" t="s">
        <v>766</v>
      </c>
      <c r="C19" s="3061" t="s">
        <v>767</v>
      </c>
      <c r="D19" s="3062"/>
      <c r="E19" s="3076" t="s">
        <v>765</v>
      </c>
      <c r="F19" s="3061" t="s">
        <v>766</v>
      </c>
      <c r="G19" s="3061" t="s">
        <v>767</v>
      </c>
    </row>
    <row r="20" spans="1:8" s="3052" customFormat="1" ht="24" customHeight="1">
      <c r="A20" s="3069" t="s">
        <v>2831</v>
      </c>
      <c r="B20" s="3069" t="s">
        <v>2832</v>
      </c>
      <c r="C20" s="3064">
        <v>44820</v>
      </c>
      <c r="D20" s="3077"/>
      <c r="E20" s="3079" t="s">
        <v>768</v>
      </c>
      <c r="F20" s="3069" t="s">
        <v>769</v>
      </c>
      <c r="G20" s="3070">
        <v>44377</v>
      </c>
    </row>
    <row r="21" spans="1:8" s="3052" customFormat="1" ht="24" customHeight="1">
      <c r="A21" s="3069"/>
      <c r="B21" s="3069"/>
      <c r="C21" s="3071"/>
      <c r="D21" s="3078"/>
      <c r="E21" s="3079" t="s">
        <v>770</v>
      </c>
      <c r="F21" s="3072" t="s">
        <v>2729</v>
      </c>
      <c r="G21" s="3073">
        <v>44012</v>
      </c>
    </row>
    <row r="22" spans="1:8" ht="24" customHeight="1">
      <c r="C22" s="3055"/>
      <c r="D22" s="3055"/>
      <c r="E22" s="3080"/>
      <c r="F22" s="3081"/>
      <c r="G22" s="3082"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2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本次估价的“房地产价值”是指在正常市场情况下，在价值时点2021年7月16日，估价对象规划用途为，假定未设立法定优先受偿款下的房地产市场价值。</v>
      </c>
    </row>
    <row r="54" spans="1:4" ht="14.4">
      <c r="A54" s="3224"/>
      <c r="B54" s="9" t="s">
        <v>1519</v>
      </c>
      <c r="C54" s="9" t="s">
        <v>1520</v>
      </c>
    </row>
    <row r="55" spans="1:4" ht="14.4">
      <c r="A55" s="3224"/>
      <c r="B55" s="9" t="s">
        <v>1521</v>
      </c>
      <c r="C55" s="9" t="s">
        <v>1522</v>
      </c>
    </row>
    <row r="56" spans="1:4" ht="14.4">
      <c r="A56" s="3224"/>
      <c r="B56" s="9" t="s">
        <v>1523</v>
      </c>
      <c r="C56" s="9" t="s">
        <v>1524</v>
      </c>
    </row>
    <row r="57" spans="1:4" ht="14.4">
      <c r="A57" s="322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2021-07-19T05:24:33Z</dcterms:modified>
</cp:coreProperties>
</file>