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codeName="ThisWorkbook" defaultThemeVersion="124226"/>
  <mc:AlternateContent xmlns:mc="http://schemas.openxmlformats.org/markup-compatibility/2006">
    <mc:Choice Requires="x15">
      <x15ac:absPath xmlns:x15ac="http://schemas.microsoft.com/office/spreadsheetml/2010/11/ac" url="G:\高鹏\项目\高和上海云峰\"/>
    </mc:Choice>
  </mc:AlternateContent>
  <xr:revisionPtr revIDLastSave="0" documentId="13_ncr:1_{14DBB58B-6274-4E0B-95BE-810E0C0B5097}" xr6:coauthVersionLast="47" xr6:coauthVersionMax="47" xr10:uidLastSave="{00000000-0000-0000-0000-000000000000}"/>
  <bookViews>
    <workbookView xWindow="-120" yWindow="-120" windowWidth="19440" windowHeight="15000" tabRatio="822" firstSheet="20"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 sheetId="80" r:id="rId10"/>
    <sheet name="高和云峰-租赁台账（底表）" sheetId="82" r:id="rId11"/>
    <sheet name="办公一手新房案例" sheetId="89" r:id="rId12"/>
    <sheet name="办公二手房案例" sheetId="90" r:id="rId13"/>
    <sheet name="商业新房案例" sheetId="91" r:id="rId14"/>
    <sheet name="商业二手房案例" sheetId="92" r:id="rId15"/>
    <sheet name="定义" sheetId="10" r:id="rId16"/>
    <sheet name="常用公式" sheetId="78" r:id="rId17"/>
    <sheet name="项目基本情况" sheetId="4" r:id="rId18"/>
    <sheet name="数据-基础表" sheetId="3" r:id="rId19"/>
    <sheet name="数据-汇总表" sheetId="6" r:id="rId20"/>
    <sheet name="数据-取费表" sheetId="1" r:id="rId21"/>
    <sheet name="估价对象房地状况" sheetId="20" r:id="rId22"/>
    <sheet name="系统读取表" sheetId="74" r:id="rId23"/>
    <sheet name="结果表" sheetId="9" r:id="rId24"/>
    <sheet name="成本法" sheetId="68" state="hidden" r:id="rId25"/>
    <sheet name="成本法 (元)" sheetId="69" state="hidden" r:id="rId26"/>
    <sheet name="假设开发法" sheetId="12" state="hidden" r:id="rId27"/>
    <sheet name="案例" sheetId="83" state="hidden" r:id="rId28"/>
    <sheet name="办公商业案例" sheetId="93" r:id="rId29"/>
    <sheet name="比较法-商业" sheetId="33" state="hidden" r:id="rId30"/>
    <sheet name="比较法-商业 (2)" sheetId="87" state="hidden" r:id="rId31"/>
    <sheet name="比较法-办公" sheetId="34" r:id="rId32"/>
    <sheet name="大宗" sheetId="88" r:id="rId33"/>
    <sheet name="收益法（1层商业）" sheetId="15" r:id="rId34"/>
    <sheet name="收益法 (元)" sheetId="67" state="hidden" r:id="rId35"/>
    <sheet name="收益法-酒店模型" sheetId="77" state="hidden" r:id="rId36"/>
    <sheet name="收益法（1-2层商业）" sheetId="85" r:id="rId37"/>
    <sheet name="收益法（办公） " sheetId="86" r:id="rId38"/>
    <sheet name="收益法（车库）" sheetId="84" r:id="rId39"/>
    <sheet name="收益法（汇总）" sheetId="70"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s>
  <definedNames>
    <definedName name="_xlnm._FilterDatabase" localSheetId="31"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9" hidden="1">'比较法-商业'!$A$1:$L$49</definedName>
    <definedName name="_xlnm._FilterDatabase" localSheetId="30" hidden="1">'比较法-商业 (2)'!$A$1:$L$49</definedName>
    <definedName name="_xlnm._FilterDatabase" localSheetId="40" hidden="1">'比较法-住宅'!$A$1:$L$49</definedName>
    <definedName name="_xlnm._FilterDatabase" localSheetId="10" hidden="1">'高和云峰-租赁台账（底表）'!$A$1:$J$102</definedName>
    <definedName name="_xlnm._FilterDatabase" localSheetId="18"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7" hidden="1">项目基本情况!$A$42:$N$42</definedName>
    <definedName name="_xlnm.Print_Area" localSheetId="31">'比较法-办公'!$A$1:$K$55,'比较法-办公'!$A$58:$M$132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9">'比较法-商业'!$A$1:$K$54,'比较法-商业'!$A$57:$M$131</definedName>
    <definedName name="_xlnm.Print_Area" localSheetId="30">'比较法-商业 (2)'!$A$1:$K$54,'比较法-商业 (2)'!$A$57:$M$131</definedName>
    <definedName name="_xlnm.Print_Area" localSheetId="40">'比较法-住宅'!$A$1:$K$54,'比较法-住宅'!$A$57:$M$131</definedName>
    <definedName name="_xlnm.Print_Area" localSheetId="24">成本法!$A$1:$G$57</definedName>
    <definedName name="_xlnm.Print_Area" localSheetId="25">'成本法 (元)'!$A$1:$G$57</definedName>
    <definedName name="_xlnm.Print_Area" localSheetId="21">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26">假设开发法!$A$1:$K$32</definedName>
    <definedName name="_xlnm.Print_Area" localSheetId="23">结果表!$A$1:$I$127</definedName>
    <definedName name="_xlnm.Print_Area" localSheetId="34">'收益法 (元)'!$A$1:$F$43,'收益法 (元)'!$H$3:$M$29,'收益法 (元)'!$A$45:$F$71,'收益法 (元)'!$I$46:$N$65</definedName>
    <definedName name="_xlnm.Print_Area" localSheetId="36">'收益法（1-2层商业）'!$A$1:$F$43,'收益法（1-2层商业）'!$H$3:$M$29,'收益法（1-2层商业）'!$A$46:$F$71,'收益法（1-2层商业）'!$I$46:$N$65</definedName>
    <definedName name="_xlnm.Print_Area" localSheetId="33">'收益法（1层商业）'!$A$1:$F$43,'收益法（1层商业）'!$H$3:$M$29,'收益法（1层商业）'!$A$46:$F$71,'收益法（1层商业）'!$I$46:$N$65</definedName>
    <definedName name="_xlnm.Print_Area" localSheetId="37">'收益法（办公） '!$A$1:$F$43,'收益法（办公） '!$H$3:$M$29,'收益法（办公） '!$A$46:$F$71,'收益法（办公） '!$I$46:$N$65</definedName>
    <definedName name="_xlnm.Print_Area" localSheetId="38">'收益法（车库）'!$A$1:$F$43,'收益法（车库）'!$H$3:$M$29,'收益法（车库）'!$A$46:$F$71,'收益法（车库）'!$I$46:$N$65</definedName>
    <definedName name="_xlnm.Print_Area" localSheetId="39">'收益法（汇总）'!$A$1:$F$13</definedName>
    <definedName name="_xlnm.Print_Area" localSheetId="19">'数据-汇总表'!$A$1:$P$32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22">系统读取表!$A$1:$I$26</definedName>
    <definedName name="_xlnm.Print_Area" localSheetId="17">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0">'比较法-商业 (2)'!$B$116:$M$116</definedName>
    <definedName name="商业层高">'比较法-商业'!$B$116:$M$116</definedName>
    <definedName name="商业成新度" localSheetId="30">'比较法-商业 (2)'!$B$109:$M$109</definedName>
    <definedName name="商业成新度">'比较法-商业'!$B$109:$M$109</definedName>
    <definedName name="商业繁华度">定义!$L$1:$L$6</definedName>
    <definedName name="商业公共部分装修" localSheetId="30">'比较法-商业 (2)'!$B$107:$M$107</definedName>
    <definedName name="商业公共部分装修">'比较法-商业'!$B$107:$M$107</definedName>
    <definedName name="商业基础设施水平" localSheetId="30">'比较法-商业 (2)'!$B$112:$M$112</definedName>
    <definedName name="商业基础设施水平">'比较法-商业'!$B$112:$M$112</definedName>
    <definedName name="商业建筑结构" localSheetId="30">'比较法-商业 (2)'!$B$105:$M$105</definedName>
    <definedName name="商业建筑结构">'比较法-商业'!$B$105:$M$105</definedName>
    <definedName name="商业交易情况" localSheetId="30">'比较法-商业 (2)'!$A$61:$M$61</definedName>
    <definedName name="商业交易情况">'比较法-商业'!$A$61:$M$61</definedName>
    <definedName name="商业街名称">修正!$C$71:$C$138</definedName>
    <definedName name="商业进深比" localSheetId="30">'比较法-商业 (2)'!$B$120:$M$120</definedName>
    <definedName name="商业进深比">'比较法-商业'!$B$120:$M$120</definedName>
    <definedName name="商业类型" localSheetId="30">'比较法-商业 (2)'!$B$100:$M$100</definedName>
    <definedName name="商业类型">'比较法-商业'!$B$100:$M$100</definedName>
    <definedName name="商业临街状况" localSheetId="30">'比较法-商业 (2)'!$B$86:$M$86</definedName>
    <definedName name="商业临街状况">'比较法-商业'!$B$86:$M$86</definedName>
    <definedName name="商业楼层" localSheetId="30">'比较法-商业 (2)'!$B$92:$M$92</definedName>
    <definedName name="商业楼层">'比较法-商业'!$B$92:$M$92</definedName>
    <definedName name="商业内部装修" localSheetId="30">'比较法-商业 (2)'!$B$122:$M$122</definedName>
    <definedName name="商业内部装修">'比较法-商业'!$B$122:$M$122</definedName>
    <definedName name="商业人流量" localSheetId="30">'比较法-商业 (2)'!$B$90:$M$90</definedName>
    <definedName name="商业人流量">'比较法-商业'!$B$90:$M$90</definedName>
    <definedName name="商业业态" localSheetId="30">'比较法-商业 (2)'!$B$114:$M$114</definedName>
    <definedName name="商业业态">'比较法-商业'!$B$114:$M$114</definedName>
    <definedName name="商业用途" localSheetId="30">'比较法-商业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7" i="34" l="1"/>
  <c r="F37" i="34"/>
  <c r="C52" i="34"/>
  <c r="E52" i="34"/>
  <c r="G52" i="34"/>
  <c r="I52" i="34"/>
  <c r="J34" i="34"/>
  <c r="H34" i="34"/>
  <c r="F34" i="34"/>
  <c r="E105" i="34"/>
  <c r="D105" i="34" s="1"/>
  <c r="C105" i="34" s="1"/>
  <c r="G34" i="34"/>
  <c r="E34" i="34"/>
  <c r="G48" i="34" l="1"/>
  <c r="E48" i="34"/>
  <c r="G7" i="34"/>
  <c r="U60" i="34" l="1"/>
  <c r="V60" i="34" s="1"/>
  <c r="R60" i="34"/>
  <c r="O60" i="34"/>
  <c r="L60" i="34"/>
  <c r="I60" i="34"/>
  <c r="F60" i="34"/>
  <c r="P59" i="34"/>
  <c r="Q59" i="34" s="1"/>
  <c r="R59" i="34" s="1"/>
  <c r="S59" i="34" s="1"/>
  <c r="T59" i="34" s="1"/>
  <c r="U59" i="34" s="1"/>
  <c r="V59" i="34" s="1"/>
  <c r="W59" i="34" s="1"/>
  <c r="X59" i="34" s="1"/>
  <c r="Y59" i="34" s="1"/>
  <c r="Z59" i="34" s="1"/>
  <c r="AA59" i="34" s="1"/>
  <c r="AB59" i="34" s="1"/>
  <c r="H60" i="34"/>
  <c r="G60" i="34"/>
  <c r="W60" i="34" l="1"/>
  <c r="X60" i="34" s="1"/>
  <c r="K60" i="34"/>
  <c r="J60" i="34"/>
  <c r="N71" i="88"/>
  <c r="N70" i="88"/>
  <c r="N69" i="88"/>
  <c r="J53" i="88"/>
  <c r="J52" i="88"/>
  <c r="I99" i="80"/>
  <c r="L3" i="82"/>
  <c r="Y60" i="34" l="1"/>
  <c r="Z60" i="34"/>
  <c r="M60" i="34"/>
  <c r="N60" i="34"/>
  <c r="D5" i="9"/>
  <c r="K32" i="88"/>
  <c r="L30" i="88"/>
  <c r="L29" i="88"/>
  <c r="L28" i="88"/>
  <c r="L27" i="88"/>
  <c r="L26" i="88"/>
  <c r="L25" i="88"/>
  <c r="L24" i="88"/>
  <c r="K23" i="88"/>
  <c r="M22" i="88"/>
  <c r="L20" i="88"/>
  <c r="L19" i="88"/>
  <c r="M16" i="88"/>
  <c r="M15" i="88"/>
  <c r="M14" i="88"/>
  <c r="M13" i="88"/>
  <c r="M12" i="88"/>
  <c r="M11" i="88"/>
  <c r="M9" i="88"/>
  <c r="M8" i="88"/>
  <c r="M7" i="88"/>
  <c r="M6" i="88"/>
  <c r="M5" i="88"/>
  <c r="M4" i="88"/>
  <c r="M3" i="88"/>
  <c r="P60" i="34" l="1"/>
  <c r="Q60" i="34"/>
  <c r="I47" i="87"/>
  <c r="G47" i="87"/>
  <c r="E47" i="87"/>
  <c r="E54" i="87" s="1"/>
  <c r="F54" i="87" s="1"/>
  <c r="B130" i="87"/>
  <c r="H46" i="87" s="1"/>
  <c r="AB46" i="87" s="1"/>
  <c r="B128" i="87"/>
  <c r="H45" i="87" s="1"/>
  <c r="AB45" i="87" s="1"/>
  <c r="B126" i="87"/>
  <c r="D125" i="87"/>
  <c r="E125" i="87" s="1"/>
  <c r="F125" i="87" s="1"/>
  <c r="G125" i="87" s="1"/>
  <c r="D123" i="87"/>
  <c r="E123" i="87" s="1"/>
  <c r="F123" i="87" s="1"/>
  <c r="G123" i="87" s="1"/>
  <c r="H123" i="87" s="1"/>
  <c r="I123" i="87" s="1"/>
  <c r="J123" i="87" s="1"/>
  <c r="K123" i="87" s="1"/>
  <c r="L123" i="87" s="1"/>
  <c r="M123" i="87" s="1"/>
  <c r="D121" i="87"/>
  <c r="E121" i="87" s="1"/>
  <c r="F121" i="87" s="1"/>
  <c r="G121" i="87" s="1"/>
  <c r="H121" i="87" s="1"/>
  <c r="I121" i="87" s="1"/>
  <c r="J121" i="87" s="1"/>
  <c r="K121" i="87" s="1"/>
  <c r="L121" i="87" s="1"/>
  <c r="M121" i="87" s="1"/>
  <c r="D117" i="87"/>
  <c r="E117" i="87" s="1"/>
  <c r="F117" i="87" s="1"/>
  <c r="G117" i="87" s="1"/>
  <c r="D115" i="87"/>
  <c r="E115" i="87" s="1"/>
  <c r="F115" i="87" s="1"/>
  <c r="G115" i="87" s="1"/>
  <c r="H115" i="87" s="1"/>
  <c r="I115" i="87" s="1"/>
  <c r="J115" i="87" s="1"/>
  <c r="K115" i="87" s="1"/>
  <c r="L115" i="87" s="1"/>
  <c r="M115" i="87" s="1"/>
  <c r="D113" i="87"/>
  <c r="E113" i="87" s="1"/>
  <c r="F113" i="87" s="1"/>
  <c r="G113" i="87" s="1"/>
  <c r="H113" i="87" s="1"/>
  <c r="I113" i="87" s="1"/>
  <c r="J113" i="87" s="1"/>
  <c r="K113" i="87" s="1"/>
  <c r="L113" i="87" s="1"/>
  <c r="M113" i="87" s="1"/>
  <c r="F111" i="87"/>
  <c r="G111" i="87" s="1"/>
  <c r="H111" i="87" s="1"/>
  <c r="I111" i="87" s="1"/>
  <c r="J111" i="87" s="1"/>
  <c r="K111" i="87" s="1"/>
  <c r="L111" i="87" s="1"/>
  <c r="M111" i="87" s="1"/>
  <c r="D111" i="87"/>
  <c r="E111" i="87" s="1"/>
  <c r="G109" i="87"/>
  <c r="F109" i="87"/>
  <c r="E109" i="87"/>
  <c r="D109" i="87"/>
  <c r="C109" i="87"/>
  <c r="E108" i="87"/>
  <c r="F108" i="87" s="1"/>
  <c r="G108" i="87" s="1"/>
  <c r="H108" i="87" s="1"/>
  <c r="I108" i="87" s="1"/>
  <c r="J108" i="87" s="1"/>
  <c r="K108" i="87" s="1"/>
  <c r="L108" i="87" s="1"/>
  <c r="M108" i="87" s="1"/>
  <c r="D108" i="87"/>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J31" i="87" s="1"/>
  <c r="AC31" i="87" s="1"/>
  <c r="B96" i="87"/>
  <c r="H30" i="87" s="1"/>
  <c r="B94" i="87"/>
  <c r="B92" i="87"/>
  <c r="H28" i="87" s="1"/>
  <c r="AB28" i="87" s="1"/>
  <c r="D91" i="87"/>
  <c r="E91" i="87" s="1"/>
  <c r="F91" i="87" s="1"/>
  <c r="G91" i="87" s="1"/>
  <c r="H91" i="87" s="1"/>
  <c r="I91" i="87" s="1"/>
  <c r="J91" i="87" s="1"/>
  <c r="K91" i="87" s="1"/>
  <c r="L91" i="87" s="1"/>
  <c r="M91" i="87" s="1"/>
  <c r="B90" i="87"/>
  <c r="H27" i="87" s="1"/>
  <c r="AB27" i="87" s="1"/>
  <c r="B88" i="87"/>
  <c r="H26" i="87" s="1"/>
  <c r="AB26" i="87" s="1"/>
  <c r="D87" i="87"/>
  <c r="E87" i="87" s="1"/>
  <c r="F87" i="87" s="1"/>
  <c r="G87" i="87" s="1"/>
  <c r="H87" i="87" s="1"/>
  <c r="I87" i="87" s="1"/>
  <c r="J87" i="87" s="1"/>
  <c r="K87" i="87" s="1"/>
  <c r="L87" i="87" s="1"/>
  <c r="M87" i="87" s="1"/>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H14" i="87" s="1"/>
  <c r="AB14" i="87" s="1"/>
  <c r="B72" i="87"/>
  <c r="B70" i="87"/>
  <c r="D69" i="87"/>
  <c r="E69" i="87" s="1"/>
  <c r="F69" i="87" s="1"/>
  <c r="G69" i="87" s="1"/>
  <c r="H69" i="87" s="1"/>
  <c r="I69" i="87" s="1"/>
  <c r="J69" i="87" s="1"/>
  <c r="K69" i="87" s="1"/>
  <c r="L69" i="87" s="1"/>
  <c r="M69" i="87" s="1"/>
  <c r="M67" i="87"/>
  <c r="L67" i="87"/>
  <c r="K67" i="87"/>
  <c r="J67" i="87"/>
  <c r="I67" i="87"/>
  <c r="H67" i="87"/>
  <c r="G67" i="87"/>
  <c r="F67" i="87"/>
  <c r="E67" i="87"/>
  <c r="D67" i="87"/>
  <c r="C67" i="87"/>
  <c r="C63" i="87"/>
  <c r="H9" i="87" s="1"/>
  <c r="AB9" i="87" s="1"/>
  <c r="P49" i="87"/>
  <c r="P48" i="87"/>
  <c r="K48" i="87"/>
  <c r="T47" i="87"/>
  <c r="P47" i="87"/>
  <c r="Q46" i="87"/>
  <c r="Z46" i="87" s="1"/>
  <c r="J46" i="87"/>
  <c r="AC46" i="87" s="1"/>
  <c r="Q45" i="87"/>
  <c r="Z45" i="87" s="1"/>
  <c r="J45" i="87"/>
  <c r="AC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H31" i="87"/>
  <c r="AB31" i="87" s="1"/>
  <c r="F31" i="87"/>
  <c r="AA31" i="87" s="1"/>
  <c r="Q30" i="87"/>
  <c r="Z30" i="87" s="1"/>
  <c r="Q29" i="87"/>
  <c r="Z29" i="87" s="1"/>
  <c r="J29" i="87"/>
  <c r="AC29" i="87" s="1"/>
  <c r="H29" i="87"/>
  <c r="AB29" i="87" s="1"/>
  <c r="F29" i="87"/>
  <c r="AA29" i="87" s="1"/>
  <c r="Q28" i="87"/>
  <c r="Z28" i="87" s="1"/>
  <c r="J28" i="87"/>
  <c r="AC28" i="87" s="1"/>
  <c r="F28" i="87"/>
  <c r="AA28" i="87" s="1"/>
  <c r="Q27" i="87"/>
  <c r="Z27" i="87" s="1"/>
  <c r="J27" i="87"/>
  <c r="AC27" i="87" s="1"/>
  <c r="Q26" i="87"/>
  <c r="Z26" i="87" s="1"/>
  <c r="J26" i="87"/>
  <c r="AC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J8" i="87"/>
  <c r="W8" i="87" s="1"/>
  <c r="H8" i="87"/>
  <c r="AB8" i="87" s="1"/>
  <c r="F8" i="87"/>
  <c r="S8" i="87" s="1"/>
  <c r="I78" i="83"/>
  <c r="J78" i="83" s="1"/>
  <c r="H91" i="83"/>
  <c r="I91" i="83" s="1"/>
  <c r="J91" i="83" s="1"/>
  <c r="D2" i="87"/>
  <c r="T60" i="34" l="1"/>
  <c r="S60" i="34"/>
  <c r="F30" i="87"/>
  <c r="F9" i="87"/>
  <c r="AA9" i="87" s="1"/>
  <c r="F14" i="87"/>
  <c r="AA14" i="87" s="1"/>
  <c r="F27" i="87"/>
  <c r="AA27" i="87" s="1"/>
  <c r="J30" i="87"/>
  <c r="F46" i="87"/>
  <c r="AA46" i="87" s="1"/>
  <c r="I54" i="87"/>
  <c r="J54" i="87" s="1"/>
  <c r="G54" i="87"/>
  <c r="H54" i="87" s="1"/>
  <c r="AB30" i="87"/>
  <c r="U30" i="87"/>
  <c r="U8" i="87"/>
  <c r="W31" i="87"/>
  <c r="H36" i="87"/>
  <c r="AB36" i="87" s="1"/>
  <c r="R47" i="87"/>
  <c r="V47" i="87"/>
  <c r="AA8" i="87"/>
  <c r="AC8" i="87"/>
  <c r="S17" i="87"/>
  <c r="W17" i="87"/>
  <c r="S19" i="87"/>
  <c r="W19" i="87"/>
  <c r="S21" i="87"/>
  <c r="W21" i="87"/>
  <c r="S23" i="87"/>
  <c r="W23" i="87"/>
  <c r="U25" i="87"/>
  <c r="S26" i="87"/>
  <c r="W26" i="87"/>
  <c r="U27" i="87"/>
  <c r="S28" i="87"/>
  <c r="W28" i="87"/>
  <c r="U29" i="87"/>
  <c r="AA30" i="87"/>
  <c r="S30" i="87"/>
  <c r="AC30" i="87"/>
  <c r="W30" i="87"/>
  <c r="U9" i="87"/>
  <c r="S10" i="87"/>
  <c r="W10" i="87"/>
  <c r="U11" i="87"/>
  <c r="S12" i="87"/>
  <c r="W12" i="87"/>
  <c r="U13" i="87"/>
  <c r="S14" i="87"/>
  <c r="W14" i="87"/>
  <c r="S15" i="87"/>
  <c r="W15" i="87"/>
  <c r="S9" i="87"/>
  <c r="W9" i="87"/>
  <c r="U10" i="87"/>
  <c r="S11" i="87"/>
  <c r="W11" i="87"/>
  <c r="U12" i="87"/>
  <c r="S13" i="87"/>
  <c r="W13" i="87"/>
  <c r="U14" i="87"/>
  <c r="U15" i="87"/>
  <c r="U17" i="87"/>
  <c r="U19" i="87"/>
  <c r="U21" i="87"/>
  <c r="U23" i="87"/>
  <c r="S25" i="87"/>
  <c r="W25" i="87"/>
  <c r="U26" i="87"/>
  <c r="W27" i="87"/>
  <c r="U28" i="87"/>
  <c r="S29" i="87"/>
  <c r="W29" i="87"/>
  <c r="S31" i="87"/>
  <c r="U32" i="87"/>
  <c r="S33" i="87"/>
  <c r="W33" i="87"/>
  <c r="U34" i="87"/>
  <c r="S35" i="87"/>
  <c r="W35" i="87"/>
  <c r="U36" i="87"/>
  <c r="S37" i="87"/>
  <c r="W37" i="87"/>
  <c r="U38" i="87"/>
  <c r="S39" i="87"/>
  <c r="W39" i="87"/>
  <c r="U40" i="87"/>
  <c r="S41" i="87"/>
  <c r="W41" i="87"/>
  <c r="U42" i="87"/>
  <c r="S43" i="87"/>
  <c r="W43" i="87"/>
  <c r="U44" i="87"/>
  <c r="S45" i="87"/>
  <c r="W45" i="87"/>
  <c r="U46" i="87"/>
  <c r="U31" i="87"/>
  <c r="S32" i="87"/>
  <c r="W32" i="87"/>
  <c r="U33" i="87"/>
  <c r="S34" i="87"/>
  <c r="W34" i="87"/>
  <c r="U35" i="87"/>
  <c r="S36" i="87"/>
  <c r="W36" i="87"/>
  <c r="U37" i="87"/>
  <c r="S38" i="87"/>
  <c r="W38" i="87"/>
  <c r="U39" i="87"/>
  <c r="S40" i="87"/>
  <c r="W40" i="87"/>
  <c r="U41" i="87"/>
  <c r="S42" i="87"/>
  <c r="W42" i="87"/>
  <c r="U43" i="87"/>
  <c r="S44" i="87"/>
  <c r="W44" i="87"/>
  <c r="U45" i="87"/>
  <c r="S46" i="87"/>
  <c r="W46" i="87"/>
  <c r="U6" i="1"/>
  <c r="Q72" i="86"/>
  <c r="Q59" i="86"/>
  <c r="K59" i="86"/>
  <c r="P61" i="86" s="1"/>
  <c r="F59" i="86"/>
  <c r="Q58" i="86"/>
  <c r="Q51" i="86"/>
  <c r="J50" i="86"/>
  <c r="M47" i="86"/>
  <c r="D46" i="86"/>
  <c r="F33" i="86"/>
  <c r="F61" i="86" s="1"/>
  <c r="F31" i="86"/>
  <c r="F23" i="86"/>
  <c r="D24" i="86" s="1"/>
  <c r="D22" i="86"/>
  <c r="F21" i="86"/>
  <c r="F20" i="86"/>
  <c r="M19" i="86"/>
  <c r="F18" i="86"/>
  <c r="M17" i="86"/>
  <c r="F17" i="86"/>
  <c r="F15" i="86"/>
  <c r="Q72" i="85"/>
  <c r="Q59" i="85"/>
  <c r="K59" i="85"/>
  <c r="P61" i="85" s="1"/>
  <c r="F59" i="85"/>
  <c r="Q58" i="85"/>
  <c r="Q51" i="85"/>
  <c r="J50" i="85"/>
  <c r="M47" i="85"/>
  <c r="D46" i="85"/>
  <c r="F33" i="85"/>
  <c r="F61" i="85" s="1"/>
  <c r="F31" i="85"/>
  <c r="F23" i="85"/>
  <c r="D24" i="85" s="1"/>
  <c r="D23" i="85"/>
  <c r="D22" i="85"/>
  <c r="F21" i="85"/>
  <c r="F20" i="85"/>
  <c r="M19" i="85"/>
  <c r="F18" i="85"/>
  <c r="M17" i="85"/>
  <c r="F17" i="85"/>
  <c r="F15" i="85"/>
  <c r="Q72" i="84"/>
  <c r="Q59" i="84"/>
  <c r="K59" i="84"/>
  <c r="P61" i="84" s="1"/>
  <c r="F59" i="84"/>
  <c r="Q58" i="84"/>
  <c r="Q51" i="84"/>
  <c r="J50" i="84"/>
  <c r="M47" i="84"/>
  <c r="D46" i="84"/>
  <c r="F33" i="84"/>
  <c r="F61" i="84" s="1"/>
  <c r="F31" i="84"/>
  <c r="F23" i="84"/>
  <c r="D24" i="84" s="1"/>
  <c r="F21" i="84"/>
  <c r="F20" i="84"/>
  <c r="M19" i="84"/>
  <c r="F18" i="84"/>
  <c r="M17" i="84"/>
  <c r="F17" i="84"/>
  <c r="F15" i="84"/>
  <c r="V19" i="1"/>
  <c r="V20" i="1" s="1"/>
  <c r="U7" i="1" s="1"/>
  <c r="D22" i="84" l="1"/>
  <c r="S27" i="87"/>
  <c r="P74" i="84"/>
  <c r="P74" i="86"/>
  <c r="D23" i="84"/>
  <c r="P74" i="85"/>
  <c r="D23" i="86"/>
  <c r="F100" i="82" l="1"/>
  <c r="L100" i="82" s="1"/>
  <c r="H101" i="82"/>
  <c r="F101" i="82"/>
  <c r="L101" i="82" s="1"/>
  <c r="H100" i="82"/>
  <c r="H99" i="82"/>
  <c r="F99" i="82"/>
  <c r="L99" i="82" s="1"/>
  <c r="H98" i="82"/>
  <c r="F98" i="82"/>
  <c r="L98" i="82" s="1"/>
  <c r="H97" i="82"/>
  <c r="F97" i="82"/>
  <c r="L97" i="82" s="1"/>
  <c r="H96" i="82"/>
  <c r="F96" i="82"/>
  <c r="L96" i="82" s="1"/>
  <c r="H95" i="82"/>
  <c r="F95" i="82"/>
  <c r="L95" i="82" s="1"/>
  <c r="H94" i="82"/>
  <c r="F94" i="82"/>
  <c r="L94" i="82" s="1"/>
  <c r="H93" i="82"/>
  <c r="F93" i="82"/>
  <c r="L93" i="82" s="1"/>
  <c r="H92" i="82"/>
  <c r="F92" i="82"/>
  <c r="L92" i="82" s="1"/>
  <c r="F91" i="82"/>
  <c r="L91" i="82" s="1"/>
  <c r="F90" i="82"/>
  <c r="L90" i="82" s="1"/>
  <c r="H89" i="82"/>
  <c r="F89" i="82"/>
  <c r="F88" i="82"/>
  <c r="L88" i="82" s="1"/>
  <c r="H87" i="82"/>
  <c r="F87" i="82"/>
  <c r="F86" i="82"/>
  <c r="E86" i="82" s="1"/>
  <c r="L86" i="82" s="1"/>
  <c r="H85" i="82"/>
  <c r="F85" i="82"/>
  <c r="E85" i="82" s="1"/>
  <c r="H84" i="82"/>
  <c r="F84" i="82"/>
  <c r="L84" i="82" s="1"/>
  <c r="F83" i="82"/>
  <c r="L83" i="82" s="1"/>
  <c r="F82" i="82"/>
  <c r="L82" i="82" s="1"/>
  <c r="F81" i="82"/>
  <c r="L81" i="82" s="1"/>
  <c r="F80" i="82"/>
  <c r="L80" i="82" s="1"/>
  <c r="F79" i="82"/>
  <c r="L79" i="82" s="1"/>
  <c r="F78" i="82"/>
  <c r="L78" i="82" s="1"/>
  <c r="F77" i="82"/>
  <c r="L77" i="82" s="1"/>
  <c r="F76" i="82"/>
  <c r="L76" i="82" s="1"/>
  <c r="H75" i="82"/>
  <c r="F75" i="82"/>
  <c r="H73" i="82"/>
  <c r="F73" i="82"/>
  <c r="L73" i="82" s="1"/>
  <c r="H72" i="82"/>
  <c r="F72" i="82"/>
  <c r="L72" i="82" s="1"/>
  <c r="H71" i="82"/>
  <c r="F71" i="82"/>
  <c r="L71" i="82" s="1"/>
  <c r="H70" i="82"/>
  <c r="F70" i="82"/>
  <c r="L70" i="82" s="1"/>
  <c r="H69" i="82"/>
  <c r="F69" i="82"/>
  <c r="L69" i="82" s="1"/>
  <c r="H68" i="82"/>
  <c r="F68" i="82"/>
  <c r="L68" i="82" s="1"/>
  <c r="H67" i="82"/>
  <c r="F67" i="82"/>
  <c r="L67" i="82" s="1"/>
  <c r="H66" i="82"/>
  <c r="F66" i="82"/>
  <c r="L66" i="82" s="1"/>
  <c r="H65" i="82"/>
  <c r="F65" i="82"/>
  <c r="L65" i="82" s="1"/>
  <c r="F64" i="82"/>
  <c r="L64" i="82" s="1"/>
  <c r="F63" i="82"/>
  <c r="L63" i="82" s="1"/>
  <c r="F62" i="82"/>
  <c r="L62" i="82" s="1"/>
  <c r="F61" i="82"/>
  <c r="L61" i="82" s="1"/>
  <c r="F60" i="82"/>
  <c r="L60" i="82" s="1"/>
  <c r="F59" i="82"/>
  <c r="L59" i="82" s="1"/>
  <c r="F58" i="82"/>
  <c r="L58" i="82" s="1"/>
  <c r="F57" i="82"/>
  <c r="L57" i="82" s="1"/>
  <c r="F56" i="82"/>
  <c r="L56" i="82" s="1"/>
  <c r="F55" i="82"/>
  <c r="L55" i="82" s="1"/>
  <c r="F54" i="82"/>
  <c r="L54" i="82" s="1"/>
  <c r="F53" i="82"/>
  <c r="L53" i="82" s="1"/>
  <c r="H52" i="82"/>
  <c r="F52" i="82"/>
  <c r="H51" i="82"/>
  <c r="F51" i="82"/>
  <c r="L51" i="82" s="1"/>
  <c r="H50" i="82"/>
  <c r="F50" i="82"/>
  <c r="L50" i="82" s="1"/>
  <c r="H49" i="82"/>
  <c r="F49" i="82"/>
  <c r="L49" i="82" s="1"/>
  <c r="H48" i="82"/>
  <c r="F48" i="82"/>
  <c r="H47" i="82"/>
  <c r="F47" i="82"/>
  <c r="L47" i="82" s="1"/>
  <c r="H45" i="82"/>
  <c r="F45" i="82"/>
  <c r="L45" i="82" s="1"/>
  <c r="H44" i="82"/>
  <c r="F44" i="82"/>
  <c r="L44" i="82" s="1"/>
  <c r="H43" i="82"/>
  <c r="F43" i="82"/>
  <c r="L43" i="82" s="1"/>
  <c r="F42" i="82"/>
  <c r="L42" i="82" s="1"/>
  <c r="H41" i="82"/>
  <c r="F41" i="82"/>
  <c r="L41" i="82" s="1"/>
  <c r="H40" i="82"/>
  <c r="F40" i="82"/>
  <c r="L40" i="82" s="1"/>
  <c r="H39" i="82"/>
  <c r="F39" i="82"/>
  <c r="L39" i="82" s="1"/>
  <c r="H38" i="82"/>
  <c r="F38" i="82"/>
  <c r="L38" i="82" s="1"/>
  <c r="F37" i="82"/>
  <c r="L37" i="82" s="1"/>
  <c r="F36" i="82"/>
  <c r="L36" i="82" s="1"/>
  <c r="F35" i="82"/>
  <c r="L35" i="82" s="1"/>
  <c r="H34" i="82"/>
  <c r="F34" i="82"/>
  <c r="L34" i="82" s="1"/>
  <c r="F33" i="82"/>
  <c r="L33" i="82" s="1"/>
  <c r="H32" i="82"/>
  <c r="F32" i="82"/>
  <c r="H31" i="82"/>
  <c r="F31" i="82"/>
  <c r="L31" i="82" s="1"/>
  <c r="H30" i="82"/>
  <c r="F30" i="82"/>
  <c r="L30" i="82" s="1"/>
  <c r="H29" i="82"/>
  <c r="F29" i="82"/>
  <c r="L29" i="82" s="1"/>
  <c r="F28" i="82"/>
  <c r="L28" i="82" s="1"/>
  <c r="F27" i="82"/>
  <c r="L27" i="82" s="1"/>
  <c r="F26" i="82"/>
  <c r="L26" i="82" s="1"/>
  <c r="H25" i="82"/>
  <c r="F25" i="82"/>
  <c r="F24" i="82"/>
  <c r="L24" i="82" s="1"/>
  <c r="F23" i="82"/>
  <c r="L23" i="82" s="1"/>
  <c r="F22" i="82"/>
  <c r="L22" i="82" s="1"/>
  <c r="F21" i="82"/>
  <c r="L21" i="82" s="1"/>
  <c r="H20" i="82"/>
  <c r="F20" i="82"/>
  <c r="H18" i="82"/>
  <c r="F18" i="82"/>
  <c r="L18" i="82" s="1"/>
  <c r="H17" i="82"/>
  <c r="F17" i="82"/>
  <c r="L17" i="82" s="1"/>
  <c r="H16" i="82"/>
  <c r="F16" i="82"/>
  <c r="H15" i="82"/>
  <c r="F15" i="82"/>
  <c r="L15" i="82" s="1"/>
  <c r="F14" i="82"/>
  <c r="L14" i="82" s="1"/>
  <c r="F13" i="82"/>
  <c r="L13" i="82" s="1"/>
  <c r="F12" i="82"/>
  <c r="L12" i="82" s="1"/>
  <c r="F11" i="82"/>
  <c r="L11" i="82" s="1"/>
  <c r="F10" i="82"/>
  <c r="L10" i="82" s="1"/>
  <c r="F9" i="82"/>
  <c r="F19" i="82" s="1"/>
  <c r="F8" i="82"/>
  <c r="L8" i="82" s="1"/>
  <c r="L7" i="82"/>
  <c r="H7" i="82"/>
  <c r="L6" i="82"/>
  <c r="L5" i="82"/>
  <c r="H5" i="82"/>
  <c r="L4" i="82"/>
  <c r="H4" i="82"/>
  <c r="H3" i="82"/>
  <c r="H2" i="82"/>
  <c r="L87" i="82" l="1"/>
  <c r="L32" i="82"/>
  <c r="L89" i="82"/>
  <c r="L25" i="82"/>
  <c r="E104" i="82"/>
  <c r="L9" i="82"/>
  <c r="L52" i="82"/>
  <c r="F103" i="82"/>
  <c r="G106" i="82" s="1"/>
  <c r="F74" i="82"/>
  <c r="L74" i="82" s="1"/>
  <c r="F102" i="82"/>
  <c r="L19" i="82"/>
  <c r="L16" i="82"/>
  <c r="L48" i="82"/>
  <c r="L75" i="82"/>
  <c r="E103" i="82"/>
  <c r="L20" i="82"/>
  <c r="F46" i="82"/>
  <c r="L46" i="82" s="1"/>
  <c r="L85" i="82"/>
  <c r="N6" i="1"/>
  <c r="A3" i="3"/>
  <c r="O16" i="3"/>
  <c r="G22" i="6" s="1"/>
  <c r="M15" i="3"/>
  <c r="F21" i="6" s="1"/>
  <c r="K14" i="3"/>
  <c r="F20" i="6" s="1"/>
  <c r="I13" i="3"/>
  <c r="F19" i="6" s="1"/>
  <c r="M24" i="80"/>
  <c r="Q10" i="80"/>
  <c r="N9" i="1" l="1"/>
  <c r="Y9" i="1" s="1"/>
  <c r="Y6" i="1"/>
  <c r="G103" i="82"/>
  <c r="N8" i="1"/>
  <c r="Y8" i="1" s="1"/>
  <c r="N7" i="1"/>
  <c r="Y7" i="1" s="1"/>
  <c r="F104" i="82"/>
  <c r="G104" i="82" s="1"/>
  <c r="F106" i="82"/>
  <c r="W26" i="79"/>
  <c r="W27" i="79"/>
  <c r="W28" i="79"/>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M35" i="79"/>
  <c r="W35" i="79" s="1"/>
  <c r="L35" i="79"/>
  <c r="I35" i="79"/>
  <c r="AD35" i="79" s="1"/>
  <c r="AB34" i="79"/>
  <c r="AA34" i="79"/>
  <c r="Z34" i="79"/>
  <c r="N34" i="79"/>
  <c r="M34" i="79"/>
  <c r="W34" i="79" s="1"/>
  <c r="L34" i="79"/>
  <c r="I34" i="79"/>
  <c r="AB33" i="79"/>
  <c r="AA33" i="79"/>
  <c r="Z33" i="79"/>
  <c r="N33" i="79"/>
  <c r="M33" i="79"/>
  <c r="W33" i="79" s="1"/>
  <c r="L33" i="79"/>
  <c r="I33" i="79"/>
  <c r="AB32" i="79"/>
  <c r="AA32" i="79"/>
  <c r="Z32" i="79"/>
  <c r="N32" i="79"/>
  <c r="M32" i="79"/>
  <c r="W32" i="79" s="1"/>
  <c r="L32" i="79"/>
  <c r="I32" i="79"/>
  <c r="AB31" i="79"/>
  <c r="AA31" i="79"/>
  <c r="Z31" i="79"/>
  <c r="N31" i="79"/>
  <c r="M31" i="79"/>
  <c r="W31" i="79" s="1"/>
  <c r="L31" i="79"/>
  <c r="I31" i="79"/>
  <c r="AB30" i="79"/>
  <c r="AA30" i="79"/>
  <c r="Z30" i="79"/>
  <c r="N30" i="79"/>
  <c r="M30" i="79"/>
  <c r="L30" i="79"/>
  <c r="I30" i="79"/>
  <c r="AB29" i="79"/>
  <c r="AA29" i="79"/>
  <c r="Z29" i="79"/>
  <c r="N29" i="79"/>
  <c r="M29" i="79"/>
  <c r="L29" i="79"/>
  <c r="I29" i="79"/>
  <c r="AB25" i="79"/>
  <c r="AA25" i="79"/>
  <c r="AA23" i="79" s="1"/>
  <c r="AD23" i="79" s="1"/>
  <c r="Z25" i="79"/>
  <c r="N25" i="79"/>
  <c r="M25" i="79"/>
  <c r="W25" i="79" s="1"/>
  <c r="L25" i="79"/>
  <c r="S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N15" i="79"/>
  <c r="M15" i="79"/>
  <c r="P15" i="79" s="1"/>
  <c r="L15" i="79"/>
  <c r="K15" i="79"/>
  <c r="I15" i="79"/>
  <c r="AC14" i="79"/>
  <c r="AB14" i="79"/>
  <c r="AA14" i="79"/>
  <c r="AD14" i="79" s="1"/>
  <c r="Z14" i="79"/>
  <c r="Y14" i="79"/>
  <c r="O14" i="79"/>
  <c r="N14" i="79"/>
  <c r="M14" i="79"/>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W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W10" i="79" s="1"/>
  <c r="L10" i="79"/>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P12" i="79"/>
  <c r="R3" i="79"/>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21" i="43"/>
  <c r="K21" i="43"/>
  <c r="M21" i="43"/>
  <c r="O21" i="43"/>
  <c r="D21" i="43"/>
  <c r="H21" i="43"/>
  <c r="J21" i="43"/>
  <c r="L21" i="43"/>
  <c r="G18" i="43"/>
  <c r="W9" i="79" s="1"/>
  <c r="W11" i="79" s="1"/>
  <c r="W13" i="79" s="1"/>
  <c r="W15" i="79" s="1"/>
  <c r="P25" i="79"/>
  <c r="P30" i="79"/>
  <c r="P32" i="79"/>
  <c r="P34" i="79"/>
  <c r="P31" i="79"/>
  <c r="P35" i="79"/>
  <c r="E25" i="78"/>
  <c r="E24" i="78"/>
  <c r="F23" i="78"/>
  <c r="F24" i="78" s="1"/>
  <c r="F25" i="78" s="1"/>
  <c r="E23" i="78"/>
  <c r="E22" i="78"/>
  <c r="G22" i="78" s="1"/>
  <c r="F12" i="78"/>
  <c r="F11" i="78"/>
  <c r="D7" i="78"/>
  <c r="D6" i="78"/>
  <c r="D5" i="78"/>
  <c r="T23" i="79" l="1"/>
  <c r="W23" i="79" s="1"/>
  <c r="AD31" i="79"/>
  <c r="AA3" i="79"/>
  <c r="AD3" i="79" s="1"/>
  <c r="E21" i="43"/>
  <c r="AB3" i="79"/>
  <c r="U23" i="79"/>
  <c r="AD29" i="79"/>
  <c r="Z23" i="79"/>
  <c r="W30" i="79" s="1"/>
  <c r="W29" i="79" s="1"/>
  <c r="AD33" i="79"/>
  <c r="L3" i="79"/>
  <c r="R5" i="79"/>
  <c r="V5" i="79"/>
  <c r="L23" i="79"/>
  <c r="C15" i="78"/>
  <c r="T5" i="79"/>
  <c r="W5" i="79" s="1"/>
  <c r="R8" i="79"/>
  <c r="R6" i="79"/>
  <c r="R7" i="79"/>
  <c r="P9" i="79"/>
  <c r="T7" i="79"/>
  <c r="W7" i="79" s="1"/>
  <c r="T8" i="79"/>
  <c r="W8" i="79" s="1"/>
  <c r="T6" i="79"/>
  <c r="W6" i="79" s="1"/>
  <c r="V6" i="79"/>
  <c r="V8" i="79"/>
  <c r="V7" i="79"/>
  <c r="C18" i="78"/>
  <c r="P33" i="79"/>
  <c r="P29" i="79"/>
  <c r="P14" i="79"/>
  <c r="K3" i="79"/>
  <c r="M3" i="79"/>
  <c r="P3" i="79" s="1"/>
  <c r="O3" i="79"/>
  <c r="T3" i="79"/>
  <c r="W3" i="79" s="1"/>
  <c r="V3" i="79"/>
  <c r="S5" i="79"/>
  <c r="U5" i="79"/>
  <c r="P5" i="79"/>
  <c r="S8" i="79"/>
  <c r="S7" i="79"/>
  <c r="S6" i="79"/>
  <c r="U8" i="79"/>
  <c r="U6" i="79"/>
  <c r="U7" i="79"/>
  <c r="M23" i="79"/>
  <c r="P23" i="79" s="1"/>
  <c r="AD30" i="79"/>
  <c r="AD32" i="79"/>
  <c r="AD34" i="79"/>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R25" i="77" l="1"/>
  <c r="D32" i="77"/>
  <c r="D7" i="77"/>
  <c r="C26" i="77" s="1"/>
  <c r="C32" i="77" s="1"/>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O24" i="71"/>
  <c r="C24" i="71"/>
  <c r="C23" i="71" s="1"/>
  <c r="Q25" i="7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E68" i="71"/>
  <c r="P68" i="71" s="1"/>
  <c r="C68" i="71"/>
  <c r="B68" i="71"/>
  <c r="S68" i="71" s="1"/>
  <c r="B67" i="71"/>
  <c r="B66" i="71" s="1"/>
  <c r="N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X38" i="71" s="1"/>
  <c r="Q37" i="71"/>
  <c r="F38" i="71" s="1"/>
  <c r="P37" i="71"/>
  <c r="O37" i="71"/>
  <c r="C38" i="71" s="1"/>
  <c r="N37" i="71"/>
  <c r="B38" i="71" s="1"/>
  <c r="B39" i="71" s="1"/>
  <c r="B40" i="71" s="1"/>
  <c r="S40" i="71" s="1"/>
  <c r="D37" i="71"/>
  <c r="Q36" i="71"/>
  <c r="P36" i="71"/>
  <c r="O36" i="71"/>
  <c r="N36" i="71"/>
  <c r="Q35" i="71"/>
  <c r="P35" i="71"/>
  <c r="O35" i="71"/>
  <c r="N35" i="71"/>
  <c r="Q34" i="71"/>
  <c r="AB34" i="71" s="1"/>
  <c r="P34" i="71"/>
  <c r="O34" i="71"/>
  <c r="N34" i="71"/>
  <c r="Q33" i="71"/>
  <c r="F34" i="71" s="1"/>
  <c r="P33" i="71"/>
  <c r="O33" i="71"/>
  <c r="N33" i="71"/>
  <c r="D33" i="71"/>
  <c r="Q32" i="71"/>
  <c r="P32" i="71"/>
  <c r="O32" i="71"/>
  <c r="N32" i="71"/>
  <c r="Q31" i="71"/>
  <c r="P31" i="71"/>
  <c r="O31" i="71"/>
  <c r="N31" i="71"/>
  <c r="Q30" i="71"/>
  <c r="AB30" i="71" s="1"/>
  <c r="P30" i="71"/>
  <c r="O30" i="71"/>
  <c r="N30" i="71"/>
  <c r="Q29" i="71"/>
  <c r="P29" i="71"/>
  <c r="O29" i="71"/>
  <c r="C30" i="71" s="1"/>
  <c r="D30" i="71" s="1"/>
  <c r="N29" i="71"/>
  <c r="D29" i="71"/>
  <c r="O28" i="71"/>
  <c r="N28" i="71"/>
  <c r="B30" i="71"/>
  <c r="B31" i="71" s="1"/>
  <c r="E30" i="71"/>
  <c r="E31" i="71" s="1"/>
  <c r="E32" i="71"/>
  <c r="U32" i="71" s="1"/>
  <c r="B34" i="71"/>
  <c r="B35" i="71" s="1"/>
  <c r="E38" i="71"/>
  <c r="E39" i="71" s="1"/>
  <c r="N68" i="71"/>
  <c r="E34" i="71"/>
  <c r="E35" i="71" s="1"/>
  <c r="E36" i="71" s="1"/>
  <c r="U36" i="71" s="1"/>
  <c r="C34" i="71"/>
  <c r="C35" i="71" s="1"/>
  <c r="D35" i="71" s="1"/>
  <c r="AA35" i="71"/>
  <c r="AA36" i="71"/>
  <c r="C28" i="71"/>
  <c r="C27" i="71" s="1"/>
  <c r="C26" i="71" s="1"/>
  <c r="D26" i="71" s="1"/>
  <c r="D34" i="71"/>
  <c r="D38" i="71"/>
  <c r="D42" i="71"/>
  <c r="P28" i="71"/>
  <c r="AA25" i="71" s="1"/>
  <c r="U68" i="71"/>
  <c r="E67" i="71"/>
  <c r="E66" i="71" s="1"/>
  <c r="P66" i="71" s="1"/>
  <c r="Q28" i="71"/>
  <c r="AB25" i="71" s="1"/>
  <c r="C59" i="71"/>
  <c r="D59" i="71" s="1"/>
  <c r="C67" i="71"/>
  <c r="O67" i="71" s="1"/>
  <c r="C71" i="71"/>
  <c r="D71" i="71" s="1"/>
  <c r="E71" i="71"/>
  <c r="E70" i="71" s="1"/>
  <c r="D72" i="71"/>
  <c r="E75" i="71"/>
  <c r="E74" i="71"/>
  <c r="C79" i="71"/>
  <c r="C78" i="71" s="1"/>
  <c r="D78" i="71" s="1"/>
  <c r="E79" i="71"/>
  <c r="E78" i="71" s="1"/>
  <c r="D80" i="71"/>
  <c r="C83" i="71"/>
  <c r="D83" i="71" s="1"/>
  <c r="C87" i="71"/>
  <c r="D87" i="71" s="1"/>
  <c r="E28" i="71"/>
  <c r="N66" i="71"/>
  <c r="C86" i="71"/>
  <c r="D86" i="71" s="1"/>
  <c r="P67" i="71"/>
  <c r="C44" i="71"/>
  <c r="T44" i="71" s="1"/>
  <c r="P65"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21" i="34" s="1"/>
  <c r="C21" i="34"/>
  <c r="Q21" i="33"/>
  <c r="Z21" i="33" s="1"/>
  <c r="D83" i="33"/>
  <c r="E83" i="33" s="1"/>
  <c r="F83" i="33" s="1"/>
  <c r="G83" i="33" s="1"/>
  <c r="C21" i="33"/>
  <c r="C21" i="21"/>
  <c r="Q21" i="21"/>
  <c r="Z21" i="21" s="1"/>
  <c r="H19" i="21"/>
  <c r="D83" i="21"/>
  <c r="E83" i="21" s="1"/>
  <c r="F21" i="21"/>
  <c r="AA21" i="21" s="1"/>
  <c r="D81" i="21"/>
  <c r="G20" i="20"/>
  <c r="B88" i="43" s="1"/>
  <c r="C22" i="20"/>
  <c r="C25" i="40"/>
  <c r="S25" i="40"/>
  <c r="U18" i="36"/>
  <c r="H25" i="40"/>
  <c r="AB25" i="40" s="1"/>
  <c r="J25" i="40"/>
  <c r="H29" i="39"/>
  <c r="AB29" i="39" s="1"/>
  <c r="J29" i="39"/>
  <c r="AC29" i="39" s="1"/>
  <c r="J18" i="36"/>
  <c r="W18" i="36" s="1"/>
  <c r="F68" i="35"/>
  <c r="G68" i="35" s="1"/>
  <c r="H18" i="35"/>
  <c r="AB18" i="35" s="1"/>
  <c r="S18" i="35"/>
  <c r="J18" i="35"/>
  <c r="H21" i="37"/>
  <c r="AB21" i="37" s="1"/>
  <c r="F21" i="37"/>
  <c r="F84" i="34"/>
  <c r="G84" i="34" s="1"/>
  <c r="H21" i="34"/>
  <c r="U21" i="34" s="1"/>
  <c r="H21" i="33"/>
  <c r="U21" i="33" s="1"/>
  <c r="F21" i="33"/>
  <c r="AA21" i="33" s="1"/>
  <c r="S21" i="21"/>
  <c r="H1" i="69"/>
  <c r="AC25" i="40"/>
  <c r="W25" i="40"/>
  <c r="U25" i="40"/>
  <c r="W29" i="39"/>
  <c r="AC18" i="36"/>
  <c r="AA21" i="37"/>
  <c r="S21" i="37"/>
  <c r="AB21" i="33"/>
  <c r="S21" i="33"/>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G83"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A282" i="3" s="1"/>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AZ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A468" i="3" s="1"/>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D3" i="87"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C23" i="37"/>
  <c r="C19" i="37"/>
  <c r="C17" i="37"/>
  <c r="C15" i="37"/>
  <c r="B112" i="37"/>
  <c r="D107" i="37"/>
  <c r="E107" i="37" s="1"/>
  <c r="D105" i="37"/>
  <c r="E105" i="37" s="1"/>
  <c r="F105" i="37" s="1"/>
  <c r="D103" i="37"/>
  <c r="E103" i="37" s="1"/>
  <c r="F103" i="37" s="1"/>
  <c r="J35" i="37"/>
  <c r="W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D71" i="37"/>
  <c r="E71" i="37" s="1"/>
  <c r="H15" i="37"/>
  <c r="AB15" i="37"/>
  <c r="B68" i="37"/>
  <c r="J14" i="37" s="1"/>
  <c r="AC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c r="F64" i="36" s="1"/>
  <c r="G64" i="36" s="1"/>
  <c r="J16" i="36"/>
  <c r="W16" i="36" s="1"/>
  <c r="D62" i="36"/>
  <c r="E62" i="36"/>
  <c r="F62" i="36" s="1"/>
  <c r="G62" i="36" s="1"/>
  <c r="B59" i="36"/>
  <c r="H13" i="36" s="1"/>
  <c r="AB13" i="36" s="1"/>
  <c r="B57" i="36"/>
  <c r="J12" i="36" s="1"/>
  <c r="B55" i="36"/>
  <c r="H11" i="36" s="1"/>
  <c r="U11"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F34" i="35" s="1"/>
  <c r="B77" i="35"/>
  <c r="B75" i="35"/>
  <c r="J24" i="35"/>
  <c r="AC24" i="35" s="1"/>
  <c r="B73" i="35"/>
  <c r="B57" i="35"/>
  <c r="B61" i="35"/>
  <c r="B59" i="35"/>
  <c r="J12" i="35" s="1"/>
  <c r="W12" i="35" s="1"/>
  <c r="B131" i="34"/>
  <c r="F47" i="34" s="1"/>
  <c r="S47" i="34" s="1"/>
  <c r="B129" i="34"/>
  <c r="B127" i="34"/>
  <c r="B99" i="34"/>
  <c r="H32" i="34" s="1"/>
  <c r="B97" i="34"/>
  <c r="F31" i="34" s="1"/>
  <c r="S31" i="34" s="1"/>
  <c r="B95" i="34"/>
  <c r="B93" i="34"/>
  <c r="B75" i="34"/>
  <c r="H14" i="34" s="1"/>
  <c r="B73" i="34"/>
  <c r="J13" i="34" s="1"/>
  <c r="W13" i="34" s="1"/>
  <c r="B71" i="34"/>
  <c r="B130" i="33"/>
  <c r="B128" i="33"/>
  <c r="J45" i="33" s="1"/>
  <c r="W45" i="33" s="1"/>
  <c r="B126" i="33"/>
  <c r="F44" i="33" s="1"/>
  <c r="S44" i="33" s="1"/>
  <c r="B98" i="33"/>
  <c r="B96" i="33"/>
  <c r="B94" i="33"/>
  <c r="F29" i="33" s="1"/>
  <c r="S29" i="33" s="1"/>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Q33" i="35"/>
  <c r="Z33" i="35" s="1"/>
  <c r="Q32" i="35"/>
  <c r="Z32" i="35" s="1"/>
  <c r="H32" i="35"/>
  <c r="AB32" i="35" s="1"/>
  <c r="F32" i="35"/>
  <c r="AA32" i="35" s="1"/>
  <c r="Q31" i="35"/>
  <c r="Z31" i="35" s="1"/>
  <c r="AC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c r="Q10" i="34"/>
  <c r="Z10" i="34" s="1"/>
  <c r="F10" i="34"/>
  <c r="AA10" i="34" s="1"/>
  <c r="Q9" i="34"/>
  <c r="Z9" i="34" s="1"/>
  <c r="J9" i="34"/>
  <c r="H9" i="34"/>
  <c r="F9" i="34"/>
  <c r="AA9" i="34" s="1"/>
  <c r="J8" i="34"/>
  <c r="AC8" i="34" s="1"/>
  <c r="H8" i="34"/>
  <c r="U8" i="34" s="1"/>
  <c r="F8" i="34"/>
  <c r="S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c r="Q44" i="33"/>
  <c r="Z44" i="33" s="1"/>
  <c r="Q43" i="33"/>
  <c r="Z43" i="33"/>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J46" i="21" s="1"/>
  <c r="B128" i="21"/>
  <c r="B126" i="21"/>
  <c r="B98" i="21"/>
  <c r="B96" i="21"/>
  <c r="B94" i="21"/>
  <c r="J29" i="21" s="1"/>
  <c r="AC29" i="21" s="1"/>
  <c r="B92" i="21"/>
  <c r="B90" i="21"/>
  <c r="B74" i="21"/>
  <c r="B72" i="21"/>
  <c r="H13" i="2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35" i="39"/>
  <c r="F35" i="39"/>
  <c r="G103" i="37"/>
  <c r="H103" i="37" s="1"/>
  <c r="I103" i="37" s="1"/>
  <c r="J103" i="37" s="1"/>
  <c r="K103" i="37" s="1"/>
  <c r="L103" i="37" s="1"/>
  <c r="M103" i="37" s="1"/>
  <c r="F39" i="37"/>
  <c r="F29" i="36"/>
  <c r="AA29" i="36" s="1"/>
  <c r="F16" i="36"/>
  <c r="AA16" i="36" s="1"/>
  <c r="W28" i="36"/>
  <c r="J33" i="36"/>
  <c r="AC33" i="36" s="1"/>
  <c r="H22" i="35"/>
  <c r="AB22" i="35" s="1"/>
  <c r="AC27" i="35"/>
  <c r="W28" i="35"/>
  <c r="W22" i="35"/>
  <c r="S31" i="35"/>
  <c r="F36" i="34"/>
  <c r="S36" i="34" s="1"/>
  <c r="J35" i="34"/>
  <c r="AC35" i="34" s="1"/>
  <c r="H39" i="33"/>
  <c r="AB39" i="33" s="1"/>
  <c r="F26" i="33"/>
  <c r="U33" i="33"/>
  <c r="S40" i="33"/>
  <c r="H39" i="37"/>
  <c r="U39" i="37" s="1"/>
  <c r="F11" i="40"/>
  <c r="AA11" i="40" s="1"/>
  <c r="H11" i="40"/>
  <c r="AB11" i="40" s="1"/>
  <c r="W8" i="40"/>
  <c r="AC40" i="40"/>
  <c r="AA9" i="40"/>
  <c r="AC9" i="40"/>
  <c r="U9" i="40"/>
  <c r="S34" i="40"/>
  <c r="U34" i="40"/>
  <c r="U40" i="40"/>
  <c r="F42" i="39"/>
  <c r="AA42" i="39" s="1"/>
  <c r="F41" i="39"/>
  <c r="S41" i="39" s="1"/>
  <c r="H40" i="39"/>
  <c r="H39" i="39"/>
  <c r="U39" i="39" s="1"/>
  <c r="H34" i="39"/>
  <c r="U34" i="39" s="1"/>
  <c r="E108"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F37" i="39"/>
  <c r="AA37" i="39" s="1"/>
  <c r="U30" i="36"/>
  <c r="J30" i="35"/>
  <c r="W30" i="35" s="1"/>
  <c r="H30" i="35"/>
  <c r="AB30" i="35" s="1"/>
  <c r="F22" i="35"/>
  <c r="AA22" i="35"/>
  <c r="H10" i="35"/>
  <c r="U10" i="35" s="1"/>
  <c r="AC16" i="36"/>
  <c r="F33" i="36"/>
  <c r="AA33" i="36"/>
  <c r="W30" i="36"/>
  <c r="H16" i="36"/>
  <c r="AB16" i="36" s="1"/>
  <c r="J29" i="36"/>
  <c r="AC29" i="36" s="1"/>
  <c r="F34" i="36"/>
  <c r="S34" i="36" s="1"/>
  <c r="F14" i="35"/>
  <c r="AA14" i="35" s="1"/>
  <c r="J32" i="35"/>
  <c r="AC32" i="35" s="1"/>
  <c r="J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28" i="34"/>
  <c r="AA28" i="34"/>
  <c r="F25" i="34"/>
  <c r="S25" i="34" s="1"/>
  <c r="F19" i="34"/>
  <c r="AA19" i="34" s="1"/>
  <c r="H17" i="34"/>
  <c r="U17"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S34" i="37"/>
  <c r="J43" i="34"/>
  <c r="AC43" i="34" s="1"/>
  <c r="AB42" i="34"/>
  <c r="J40" i="34"/>
  <c r="AC40" i="34" s="1"/>
  <c r="H38" i="34"/>
  <c r="AB38" i="34"/>
  <c r="J36" i="34"/>
  <c r="W36" i="34" s="1"/>
  <c r="H25" i="34"/>
  <c r="AB25" i="34" s="1"/>
  <c r="J25" i="34"/>
  <c r="AC25" i="34" s="1"/>
  <c r="F23" i="34"/>
  <c r="AA23" i="34" s="1"/>
  <c r="J19" i="34"/>
  <c r="AC19" i="34" s="1"/>
  <c r="S41" i="33"/>
  <c r="H37" i="33"/>
  <c r="AB37" i="33" s="1"/>
  <c r="H15" i="33"/>
  <c r="AB15" i="33" s="1"/>
  <c r="H11" i="33"/>
  <c r="F28" i="40"/>
  <c r="AA28" i="40" s="1"/>
  <c r="AC38" i="34"/>
  <c r="AA38" i="34"/>
  <c r="J11" i="33"/>
  <c r="W11" i="33" s="1"/>
  <c r="S28" i="34"/>
  <c r="U23" i="40"/>
  <c r="J42" i="21"/>
  <c r="AC42" i="21" s="1"/>
  <c r="H42" i="21"/>
  <c r="U42" i="21" s="1"/>
  <c r="J44" i="34"/>
  <c r="W44" i="34" s="1"/>
  <c r="F44" i="34"/>
  <c r="AA44" i="34" s="1"/>
  <c r="J10" i="35"/>
  <c r="AC10" i="35" s="1"/>
  <c r="BL587" i="3"/>
  <c r="J44" i="21"/>
  <c r="AC44" i="21" s="1"/>
  <c r="H44" i="21"/>
  <c r="U44" i="21" s="1"/>
  <c r="F44" i="21"/>
  <c r="AA44" i="21" s="1"/>
  <c r="H46" i="21"/>
  <c r="U46" i="21" s="1"/>
  <c r="F46" i="21"/>
  <c r="AA46" i="21" s="1"/>
  <c r="E119" i="21"/>
  <c r="F119" i="21" s="1"/>
  <c r="G119" i="21" s="1"/>
  <c r="H119" i="21" s="1"/>
  <c r="I119" i="21" s="1"/>
  <c r="J119" i="21" s="1"/>
  <c r="K119" i="21" s="1"/>
  <c r="L119" i="21" s="1"/>
  <c r="M119" i="21" s="1"/>
  <c r="H28" i="33"/>
  <c r="U28"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AA27" i="33"/>
  <c r="J13" i="33"/>
  <c r="H13" i="33"/>
  <c r="U13" i="33" s="1"/>
  <c r="F13" i="33"/>
  <c r="S13" i="33" s="1"/>
  <c r="J29" i="33"/>
  <c r="AC29" i="33" s="1"/>
  <c r="H29" i="33"/>
  <c r="U29" i="33" s="1"/>
  <c r="J31" i="33"/>
  <c r="W31" i="33" s="1"/>
  <c r="H31" i="33"/>
  <c r="U31" i="33" s="1"/>
  <c r="F31" i="33"/>
  <c r="F45" i="33"/>
  <c r="J14" i="34"/>
  <c r="W14" i="34" s="1"/>
  <c r="H30" i="34"/>
  <c r="F30" i="34"/>
  <c r="S30" i="34" s="1"/>
  <c r="J30" i="34"/>
  <c r="W30" i="34" s="1"/>
  <c r="F32" i="34"/>
  <c r="J32" i="34"/>
  <c r="W32" i="34" s="1"/>
  <c r="H46" i="34"/>
  <c r="U46" i="34" s="1"/>
  <c r="F46" i="34"/>
  <c r="J46" i="34"/>
  <c r="H11" i="35"/>
  <c r="AB11" i="35" s="1"/>
  <c r="J11" i="35"/>
  <c r="F11" i="35"/>
  <c r="S11" i="35" s="1"/>
  <c r="J26" i="36"/>
  <c r="W26" i="36" s="1"/>
  <c r="H28" i="36"/>
  <c r="U28" i="36" s="1"/>
  <c r="J32" i="36"/>
  <c r="W32" i="36" s="1"/>
  <c r="J11" i="36"/>
  <c r="AC11" i="36" s="1"/>
  <c r="F11" i="36"/>
  <c r="AA11" i="36" s="1"/>
  <c r="J13" i="36"/>
  <c r="W13" i="36" s="1"/>
  <c r="F13" i="36"/>
  <c r="S13" i="36" s="1"/>
  <c r="E89" i="37"/>
  <c r="F89" i="37" s="1"/>
  <c r="G89" i="37" s="1"/>
  <c r="H89" i="37" s="1"/>
  <c r="I89" i="37" s="1"/>
  <c r="J89" i="37" s="1"/>
  <c r="K89" i="37" s="1"/>
  <c r="L89" i="37" s="1"/>
  <c r="M89" i="37" s="1"/>
  <c r="J29" i="37"/>
  <c r="W29" i="37"/>
  <c r="F29" i="37"/>
  <c r="S29" i="37" s="1"/>
  <c r="H36" i="37"/>
  <c r="AB36" i="37" s="1"/>
  <c r="F107" i="37"/>
  <c r="J37" i="37"/>
  <c r="AC37" i="37" s="1"/>
  <c r="H37" i="37"/>
  <c r="U37" i="37" s="1"/>
  <c r="H40" i="37"/>
  <c r="U40" i="37" s="1"/>
  <c r="J40" i="37"/>
  <c r="F40" i="37"/>
  <c r="AA40" i="37" s="1"/>
  <c r="H14" i="33"/>
  <c r="U14" i="33" s="1"/>
  <c r="J14" i="33"/>
  <c r="H30" i="33"/>
  <c r="AB30" i="33" s="1"/>
  <c r="F30" i="33"/>
  <c r="J30" i="33"/>
  <c r="H44" i="33"/>
  <c r="J44" i="33"/>
  <c r="AC44" i="33" s="1"/>
  <c r="J46" i="33"/>
  <c r="AC46" i="33" s="1"/>
  <c r="F46" i="33"/>
  <c r="AA46" i="33" s="1"/>
  <c r="H46" i="33"/>
  <c r="AB46" i="33" s="1"/>
  <c r="F13" i="34"/>
  <c r="AA13" i="34" s="1"/>
  <c r="J29" i="34"/>
  <c r="F29" i="34"/>
  <c r="S29" i="34" s="1"/>
  <c r="H29" i="34"/>
  <c r="AB29" i="34" s="1"/>
  <c r="J31" i="34"/>
  <c r="AC31" i="34" s="1"/>
  <c r="H31" i="34"/>
  <c r="H45" i="34"/>
  <c r="U45" i="34" s="1"/>
  <c r="J45" i="34"/>
  <c r="W45" i="34" s="1"/>
  <c r="F45" i="34"/>
  <c r="S45" i="34" s="1"/>
  <c r="J47" i="34"/>
  <c r="F13" i="35"/>
  <c r="S13" i="35" s="1"/>
  <c r="J13" i="35"/>
  <c r="AC13" i="35" s="1"/>
  <c r="H13" i="35"/>
  <c r="U13" i="35" s="1"/>
  <c r="J25" i="35"/>
  <c r="W25" i="35" s="1"/>
  <c r="F25" i="35"/>
  <c r="S25" i="35" s="1"/>
  <c r="H25" i="35"/>
  <c r="AB25" i="35" s="1"/>
  <c r="F35" i="35"/>
  <c r="AA35" i="35" s="1"/>
  <c r="H35" i="35"/>
  <c r="H25" i="36"/>
  <c r="AB25" i="36" s="1"/>
  <c r="H13" i="37"/>
  <c r="AB13" i="37" s="1"/>
  <c r="F13" i="37"/>
  <c r="S13" i="37" s="1"/>
  <c r="J13" i="37"/>
  <c r="W13" i="37" s="1"/>
  <c r="AA28" i="37"/>
  <c r="AB38" i="37"/>
  <c r="H43" i="39"/>
  <c r="J14" i="39"/>
  <c r="AC14" i="39" s="1"/>
  <c r="H12" i="40"/>
  <c r="AB12" i="40" s="1"/>
  <c r="H30" i="40"/>
  <c r="AB30" i="40" s="1"/>
  <c r="J35" i="40"/>
  <c r="AC35" i="40" s="1"/>
  <c r="J37" i="40"/>
  <c r="AC37" i="40" s="1"/>
  <c r="H13" i="40"/>
  <c r="U13" i="40" s="1"/>
  <c r="J13" i="40"/>
  <c r="W13" i="40" s="1"/>
  <c r="F13" i="40"/>
  <c r="AA13" i="40" s="1"/>
  <c r="F14" i="37"/>
  <c r="J13" i="39"/>
  <c r="W13" i="39" s="1"/>
  <c r="H13" i="39"/>
  <c r="AB14" i="40"/>
  <c r="J27" i="37"/>
  <c r="AC27" i="37" s="1"/>
  <c r="AA44" i="33"/>
  <c r="J36" i="37"/>
  <c r="AC36" i="37" s="1"/>
  <c r="G105" i="37"/>
  <c r="J10" i="36"/>
  <c r="AC10" i="36" s="1"/>
  <c r="AC13" i="36"/>
  <c r="S11" i="36"/>
  <c r="AC30" i="34"/>
  <c r="AB31" i="33"/>
  <c r="W29" i="33"/>
  <c r="BA585" i="3"/>
  <c r="F17" i="21"/>
  <c r="AA17" i="21" s="1"/>
  <c r="H17" i="21"/>
  <c r="AB17" i="21" s="1"/>
  <c r="F15" i="21"/>
  <c r="S15" i="21" s="1"/>
  <c r="J41" i="39"/>
  <c r="W41" i="39" s="1"/>
  <c r="AC4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AZ528" i="3" s="1"/>
  <c r="BL524" i="3"/>
  <c r="BL514" i="3"/>
  <c r="BL504" i="3"/>
  <c r="BL496" i="3"/>
  <c r="BA584" i="3"/>
  <c r="BA576" i="3"/>
  <c r="AZ576" i="3" s="1"/>
  <c r="BA574" i="3"/>
  <c r="BA572" i="3"/>
  <c r="AZ572" i="3" s="1"/>
  <c r="BA570" i="3"/>
  <c r="AZ570" i="3" s="1"/>
  <c r="BA560" i="3"/>
  <c r="AZ560" i="3" s="1"/>
  <c r="BA558" i="3"/>
  <c r="BA556" i="3"/>
  <c r="AZ556" i="3" s="1"/>
  <c r="BA554" i="3"/>
  <c r="AZ554" i="3" s="1"/>
  <c r="BA552" i="3"/>
  <c r="BA548" i="3"/>
  <c r="BA546" i="3"/>
  <c r="AZ546" i="3" s="1"/>
  <c r="BA544" i="3"/>
  <c r="BA542" i="3"/>
  <c r="BA540" i="3"/>
  <c r="AZ540" i="3" s="1"/>
  <c r="BA538" i="3"/>
  <c r="AZ538" i="3" s="1"/>
  <c r="BA536" i="3"/>
  <c r="BA534" i="3"/>
  <c r="AZ534" i="3" s="1"/>
  <c r="BA532" i="3"/>
  <c r="BA530" i="3"/>
  <c r="BA528" i="3"/>
  <c r="BA526" i="3"/>
  <c r="BA520" i="3"/>
  <c r="BA512" i="3"/>
  <c r="BA510" i="3"/>
  <c r="BA508" i="3"/>
  <c r="BA504" i="3"/>
  <c r="AZ504" i="3" s="1"/>
  <c r="BA502" i="3"/>
  <c r="BA498" i="3"/>
  <c r="BA496" i="3"/>
  <c r="BA583" i="3"/>
  <c r="BA577" i="3"/>
  <c r="BA575" i="3"/>
  <c r="BA573" i="3"/>
  <c r="BA571" i="3"/>
  <c r="BA569" i="3"/>
  <c r="BA565" i="3"/>
  <c r="BA561" i="3"/>
  <c r="BA559" i="3"/>
  <c r="BA555" i="3"/>
  <c r="BA549" i="3"/>
  <c r="BA547" i="3"/>
  <c r="BA545" i="3"/>
  <c r="BA543" i="3"/>
  <c r="BA541" i="3"/>
  <c r="BA539" i="3"/>
  <c r="BA537" i="3"/>
  <c r="BA535" i="3"/>
  <c r="BA533" i="3"/>
  <c r="BA531" i="3"/>
  <c r="BA529" i="3"/>
  <c r="BA527" i="3"/>
  <c r="BA525" i="3"/>
  <c r="BA519" i="3"/>
  <c r="BA515" i="3"/>
  <c r="BA511" i="3"/>
  <c r="BA505" i="3"/>
  <c r="BA501" i="3"/>
  <c r="BA497" i="3"/>
  <c r="BA493" i="3"/>
  <c r="G583" i="3"/>
  <c r="G579" i="3"/>
  <c r="G577" i="3"/>
  <c r="G575" i="3"/>
  <c r="G573" i="3"/>
  <c r="G571" i="3"/>
  <c r="G567" i="3"/>
  <c r="G563" i="3"/>
  <c r="G561" i="3"/>
  <c r="BL558" i="3"/>
  <c r="BA557" i="3"/>
  <c r="AC557" i="3"/>
  <c r="G557" i="3" s="1"/>
  <c r="BQ557" i="3"/>
  <c r="BL557" i="3"/>
  <c r="BQ583" i="3"/>
  <c r="BL583" i="3" s="1"/>
  <c r="BQ581" i="3"/>
  <c r="BQ579" i="3"/>
  <c r="BQ577" i="3"/>
  <c r="BL577" i="3" s="1"/>
  <c r="BQ575" i="3"/>
  <c r="BL575" i="3" s="1"/>
  <c r="AZ575" i="3"/>
  <c r="BQ573" i="3"/>
  <c r="BL573" i="3" s="1"/>
  <c r="BQ571" i="3"/>
  <c r="BL571" i="3" s="1"/>
  <c r="AZ571" i="3"/>
  <c r="BQ569" i="3"/>
  <c r="BL569" i="3" s="1"/>
  <c r="BQ567" i="3"/>
  <c r="BQ565" i="3"/>
  <c r="BL565" i="3" s="1"/>
  <c r="BQ563" i="3"/>
  <c r="BQ561" i="3"/>
  <c r="BL561" i="3" s="1"/>
  <c r="BQ559" i="3"/>
  <c r="BL559" i="3" s="1"/>
  <c r="G559" i="3"/>
  <c r="G553" i="3"/>
  <c r="G547" i="3"/>
  <c r="G545" i="3"/>
  <c r="G543" i="3"/>
  <c r="G541" i="3"/>
  <c r="G539" i="3"/>
  <c r="G537" i="3"/>
  <c r="BQ555" i="3"/>
  <c r="BQ553" i="3"/>
  <c r="BL553" i="3" s="1"/>
  <c r="BQ551" i="3"/>
  <c r="BQ549" i="3"/>
  <c r="BQ547" i="3"/>
  <c r="BL547" i="3" s="1"/>
  <c r="AZ547" i="3" s="1"/>
  <c r="BQ545" i="3"/>
  <c r="BL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c r="AZ531" i="3" s="1"/>
  <c r="BQ529" i="3"/>
  <c r="BL529" i="3" s="1"/>
  <c r="BQ527" i="3"/>
  <c r="BL527" i="3" s="1"/>
  <c r="BQ525" i="3"/>
  <c r="BQ523" i="3"/>
  <c r="BL523" i="3" s="1"/>
  <c r="BA521" i="3"/>
  <c r="AC521" i="3"/>
  <c r="G521" i="3" s="1"/>
  <c r="BQ521" i="3"/>
  <c r="BL520" i="3"/>
  <c r="G519" i="3"/>
  <c r="G515" i="3"/>
  <c r="G511" i="3"/>
  <c r="BQ519" i="3"/>
  <c r="BL519" i="3" s="1"/>
  <c r="BQ517" i="3"/>
  <c r="BQ515" i="3"/>
  <c r="BL515" i="3"/>
  <c r="BQ513" i="3"/>
  <c r="BQ511" i="3"/>
  <c r="BL511" i="3" s="1"/>
  <c r="BA509" i="3"/>
  <c r="AC509" i="3"/>
  <c r="AC5" i="3" s="1"/>
  <c r="BQ509" i="3"/>
  <c r="BL508" i="3"/>
  <c r="G507" i="3"/>
  <c r="G503" i="3"/>
  <c r="G499" i="3"/>
  <c r="G495" i="3"/>
  <c r="BQ507" i="3"/>
  <c r="BL507" i="3" s="1"/>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F42" i="33"/>
  <c r="AA42" i="33"/>
  <c r="H28" i="34"/>
  <c r="AB28" i="34" s="1"/>
  <c r="F14" i="36"/>
  <c r="AA14" i="36" s="1"/>
  <c r="F22" i="36"/>
  <c r="S22" i="36" s="1"/>
  <c r="F26" i="36"/>
  <c r="S26" i="36" s="1"/>
  <c r="H35" i="34"/>
  <c r="U35" i="34" s="1"/>
  <c r="F41" i="34"/>
  <c r="AA41" i="34" s="1"/>
  <c r="H41" i="34"/>
  <c r="U41" i="34" s="1"/>
  <c r="J41" i="34"/>
  <c r="W41" i="34" s="1"/>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G123" i="33"/>
  <c r="H123" i="33" s="1"/>
  <c r="I123" i="33" s="1"/>
  <c r="J123" i="33" s="1"/>
  <c r="K123" i="33" s="1"/>
  <c r="L123" i="33" s="1"/>
  <c r="M123" i="33" s="1"/>
  <c r="H42" i="33"/>
  <c r="AB42" i="33" s="1"/>
  <c r="J43" i="33"/>
  <c r="AC43" i="33" s="1"/>
  <c r="S28" i="31"/>
  <c r="S27" i="31"/>
  <c r="S26" i="31"/>
  <c r="U14" i="40"/>
  <c r="W14" i="37"/>
  <c r="U33" i="37"/>
  <c r="AA13" i="33"/>
  <c r="AC31" i="33"/>
  <c r="AC45" i="33"/>
  <c r="W44" i="33"/>
  <c r="U19" i="21"/>
  <c r="W44" i="21"/>
  <c r="U26" i="21"/>
  <c r="AB38" i="21"/>
  <c r="F43" i="33"/>
  <c r="AA43" i="33" s="1"/>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19" i="40"/>
  <c r="U19" i="40" s="1"/>
  <c r="F88" i="40"/>
  <c r="G88"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c r="J50" i="40"/>
  <c r="H103" i="9"/>
  <c r="D8" i="53" s="1"/>
  <c r="B16" i="53"/>
  <c r="B33" i="72" s="1"/>
  <c r="C7" i="34"/>
  <c r="W35" i="40"/>
  <c r="A118" i="9"/>
  <c r="A4" i="52"/>
  <c r="B41" i="72" s="1"/>
  <c r="J11" i="39"/>
  <c r="W11" i="39" s="1"/>
  <c r="F11" i="39"/>
  <c r="G4" i="4"/>
  <c r="I4" i="4"/>
  <c r="A2" i="9"/>
  <c r="F61" i="43"/>
  <c r="H64" i="43" s="1"/>
  <c r="BL549" i="3"/>
  <c r="AZ549" i="3" s="1"/>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s="1"/>
  <c r="G117" i="3"/>
  <c r="BA119" i="3"/>
  <c r="BL120" i="3"/>
  <c r="G121" i="3"/>
  <c r="BA123" i="3"/>
  <c r="AZ123" i="3"/>
  <c r="BL124" i="3"/>
  <c r="G125" i="3"/>
  <c r="BA127" i="3"/>
  <c r="AZ127" i="3" s="1"/>
  <c r="BL128" i="3"/>
  <c r="G129" i="3"/>
  <c r="BA131" i="3"/>
  <c r="BL132" i="3"/>
  <c r="G133" i="3"/>
  <c r="BA135" i="3"/>
  <c r="BL136" i="3"/>
  <c r="G137" i="3"/>
  <c r="BA139" i="3"/>
  <c r="BL140" i="3"/>
  <c r="AZ140" i="3" s="1"/>
  <c r="G141" i="3"/>
  <c r="BA143" i="3"/>
  <c r="BL144" i="3"/>
  <c r="AZ144" i="3" s="1"/>
  <c r="G145" i="3"/>
  <c r="BA147" i="3"/>
  <c r="BL148" i="3"/>
  <c r="AZ148" i="3" s="1"/>
  <c r="G149" i="3"/>
  <c r="BA151" i="3"/>
  <c r="AZ151" i="3" s="1"/>
  <c r="BL152" i="3"/>
  <c r="AZ152" i="3" s="1"/>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c r="BL188" i="3"/>
  <c r="G189" i="3"/>
  <c r="BA191" i="3"/>
  <c r="BL192" i="3"/>
  <c r="G193" i="3"/>
  <c r="BA195" i="3"/>
  <c r="BL196" i="3"/>
  <c r="AZ196" i="3" s="1"/>
  <c r="G197" i="3"/>
  <c r="BA199" i="3"/>
  <c r="AZ199" i="3" s="1"/>
  <c r="BL200" i="3"/>
  <c r="G201" i="3"/>
  <c r="BA203" i="3"/>
  <c r="AZ203" i="3" s="1"/>
  <c r="BL204" i="3"/>
  <c r="AZ136" i="3"/>
  <c r="AZ16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AZ335" i="3" s="1"/>
  <c r="G336" i="3"/>
  <c r="BA338" i="3"/>
  <c r="BL339" i="3"/>
  <c r="AZ339" i="3" s="1"/>
  <c r="G340" i="3"/>
  <c r="BL343" i="3"/>
  <c r="AZ343" i="3" s="1"/>
  <c r="G344" i="3"/>
  <c r="G348" i="3"/>
  <c r="G355" i="3"/>
  <c r="G342" i="3"/>
  <c r="BL345" i="3"/>
  <c r="AZ345" i="3" s="1"/>
  <c r="G346" i="3"/>
  <c r="AZ348" i="3"/>
  <c r="BL349" i="3"/>
  <c r="AZ349" i="3" s="1"/>
  <c r="BL352" i="3"/>
  <c r="G353" i="3"/>
  <c r="BA357" i="3"/>
  <c r="AZ357" i="3" s="1"/>
  <c r="BL358" i="3"/>
  <c r="AZ358" i="3"/>
  <c r="G359" i="3"/>
  <c r="BA361" i="3"/>
  <c r="BL362" i="3"/>
  <c r="AZ362" i="3" s="1"/>
  <c r="G363" i="3"/>
  <c r="BA365" i="3"/>
  <c r="AZ365" i="3" s="1"/>
  <c r="BL366" i="3"/>
  <c r="G367" i="3"/>
  <c r="BA369" i="3"/>
  <c r="AZ369" i="3" s="1"/>
  <c r="BL370" i="3"/>
  <c r="G371" i="3"/>
  <c r="BA373" i="3"/>
  <c r="AZ373" i="3" s="1"/>
  <c r="BL374" i="3"/>
  <c r="G375" i="3"/>
  <c r="BA377" i="3"/>
  <c r="AZ269" i="3"/>
  <c r="BA379" i="3"/>
  <c r="BL380" i="3"/>
  <c r="G381" i="3"/>
  <c r="BA383" i="3"/>
  <c r="AZ383" i="3" s="1"/>
  <c r="BL384" i="3"/>
  <c r="G385" i="3"/>
  <c r="BA387" i="3"/>
  <c r="AZ387" i="3"/>
  <c r="BL388" i="3"/>
  <c r="G389" i="3"/>
  <c r="BA391" i="3"/>
  <c r="AZ391" i="3"/>
  <c r="BL392" i="3"/>
  <c r="G393" i="3"/>
  <c r="BM5" i="3"/>
  <c r="BH5" i="3"/>
  <c r="AZ496" i="3"/>
  <c r="G548" i="3"/>
  <c r="G538" i="3"/>
  <c r="G520" i="3"/>
  <c r="G502" i="3"/>
  <c r="BS5" i="3"/>
  <c r="BN5" i="3"/>
  <c r="BK5" i="3"/>
  <c r="BI5" i="3"/>
  <c r="BG5" i="3"/>
  <c r="G17" i="3"/>
  <c r="BA17" i="3"/>
  <c r="AZ352" i="3"/>
  <c r="BA15" i="3"/>
  <c r="BB5" i="3"/>
  <c r="AZ388" i="3"/>
  <c r="AZ392" i="3"/>
  <c r="AZ394" i="3"/>
  <c r="BL493" i="3"/>
  <c r="AZ493" i="3" s="1"/>
  <c r="AZ376" i="3"/>
  <c r="U36" i="40"/>
  <c r="F83" i="43"/>
  <c r="H85" i="43" s="1"/>
  <c r="F50" i="43"/>
  <c r="H54" i="43" s="1"/>
  <c r="F72" i="43"/>
  <c r="H75" i="43" s="1"/>
  <c r="U17" i="39"/>
  <c r="S14" i="35"/>
  <c r="U43" i="21"/>
  <c r="U35" i="21"/>
  <c r="AC35" i="21"/>
  <c r="G10" i="1"/>
  <c r="W37" i="37"/>
  <c r="AC44" i="34"/>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c r="F35" i="33"/>
  <c r="S35" i="33" s="1"/>
  <c r="F39" i="34"/>
  <c r="S39" i="34" s="1"/>
  <c r="J39" i="34"/>
  <c r="W39" i="34" s="1"/>
  <c r="F40" i="34"/>
  <c r="S40" i="34" s="1"/>
  <c r="F43" i="34"/>
  <c r="AA43" i="34" s="1"/>
  <c r="H44" i="34"/>
  <c r="AB44" i="34" s="1"/>
  <c r="AC38" i="39"/>
  <c r="F39" i="39"/>
  <c r="S39" i="39" s="1"/>
  <c r="J39" i="39"/>
  <c r="AC39" i="39" s="1"/>
  <c r="E96" i="39"/>
  <c r="F96" i="39" s="1"/>
  <c r="G96" i="39" s="1"/>
  <c r="AZ223" i="3"/>
  <c r="AZ243" i="3"/>
  <c r="AZ26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B34" i="36"/>
  <c r="U34" i="36"/>
  <c r="AB33" i="36"/>
  <c r="U33" i="36"/>
  <c r="AC12" i="39"/>
  <c r="W12" i="39"/>
  <c r="AZ417" i="3"/>
  <c r="AA32" i="36"/>
  <c r="S32" i="36"/>
  <c r="U30" i="33"/>
  <c r="AC13" i="34"/>
  <c r="AA47" i="34"/>
  <c r="S19" i="39"/>
  <c r="F12" i="33"/>
  <c r="H12" i="39"/>
  <c r="AB12" i="39" s="1"/>
  <c r="F39" i="40"/>
  <c r="AZ224" i="3"/>
  <c r="B12" i="1"/>
  <c r="E12" i="1" s="1"/>
  <c r="B10" i="1"/>
  <c r="E10" i="1" s="1"/>
  <c r="K12" i="1"/>
  <c r="M12" i="1" s="1"/>
  <c r="S13" i="1"/>
  <c r="AR13" i="1" s="1"/>
  <c r="R13" i="1"/>
  <c r="J51" i="67"/>
  <c r="C42" i="1"/>
  <c r="C24" i="12" s="1"/>
  <c r="AC34" i="33"/>
  <c r="B41" i="1"/>
  <c r="AB37" i="40"/>
  <c r="S35" i="40"/>
  <c r="AC36" i="40"/>
  <c r="AA32" i="40"/>
  <c r="S17" i="40"/>
  <c r="S23" i="40"/>
  <c r="AC17" i="40"/>
  <c r="AC15" i="40"/>
  <c r="AB27" i="40"/>
  <c r="S30" i="40"/>
  <c r="AA19" i="40"/>
  <c r="S28" i="40"/>
  <c r="AA27" i="40"/>
  <c r="AB19" i="40"/>
  <c r="U37"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AC13" i="39"/>
  <c r="U13" i="36"/>
  <c r="U26" i="36"/>
  <c r="S33" i="36"/>
  <c r="AA34" i="36"/>
  <c r="AC26" i="36"/>
  <c r="AA22"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AB31" i="37"/>
  <c r="W30" i="37"/>
  <c r="S36" i="37"/>
  <c r="AC35" i="37"/>
  <c r="W39" i="37"/>
  <c r="S30" i="37"/>
  <c r="S37" i="37"/>
  <c r="AC15" i="37"/>
  <c r="J17" i="37"/>
  <c r="W17" i="37"/>
  <c r="G73" i="37"/>
  <c r="F17" i="37"/>
  <c r="AA17" i="37" s="1"/>
  <c r="AB17" i="37"/>
  <c r="F75" i="37"/>
  <c r="G75" i="37" s="1"/>
  <c r="F19" i="37"/>
  <c r="AA19" i="37" s="1"/>
  <c r="F79" i="37"/>
  <c r="F23" i="37"/>
  <c r="S23" i="37" s="1"/>
  <c r="U23" i="37"/>
  <c r="U15" i="37"/>
  <c r="AC13" i="37"/>
  <c r="AA13" i="37"/>
  <c r="H10" i="37"/>
  <c r="AB10" i="37" s="1"/>
  <c r="F63" i="37"/>
  <c r="G63" i="37" s="1"/>
  <c r="H63" i="37" s="1"/>
  <c r="I63" i="37" s="1"/>
  <c r="J63" i="37" s="1"/>
  <c r="K63" i="37" s="1"/>
  <c r="L63" i="37" s="1"/>
  <c r="M63" i="37" s="1"/>
  <c r="F11" i="37"/>
  <c r="S11" i="37" s="1"/>
  <c r="W25" i="34"/>
  <c r="AC42" i="34"/>
  <c r="U39" i="34"/>
  <c r="AA45"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s="1"/>
  <c r="W19" i="33"/>
  <c r="J17" i="33"/>
  <c r="F79" i="33"/>
  <c r="S15" i="33"/>
  <c r="W15" i="33"/>
  <c r="J10" i="33"/>
  <c r="W10" i="33" s="1"/>
  <c r="H10" i="33"/>
  <c r="U10" i="33" s="1"/>
  <c r="AC11" i="33"/>
  <c r="AB14" i="33"/>
  <c r="W43" i="21"/>
  <c r="W36" i="21"/>
  <c r="W41" i="21"/>
  <c r="AB39" i="21"/>
  <c r="AA43" i="21"/>
  <c r="S39" i="21"/>
  <c r="AA38" i="21"/>
  <c r="AA36" i="21"/>
  <c r="AC40" i="21"/>
  <c r="J15" i="21"/>
  <c r="AC15" i="21" s="1"/>
  <c r="W15" i="21"/>
  <c r="F23" i="21"/>
  <c r="S23" i="21" s="1"/>
  <c r="E85" i="21"/>
  <c r="D120" i="9"/>
  <c r="D121" i="9" s="1"/>
  <c r="D7" i="52" s="1"/>
  <c r="C18" i="9"/>
  <c r="D18" i="9" s="1"/>
  <c r="M20" i="67"/>
  <c r="G13" i="3"/>
  <c r="BA13" i="3"/>
  <c r="BL17" i="3"/>
  <c r="AZ17" i="3" s="1"/>
  <c r="BL13" i="3"/>
  <c r="J56" i="9"/>
  <c r="J57" i="9" s="1"/>
  <c r="J59" i="9" s="1"/>
  <c r="J61" i="9" s="1"/>
  <c r="A24" i="51"/>
  <c r="B18" i="72" s="1"/>
  <c r="U29" i="34"/>
  <c r="E32" i="6"/>
  <c r="G1" i="68"/>
  <c r="K1" i="12"/>
  <c r="E19" i="69"/>
  <c r="E19" i="11"/>
  <c r="E1" i="73"/>
  <c r="G22" i="69"/>
  <c r="G22" i="68"/>
  <c r="G26" i="12"/>
  <c r="G22" i="11"/>
  <c r="C6" i="43"/>
  <c r="B19" i="53"/>
  <c r="B37" i="72" s="1"/>
  <c r="C7" i="35"/>
  <c r="C48" i="35" s="1"/>
  <c r="D48" i="35" s="1"/>
  <c r="C7" i="21"/>
  <c r="M47" i="9"/>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W29" i="36"/>
  <c r="U25" i="36"/>
  <c r="AB28" i="36"/>
  <c r="AA13" i="36"/>
  <c r="W9" i="36"/>
  <c r="W22" i="36"/>
  <c r="W23" i="36"/>
  <c r="S9" i="36"/>
  <c r="AB20" i="35"/>
  <c r="AC25" i="35"/>
  <c r="U25" i="35"/>
  <c r="S24" i="35"/>
  <c r="U24" i="35"/>
  <c r="S35" i="35"/>
  <c r="W35" i="35"/>
  <c r="AA16" i="35"/>
  <c r="AA35" i="37"/>
  <c r="W36" i="37"/>
  <c r="S28" i="37"/>
  <c r="W32" i="37"/>
  <c r="U36" i="37"/>
  <c r="S40" i="37"/>
  <c r="U38" i="37"/>
  <c r="AB37" i="37"/>
  <c r="AC34" i="37"/>
  <c r="AB35" i="37"/>
  <c r="AA31" i="37"/>
  <c r="U19" i="37"/>
  <c r="AA29" i="37"/>
  <c r="U8" i="37"/>
  <c r="AB40" i="34"/>
  <c r="U19" i="34"/>
  <c r="AC45" i="34"/>
  <c r="AA31" i="34"/>
  <c r="AA30" i="34"/>
  <c r="AB45" i="34"/>
  <c r="U25" i="34"/>
  <c r="AC14" i="34"/>
  <c r="AC32" i="34"/>
  <c r="AC29" i="34"/>
  <c r="W29" i="34"/>
  <c r="W46" i="34"/>
  <c r="AC46" i="34"/>
  <c r="S32" i="34"/>
  <c r="AA32" i="34"/>
  <c r="U30" i="34"/>
  <c r="AB30" i="34"/>
  <c r="U38" i="34"/>
  <c r="S19" i="34"/>
  <c r="AA8" i="34"/>
  <c r="AB9" i="34"/>
  <c r="U9" i="34"/>
  <c r="S46" i="34"/>
  <c r="AA46" i="34"/>
  <c r="U32" i="34"/>
  <c r="AB32" i="34"/>
  <c r="U14" i="34"/>
  <c r="AB14" i="34"/>
  <c r="W35" i="34"/>
  <c r="U12" i="34"/>
  <c r="AB12" i="34"/>
  <c r="AB28" i="33"/>
  <c r="W46" i="33"/>
  <c r="U39" i="33"/>
  <c r="U38" i="33"/>
  <c r="AB34" i="33"/>
  <c r="U44" i="33"/>
  <c r="AB44" i="33"/>
  <c r="S30" i="33"/>
  <c r="AA30" i="33"/>
  <c r="AC14" i="33"/>
  <c r="W14" i="33"/>
  <c r="AC30" i="33"/>
  <c r="W30" i="33"/>
  <c r="S31" i="33"/>
  <c r="AA31" i="33"/>
  <c r="W13" i="33"/>
  <c r="AC13" i="33"/>
  <c r="U15" i="33"/>
  <c r="U37" i="33"/>
  <c r="AC28" i="33"/>
  <c r="S28" i="33"/>
  <c r="W9" i="33"/>
  <c r="W8" i="33"/>
  <c r="S44" i="21"/>
  <c r="AB42" i="21"/>
  <c r="F33" i="21"/>
  <c r="AA33" i="21" s="1"/>
  <c r="J33" i="21"/>
  <c r="AC33" i="21" s="1"/>
  <c r="H33" i="21"/>
  <c r="AB33" i="21" s="1"/>
  <c r="F37" i="21"/>
  <c r="AA37" i="21" s="1"/>
  <c r="AA26" i="21"/>
  <c r="AB46" i="21"/>
  <c r="U40" i="21"/>
  <c r="U13" i="21"/>
  <c r="AB13" i="21"/>
  <c r="S35" i="21"/>
  <c r="J37" i="21"/>
  <c r="W37" i="21" s="1"/>
  <c r="H15" i="21"/>
  <c r="U15" i="21" s="1"/>
  <c r="J17" i="21"/>
  <c r="AC17" i="21" s="1"/>
  <c r="AC19" i="21"/>
  <c r="W39" i="21"/>
  <c r="S46" i="21"/>
  <c r="H45" i="21"/>
  <c r="U45" i="21" s="1"/>
  <c r="F29" i="21"/>
  <c r="S29" i="21"/>
  <c r="F13" i="21"/>
  <c r="AA13" i="21" s="1"/>
  <c r="AC38" i="21"/>
  <c r="H32" i="21"/>
  <c r="AB32" i="21" s="1"/>
  <c r="H9" i="21"/>
  <c r="AB9" i="21" s="1"/>
  <c r="J9" i="21"/>
  <c r="W9" i="21" s="1"/>
  <c r="J32" i="21"/>
  <c r="W32" i="21" s="1"/>
  <c r="F32" i="21"/>
  <c r="AA32" i="21" s="1"/>
  <c r="U17" i="21"/>
  <c r="W29" i="21"/>
  <c r="S19" i="21"/>
  <c r="K141" i="21"/>
  <c r="K144" i="21"/>
  <c r="K143" i="21"/>
  <c r="AB25" i="21"/>
  <c r="AB44" i="21"/>
  <c r="W13" i="21"/>
  <c r="W42" i="21"/>
  <c r="F10" i="21"/>
  <c r="AA10" i="21" s="1"/>
  <c r="K145" i="21"/>
  <c r="W25" i="21"/>
  <c r="AA29" i="21"/>
  <c r="S27"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W32" i="39" s="1"/>
  <c r="H32" i="39"/>
  <c r="AB32" i="39" s="1"/>
  <c r="AA32" i="39"/>
  <c r="S32" i="39"/>
  <c r="AB21" i="39"/>
  <c r="U21" i="39"/>
  <c r="AA21" i="39"/>
  <c r="AC17" i="37"/>
  <c r="J19" i="37"/>
  <c r="AC19" i="37" s="1"/>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AC35" i="33"/>
  <c r="W32" i="33"/>
  <c r="U27" i="33"/>
  <c r="AB27" i="33"/>
  <c r="J27" i="33"/>
  <c r="AC27" i="33" s="1"/>
  <c r="U25" i="33"/>
  <c r="AB25" i="33"/>
  <c r="S25" i="33"/>
  <c r="J25" i="33"/>
  <c r="AC25" i="33" s="1"/>
  <c r="AB23" i="33"/>
  <c r="U23" i="33"/>
  <c r="F23" i="33"/>
  <c r="AC23" i="33"/>
  <c r="W23" i="33"/>
  <c r="H19" i="33"/>
  <c r="U19" i="33" s="1"/>
  <c r="G79" i="33"/>
  <c r="H17" i="33"/>
  <c r="F17" i="33"/>
  <c r="S17" i="33" s="1"/>
  <c r="W17" i="33"/>
  <c r="AC17" i="33"/>
  <c r="AA23" i="21"/>
  <c r="J23" i="21"/>
  <c r="W23" i="21" s="1"/>
  <c r="F85" i="21"/>
  <c r="G85" i="21" s="1"/>
  <c r="H23" i="21"/>
  <c r="AB23" i="21" s="1"/>
  <c r="AP7" i="1"/>
  <c r="AB45" i="21"/>
  <c r="AC9" i="21"/>
  <c r="A18" i="62"/>
  <c r="B64" i="72" s="1"/>
  <c r="AC32" i="39"/>
  <c r="W19" i="37"/>
  <c r="AC23" i="37"/>
  <c r="J11" i="37"/>
  <c r="AC11" i="37" s="1"/>
  <c r="J11" i="34"/>
  <c r="W11" i="34" s="1"/>
  <c r="W27" i="33"/>
  <c r="AA23" i="33"/>
  <c r="S23" i="33"/>
  <c r="U17" i="33"/>
  <c r="AB17" i="33"/>
  <c r="AC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B9" i="76"/>
  <c r="F7" i="73"/>
  <c r="F3" i="73"/>
  <c r="B10" i="76"/>
  <c r="F43" i="67"/>
  <c r="E2" i="69"/>
  <c r="M28" i="67"/>
  <c r="D34" i="9"/>
  <c r="M22" i="15"/>
  <c r="E12" i="76"/>
  <c r="F38" i="15"/>
  <c r="F42" i="67"/>
  <c r="L47" i="67"/>
  <c r="M9" i="67"/>
  <c r="F38" i="67"/>
  <c r="AO13" i="1"/>
  <c r="B8" i="76"/>
  <c r="M29" i="67"/>
  <c r="F40" i="67"/>
  <c r="B11" i="76"/>
  <c r="B12" i="76"/>
  <c r="F36" i="67"/>
  <c r="E7" i="76"/>
  <c r="D4" i="73"/>
  <c r="M8" i="67"/>
  <c r="F5" i="73"/>
  <c r="E13" i="76"/>
  <c r="D6" i="73"/>
  <c r="F6" i="73"/>
  <c r="B7" i="76"/>
  <c r="M23" i="67"/>
  <c r="C76" i="67"/>
  <c r="F37" i="67"/>
  <c r="E10" i="76"/>
  <c r="E8" i="76"/>
  <c r="F7" i="67"/>
  <c r="F6" i="67"/>
  <c r="D7" i="73"/>
  <c r="M24" i="67"/>
  <c r="E11" i="76"/>
  <c r="E9" i="76"/>
  <c r="J15" i="15"/>
  <c r="F16" i="15"/>
  <c r="F9" i="67"/>
  <c r="J15" i="67"/>
  <c r="F8" i="67"/>
  <c r="B13" i="76"/>
  <c r="F37" i="15"/>
  <c r="F20" i="31"/>
  <c r="M26" i="67"/>
  <c r="F16" i="67"/>
  <c r="F26" i="67"/>
  <c r="M23" i="15"/>
  <c r="F13" i="67"/>
  <c r="M6" i="67"/>
  <c r="L48" i="67"/>
  <c r="E2" i="68"/>
  <c r="F26" i="15"/>
  <c r="C76" i="15"/>
  <c r="D35" i="9"/>
  <c r="F4" i="73"/>
  <c r="S44" i="34" l="1"/>
  <c r="U44" i="34"/>
  <c r="W43" i="34"/>
  <c r="S41" i="34"/>
  <c r="W40" i="34"/>
  <c r="AA39" i="34"/>
  <c r="AA40" i="34"/>
  <c r="AB41" i="34"/>
  <c r="U43" i="34"/>
  <c r="AA36" i="34"/>
  <c r="AB36" i="34"/>
  <c r="AC36" i="34"/>
  <c r="AB35" i="34"/>
  <c r="J15" i="34"/>
  <c r="AC15" i="34" s="1"/>
  <c r="W33" i="34"/>
  <c r="AB33" i="34"/>
  <c r="F6" i="1"/>
  <c r="G6" i="1" s="1"/>
  <c r="J51" i="15"/>
  <c r="AB12" i="21"/>
  <c r="U12" i="21"/>
  <c r="S14" i="37"/>
  <c r="AA14" i="37"/>
  <c r="AB35" i="35"/>
  <c r="U35" i="35"/>
  <c r="AC47" i="34"/>
  <c r="W47" i="34"/>
  <c r="AB31" i="34"/>
  <c r="U31" i="34"/>
  <c r="AA45" i="33"/>
  <c r="S45" i="33"/>
  <c r="AB33" i="35"/>
  <c r="U33" i="35"/>
  <c r="H5" i="3"/>
  <c r="BA587" i="3"/>
  <c r="BA586" i="3"/>
  <c r="BD5" i="3"/>
  <c r="H9" i="33"/>
  <c r="F9" i="33"/>
  <c r="AA9" i="33" s="1"/>
  <c r="G112" i="34"/>
  <c r="AC37" i="34"/>
  <c r="G509" i="3"/>
  <c r="AZ372" i="3"/>
  <c r="AZ557" i="3"/>
  <c r="AB11" i="33"/>
  <c r="U11" i="33"/>
  <c r="S29" i="35"/>
  <c r="AA29" i="35"/>
  <c r="AC16" i="35"/>
  <c r="W16" i="35"/>
  <c r="AB40" i="39"/>
  <c r="U40" i="39"/>
  <c r="AA35" i="39"/>
  <c r="S35" i="39"/>
  <c r="W27" i="40"/>
  <c r="U9" i="21"/>
  <c r="D6" i="52"/>
  <c r="AA19" i="33"/>
  <c r="J36" i="33"/>
  <c r="W36" i="33" s="1"/>
  <c r="AC37" i="33"/>
  <c r="AC20" i="36"/>
  <c r="S43" i="34"/>
  <c r="W27" i="37"/>
  <c r="W14" i="36"/>
  <c r="AA26" i="36"/>
  <c r="AZ342" i="3"/>
  <c r="AC40" i="37"/>
  <c r="W40" i="37"/>
  <c r="AB39" i="37"/>
  <c r="AC35" i="39"/>
  <c r="W35" i="39"/>
  <c r="W46" i="21"/>
  <c r="AC46" i="21"/>
  <c r="S14" i="33"/>
  <c r="AA14" i="33"/>
  <c r="AA34" i="35"/>
  <c r="S34" i="35"/>
  <c r="C20" i="71"/>
  <c r="U23" i="21"/>
  <c r="U32" i="39"/>
  <c r="S13" i="21"/>
  <c r="S43" i="33"/>
  <c r="AA35" i="33"/>
  <c r="AC39" i="34"/>
  <c r="S32" i="37"/>
  <c r="U21" i="40"/>
  <c r="U35" i="40"/>
  <c r="AA34" i="33"/>
  <c r="AZ379" i="3"/>
  <c r="AZ303" i="3"/>
  <c r="AA11" i="39"/>
  <c r="S11" i="39"/>
  <c r="AZ529" i="3"/>
  <c r="S39" i="37"/>
  <c r="AA39" i="37"/>
  <c r="AA34" i="21"/>
  <c r="BC5" i="3"/>
  <c r="J12" i="21"/>
  <c r="F12" i="21"/>
  <c r="J27" i="21"/>
  <c r="H27" i="21"/>
  <c r="AZ361" i="3"/>
  <c r="AZ310" i="3"/>
  <c r="AZ312" i="3"/>
  <c r="AZ180" i="3"/>
  <c r="AZ527" i="3"/>
  <c r="AZ526" i="3"/>
  <c r="AZ542" i="3"/>
  <c r="F27" i="37"/>
  <c r="F33" i="40"/>
  <c r="H14" i="39"/>
  <c r="F43" i="39"/>
  <c r="J25" i="36"/>
  <c r="H47" i="34"/>
  <c r="H13" i="34"/>
  <c r="F14" i="34"/>
  <c r="S14" i="34" s="1"/>
  <c r="H45" i="33"/>
  <c r="U45" i="33" s="1"/>
  <c r="H29" i="21"/>
  <c r="S35" i="34"/>
  <c r="J34" i="36"/>
  <c r="W34" i="36" s="1"/>
  <c r="S38" i="39"/>
  <c r="S27" i="35"/>
  <c r="U9" i="39"/>
  <c r="AA42" i="21"/>
  <c r="H14" i="37"/>
  <c r="AA34" i="39"/>
  <c r="G578" i="3"/>
  <c r="G552" i="3"/>
  <c r="G549" i="3"/>
  <c r="AZ399" i="3"/>
  <c r="AZ416" i="3"/>
  <c r="AZ421" i="3"/>
  <c r="AZ422" i="3"/>
  <c r="AZ423" i="3"/>
  <c r="BL431" i="3"/>
  <c r="AZ449" i="3"/>
  <c r="AZ453" i="3"/>
  <c r="BA474" i="3"/>
  <c r="AZ474" i="3" s="1"/>
  <c r="BA476" i="3"/>
  <c r="AZ476" i="3" s="1"/>
  <c r="BA477" i="3"/>
  <c r="G482" i="3"/>
  <c r="G484" i="3"/>
  <c r="G486" i="3"/>
  <c r="BA489" i="3"/>
  <c r="BA491" i="3"/>
  <c r="BL308" i="3"/>
  <c r="AZ308" i="3" s="1"/>
  <c r="G339" i="3"/>
  <c r="G343" i="3"/>
  <c r="BL367" i="3"/>
  <c r="BL381" i="3"/>
  <c r="AZ381" i="3" s="1"/>
  <c r="G382" i="3"/>
  <c r="BA384" i="3"/>
  <c r="AZ384" i="3" s="1"/>
  <c r="BL386" i="3"/>
  <c r="G387" i="3"/>
  <c r="BL395" i="3"/>
  <c r="G396" i="3"/>
  <c r="BA397" i="3"/>
  <c r="BL210" i="3"/>
  <c r="BL211" i="3"/>
  <c r="G212" i="3"/>
  <c r="BA214" i="3"/>
  <c r="BL217" i="3"/>
  <c r="BL229" i="3"/>
  <c r="BA234" i="3"/>
  <c r="BL237" i="3"/>
  <c r="BA239" i="3"/>
  <c r="BL242" i="3"/>
  <c r="G562" i="3"/>
  <c r="BL404" i="3"/>
  <c r="BL406" i="3"/>
  <c r="BA410" i="3"/>
  <c r="BA411" i="3"/>
  <c r="AZ411" i="3" s="1"/>
  <c r="BA412" i="3"/>
  <c r="AZ412" i="3" s="1"/>
  <c r="BL435" i="3"/>
  <c r="AZ435" i="3" s="1"/>
  <c r="BL445" i="3"/>
  <c r="BL456" i="3"/>
  <c r="BL459" i="3"/>
  <c r="BL464" i="3"/>
  <c r="BA466" i="3"/>
  <c r="BA467" i="3"/>
  <c r="AZ467" i="3" s="1"/>
  <c r="BA469" i="3"/>
  <c r="AZ482" i="3"/>
  <c r="AZ484" i="3"/>
  <c r="AZ486" i="3"/>
  <c r="BL398" i="3"/>
  <c r="AZ398" i="3" s="1"/>
  <c r="BL401" i="3"/>
  <c r="AZ401" i="3" s="1"/>
  <c r="BA405" i="3"/>
  <c r="BA407" i="3"/>
  <c r="BL415" i="3"/>
  <c r="AZ415" i="3" s="1"/>
  <c r="BL418" i="3"/>
  <c r="AZ418" i="3" s="1"/>
  <c r="BL420" i="3"/>
  <c r="BL422" i="3"/>
  <c r="BL425" i="3"/>
  <c r="BA431" i="3"/>
  <c r="BA432" i="3"/>
  <c r="AZ432" i="3" s="1"/>
  <c r="BA433" i="3"/>
  <c r="AZ433" i="3" s="1"/>
  <c r="BA434" i="3"/>
  <c r="AZ434" i="3" s="1"/>
  <c r="BA436" i="3"/>
  <c r="AZ436" i="3" s="1"/>
  <c r="BA438" i="3"/>
  <c r="AZ438" i="3" s="1"/>
  <c r="BL448" i="3"/>
  <c r="BL450" i="3"/>
  <c r="AZ450" i="3" s="1"/>
  <c r="BL452" i="3"/>
  <c r="BL454" i="3"/>
  <c r="AZ454" i="3" s="1"/>
  <c r="BL455" i="3"/>
  <c r="BL472" i="3"/>
  <c r="AZ472" i="3" s="1"/>
  <c r="BL477" i="3"/>
  <c r="BL478" i="3"/>
  <c r="BL489" i="3"/>
  <c r="BL491" i="3"/>
  <c r="BL492" i="3"/>
  <c r="BA319" i="3"/>
  <c r="AZ319" i="3" s="1"/>
  <c r="BA323" i="3"/>
  <c r="AZ323" i="3" s="1"/>
  <c r="BL330" i="3"/>
  <c r="AZ330" i="3" s="1"/>
  <c r="BA333" i="3"/>
  <c r="AZ333" i="3" s="1"/>
  <c r="BL340" i="3"/>
  <c r="BL350" i="3"/>
  <c r="BA354" i="3"/>
  <c r="AZ354" i="3" s="1"/>
  <c r="BL397" i="3"/>
  <c r="BL208" i="3"/>
  <c r="BA210" i="3"/>
  <c r="AZ217" i="3"/>
  <c r="AZ219" i="3"/>
  <c r="AZ221" i="3"/>
  <c r="BA226" i="3"/>
  <c r="AZ226" i="3" s="1"/>
  <c r="BA227" i="3"/>
  <c r="AZ227" i="3" s="1"/>
  <c r="BA229" i="3"/>
  <c r="AZ229" i="3" s="1"/>
  <c r="BA230" i="3"/>
  <c r="AZ230" i="3" s="1"/>
  <c r="G240" i="3"/>
  <c r="AZ242" i="3"/>
  <c r="G246" i="3"/>
  <c r="G258" i="3"/>
  <c r="AZ338" i="3"/>
  <c r="AZ322" i="3"/>
  <c r="AZ311" i="3"/>
  <c r="AZ306" i="3"/>
  <c r="AZ389" i="3"/>
  <c r="AZ382" i="3"/>
  <c r="AZ364" i="3"/>
  <c r="AZ336" i="3"/>
  <c r="AZ329" i="3"/>
  <c r="AZ380" i="3"/>
  <c r="AZ359" i="3"/>
  <c r="AZ340" i="3"/>
  <c r="AZ545" i="3"/>
  <c r="AZ559" i="3"/>
  <c r="AZ561" i="3"/>
  <c r="AZ574" i="3"/>
  <c r="H33" i="40"/>
  <c r="F12" i="40"/>
  <c r="W12" i="40"/>
  <c r="H32" i="36"/>
  <c r="S42" i="34"/>
  <c r="AA12" i="34"/>
  <c r="S40" i="39"/>
  <c r="S40" i="40"/>
  <c r="W36" i="35"/>
  <c r="U30" i="37"/>
  <c r="BL15" i="3"/>
  <c r="AZ15" i="3" s="1"/>
  <c r="G398" i="3"/>
  <c r="G401" i="3"/>
  <c r="BL402" i="3"/>
  <c r="AZ402" i="3" s="1"/>
  <c r="G403" i="3"/>
  <c r="BL410" i="3"/>
  <c r="BL414" i="3"/>
  <c r="G415" i="3"/>
  <c r="BL419" i="3"/>
  <c r="G420" i="3"/>
  <c r="G425" i="3"/>
  <c r="BA426" i="3"/>
  <c r="AZ426" i="3" s="1"/>
  <c r="BA427" i="3"/>
  <c r="AZ427" i="3" s="1"/>
  <c r="BA428" i="3"/>
  <c r="AZ428" i="3" s="1"/>
  <c r="BL441" i="3"/>
  <c r="G442" i="3"/>
  <c r="BA443" i="3"/>
  <c r="AZ443" i="3" s="1"/>
  <c r="BL447" i="3"/>
  <c r="G448" i="3"/>
  <c r="BL451" i="3"/>
  <c r="AZ451" i="3" s="1"/>
  <c r="G452" i="3"/>
  <c r="BA456" i="3"/>
  <c r="BA458" i="3"/>
  <c r="BA459" i="3"/>
  <c r="AZ459" i="3" s="1"/>
  <c r="BA460" i="3"/>
  <c r="AZ460" i="3" s="1"/>
  <c r="BA462" i="3"/>
  <c r="BL466" i="3"/>
  <c r="BL471" i="3"/>
  <c r="G472" i="3"/>
  <c r="G474" i="3"/>
  <c r="G476" i="3"/>
  <c r="BA479" i="3"/>
  <c r="AZ479" i="3" s="1"/>
  <c r="BL487" i="3"/>
  <c r="AZ487" i="3" s="1"/>
  <c r="BL488" i="3"/>
  <c r="G489" i="3"/>
  <c r="G491" i="3"/>
  <c r="BA303" i="3"/>
  <c r="BA307" i="3"/>
  <c r="AZ307" i="3" s="1"/>
  <c r="BL314" i="3"/>
  <c r="AZ314" i="3" s="1"/>
  <c r="G315" i="3"/>
  <c r="BA317" i="3"/>
  <c r="AZ317" i="3" s="1"/>
  <c r="BL324" i="3"/>
  <c r="AZ324" i="3" s="1"/>
  <c r="BL363" i="3"/>
  <c r="AZ363" i="3" s="1"/>
  <c r="G364" i="3"/>
  <c r="BA366" i="3"/>
  <c r="AZ366" i="3" s="1"/>
  <c r="BL368" i="3"/>
  <c r="AZ368" i="3" s="1"/>
  <c r="G374" i="3"/>
  <c r="BA385" i="3"/>
  <c r="AZ385" i="3" s="1"/>
  <c r="G241" i="3"/>
  <c r="G245" i="3"/>
  <c r="BA247" i="3"/>
  <c r="BA249" i="3"/>
  <c r="AZ249" i="3" s="1"/>
  <c r="BA251" i="3"/>
  <c r="BL254" i="3"/>
  <c r="G255" i="3"/>
  <c r="G257" i="3"/>
  <c r="BL263" i="3"/>
  <c r="G264" i="3"/>
  <c r="G266" i="3"/>
  <c r="G271" i="3"/>
  <c r="BL277" i="3"/>
  <c r="BL283" i="3"/>
  <c r="BL284" i="3"/>
  <c r="G285" i="3"/>
  <c r="G287" i="3"/>
  <c r="G289" i="3"/>
  <c r="BA290" i="3"/>
  <c r="BA292" i="3"/>
  <c r="AZ292" i="3" s="1"/>
  <c r="BA294" i="3"/>
  <c r="AZ294" i="3" s="1"/>
  <c r="BA295" i="3"/>
  <c r="AZ295" i="3" s="1"/>
  <c r="BL298" i="3"/>
  <c r="BL300" i="3"/>
  <c r="G301" i="3"/>
  <c r="BL121" i="3"/>
  <c r="G122" i="3"/>
  <c r="BA125" i="3"/>
  <c r="AZ125" i="3" s="1"/>
  <c r="BA126" i="3"/>
  <c r="AZ126" i="3" s="1"/>
  <c r="G132" i="3"/>
  <c r="BA133" i="3"/>
  <c r="AZ133" i="3" s="1"/>
  <c r="G150" i="3"/>
  <c r="BA153" i="3"/>
  <c r="BL159" i="3"/>
  <c r="AZ159" i="3" s="1"/>
  <c r="BL161" i="3"/>
  <c r="G162" i="3"/>
  <c r="BL165" i="3"/>
  <c r="BL167" i="3"/>
  <c r="AZ167" i="3" s="1"/>
  <c r="G168" i="3"/>
  <c r="BA170" i="3"/>
  <c r="AZ170" i="3" s="1"/>
  <c r="BA172" i="3"/>
  <c r="AZ172" i="3" s="1"/>
  <c r="BL174" i="3"/>
  <c r="G175" i="3"/>
  <c r="BA176" i="3"/>
  <c r="AZ176" i="3" s="1"/>
  <c r="BL178" i="3"/>
  <c r="G179" i="3"/>
  <c r="BA180" i="3"/>
  <c r="BA185" i="3"/>
  <c r="AZ185" i="3" s="1"/>
  <c r="BL189" i="3"/>
  <c r="G190" i="3"/>
  <c r="BL195" i="3"/>
  <c r="AZ195" i="3" s="1"/>
  <c r="BL198" i="3"/>
  <c r="BA202" i="3"/>
  <c r="G205" i="3"/>
  <c r="BL19" i="3"/>
  <c r="G20" i="3"/>
  <c r="BL24" i="3"/>
  <c r="G25" i="3"/>
  <c r="BL29" i="3"/>
  <c r="G30" i="3"/>
  <c r="BA54" i="3"/>
  <c r="AZ267" i="3"/>
  <c r="AZ302" i="3"/>
  <c r="G116" i="3"/>
  <c r="BA117" i="3"/>
  <c r="BA122" i="3"/>
  <c r="BA124" i="3"/>
  <c r="AZ124" i="3" s="1"/>
  <c r="BL130" i="3"/>
  <c r="G131" i="3"/>
  <c r="BA132" i="3"/>
  <c r="AZ132" i="3" s="1"/>
  <c r="G136" i="3"/>
  <c r="G140" i="3"/>
  <c r="BA141" i="3"/>
  <c r="AZ141" i="3" s="1"/>
  <c r="BA142" i="3"/>
  <c r="AZ142" i="3" s="1"/>
  <c r="BA145" i="3"/>
  <c r="AZ145" i="3" s="1"/>
  <c r="BA146" i="3"/>
  <c r="AZ146" i="3" s="1"/>
  <c r="BL232" i="3"/>
  <c r="AZ232" i="3" s="1"/>
  <c r="BL234" i="3"/>
  <c r="BL236" i="3"/>
  <c r="BL247" i="3"/>
  <c r="BL249" i="3"/>
  <c r="BL251" i="3"/>
  <c r="BL252" i="3"/>
  <c r="BL259" i="3"/>
  <c r="BL273" i="3"/>
  <c r="BA277" i="3"/>
  <c r="AZ277" i="3" s="1"/>
  <c r="BA278" i="3"/>
  <c r="AZ278" i="3" s="1"/>
  <c r="BA279" i="3"/>
  <c r="AZ279" i="3" s="1"/>
  <c r="BA280" i="3"/>
  <c r="AZ280" i="3" s="1"/>
  <c r="BA281" i="3"/>
  <c r="AZ281" i="3" s="1"/>
  <c r="BA283" i="3"/>
  <c r="AZ283" i="3" s="1"/>
  <c r="BL290" i="3"/>
  <c r="BL296" i="3"/>
  <c r="BA298" i="3"/>
  <c r="BL153" i="3"/>
  <c r="BL155" i="3"/>
  <c r="AZ155" i="3" s="1"/>
  <c r="BA157" i="3"/>
  <c r="AZ157" i="3" s="1"/>
  <c r="BA158" i="3"/>
  <c r="AZ158" i="3" s="1"/>
  <c r="BA165" i="3"/>
  <c r="AZ165" i="3" s="1"/>
  <c r="BL170" i="3"/>
  <c r="BA193" i="3"/>
  <c r="AZ193" i="3" s="1"/>
  <c r="BA194" i="3"/>
  <c r="AZ194" i="3" s="1"/>
  <c r="BA198" i="3"/>
  <c r="BA200" i="3"/>
  <c r="AZ200" i="3" s="1"/>
  <c r="BA204" i="3"/>
  <c r="AZ204" i="3" s="1"/>
  <c r="BL206" i="3"/>
  <c r="BL21" i="3"/>
  <c r="BL396" i="3"/>
  <c r="G397" i="3"/>
  <c r="BL212" i="3"/>
  <c r="BL214" i="3"/>
  <c r="BL216" i="3"/>
  <c r="G217" i="3"/>
  <c r="G219" i="3"/>
  <c r="G221" i="3"/>
  <c r="G226" i="3"/>
  <c r="G229" i="3"/>
  <c r="G232" i="3"/>
  <c r="G234" i="3"/>
  <c r="G236" i="3"/>
  <c r="BL239" i="3"/>
  <c r="BL241" i="3"/>
  <c r="AZ241" i="3" s="1"/>
  <c r="BL245" i="3"/>
  <c r="AZ245" i="3" s="1"/>
  <c r="BL246" i="3"/>
  <c r="G247" i="3"/>
  <c r="G249" i="3"/>
  <c r="G251" i="3"/>
  <c r="BL255" i="3"/>
  <c r="BL257" i="3"/>
  <c r="AZ257" i="3" s="1"/>
  <c r="BL258" i="3"/>
  <c r="G259" i="3"/>
  <c r="BA260" i="3"/>
  <c r="BL264" i="3"/>
  <c r="AZ264" i="3" s="1"/>
  <c r="BL266" i="3"/>
  <c r="AZ266" i="3" s="1"/>
  <c r="BL271" i="3"/>
  <c r="AZ271" i="3" s="1"/>
  <c r="BL272" i="3"/>
  <c r="G273" i="3"/>
  <c r="BA274" i="3"/>
  <c r="BL285" i="3"/>
  <c r="BL287" i="3"/>
  <c r="AZ287" i="3" s="1"/>
  <c r="BL289" i="3"/>
  <c r="G290" i="3"/>
  <c r="G292" i="3"/>
  <c r="G294" i="3"/>
  <c r="BL301" i="3"/>
  <c r="AZ301" i="3" s="1"/>
  <c r="BL113" i="3"/>
  <c r="G114" i="3"/>
  <c r="BL117" i="3"/>
  <c r="BL118" i="3"/>
  <c r="G119" i="3"/>
  <c r="BA120" i="3"/>
  <c r="AZ120" i="3" s="1"/>
  <c r="BL122" i="3"/>
  <c r="BL137" i="3"/>
  <c r="G138" i="3"/>
  <c r="BL143" i="3"/>
  <c r="AZ143" i="3" s="1"/>
  <c r="BL147" i="3"/>
  <c r="AZ147" i="3" s="1"/>
  <c r="BL150" i="3"/>
  <c r="AZ150" i="3" s="1"/>
  <c r="G155" i="3"/>
  <c r="BL162" i="3"/>
  <c r="G163" i="3"/>
  <c r="BA164" i="3"/>
  <c r="AZ164" i="3" s="1"/>
  <c r="G170" i="3"/>
  <c r="G176" i="3"/>
  <c r="G180" i="3"/>
  <c r="BA181" i="3"/>
  <c r="G202" i="3"/>
  <c r="BL30" i="3"/>
  <c r="AZ30" i="3" s="1"/>
  <c r="BL41" i="3"/>
  <c r="BL43" i="3"/>
  <c r="BL44" i="3"/>
  <c r="G45" i="3"/>
  <c r="BA46" i="3"/>
  <c r="BL57" i="3"/>
  <c r="AZ57" i="3" s="1"/>
  <c r="BL59" i="3"/>
  <c r="BL60" i="3"/>
  <c r="G61" i="3"/>
  <c r="BA62" i="3"/>
  <c r="AC21" i="34"/>
  <c r="S18" i="36"/>
  <c r="D27" i="71"/>
  <c r="D79" i="71"/>
  <c r="D67" i="71"/>
  <c r="F28" i="71"/>
  <c r="F27" i="71" s="1"/>
  <c r="F26" i="71" s="1"/>
  <c r="N67" i="71"/>
  <c r="AB36" i="71"/>
  <c r="B71" i="71"/>
  <c r="B70" i="71" s="1"/>
  <c r="K56" i="9"/>
  <c r="BL65" i="3"/>
  <c r="BL67" i="3"/>
  <c r="BL71" i="3"/>
  <c r="BL73" i="3"/>
  <c r="BL79" i="3"/>
  <c r="BA91" i="3"/>
  <c r="BA92" i="3"/>
  <c r="AZ92" i="3" s="1"/>
  <c r="BA93" i="3"/>
  <c r="AZ93" i="3" s="1"/>
  <c r="BA94" i="3"/>
  <c r="AZ94" i="3" s="1"/>
  <c r="BL98" i="3"/>
  <c r="BL101" i="3"/>
  <c r="BL103" i="3"/>
  <c r="Y34" i="71"/>
  <c r="Z34" i="71" s="1"/>
  <c r="X36" i="71"/>
  <c r="B47" i="71"/>
  <c r="B48" i="71" s="1"/>
  <c r="S48" i="71" s="1"/>
  <c r="N56" i="9"/>
  <c r="BA32" i="3"/>
  <c r="AZ32" i="3" s="1"/>
  <c r="BA34" i="3"/>
  <c r="AZ34" i="3" s="1"/>
  <c r="BA35" i="3"/>
  <c r="AZ35" i="3" s="1"/>
  <c r="BA37" i="3"/>
  <c r="AZ37" i="3" s="1"/>
  <c r="BA38" i="3"/>
  <c r="AZ38" i="3" s="1"/>
  <c r="BA39" i="3"/>
  <c r="AZ39" i="3" s="1"/>
  <c r="BA41" i="3"/>
  <c r="AZ41" i="3" s="1"/>
  <c r="BA43" i="3"/>
  <c r="BL46" i="3"/>
  <c r="AZ46" i="3" s="1"/>
  <c r="BL48" i="3"/>
  <c r="BA57" i="3"/>
  <c r="BA59" i="3"/>
  <c r="AZ59" i="3" s="1"/>
  <c r="BL62" i="3"/>
  <c r="AZ62" i="3" s="1"/>
  <c r="BL64" i="3"/>
  <c r="BL76" i="3"/>
  <c r="BL78" i="3"/>
  <c r="BA80" i="3"/>
  <c r="AZ80" i="3" s="1"/>
  <c r="BA81" i="3"/>
  <c r="AZ81" i="3" s="1"/>
  <c r="BA82" i="3"/>
  <c r="AZ82" i="3" s="1"/>
  <c r="BA83" i="3"/>
  <c r="AZ83" i="3" s="1"/>
  <c r="BA84" i="3"/>
  <c r="AZ84" i="3" s="1"/>
  <c r="BA85" i="3"/>
  <c r="AZ85" i="3" s="1"/>
  <c r="BA86" i="3"/>
  <c r="AZ86" i="3" s="1"/>
  <c r="BA88" i="3"/>
  <c r="AZ88" i="3" s="1"/>
  <c r="BL97" i="3"/>
  <c r="BA104" i="3"/>
  <c r="AZ104" i="3" s="1"/>
  <c r="BL108" i="3"/>
  <c r="AZ108" i="3" s="1"/>
  <c r="BL110" i="3"/>
  <c r="AZ110" i="3" s="1"/>
  <c r="BL112" i="3"/>
  <c r="AC21" i="21"/>
  <c r="U21" i="37"/>
  <c r="C51" i="71"/>
  <c r="BL181" i="3"/>
  <c r="BL183" i="3"/>
  <c r="AZ183" i="3" s="1"/>
  <c r="G184" i="3"/>
  <c r="BA186" i="3"/>
  <c r="AZ186" i="3" s="1"/>
  <c r="BA188" i="3"/>
  <c r="AZ188" i="3" s="1"/>
  <c r="BL190" i="3"/>
  <c r="G191" i="3"/>
  <c r="BA192" i="3"/>
  <c r="AZ192" i="3" s="1"/>
  <c r="BL201" i="3"/>
  <c r="AZ201" i="3" s="1"/>
  <c r="BL202" i="3"/>
  <c r="BL205" i="3"/>
  <c r="G206" i="3"/>
  <c r="BA207" i="3"/>
  <c r="AZ207" i="3" s="1"/>
  <c r="BL20" i="3"/>
  <c r="G21" i="3"/>
  <c r="BA22" i="3"/>
  <c r="BL25" i="3"/>
  <c r="AZ25" i="3" s="1"/>
  <c r="BL27" i="3"/>
  <c r="G28" i="3"/>
  <c r="BL45" i="3"/>
  <c r="G46" i="3"/>
  <c r="G48" i="3"/>
  <c r="BA49" i="3"/>
  <c r="AZ49" i="3" s="1"/>
  <c r="BA51" i="3"/>
  <c r="AZ51" i="3" s="1"/>
  <c r="BA52" i="3"/>
  <c r="AZ52" i="3" s="1"/>
  <c r="BA53" i="3"/>
  <c r="AZ53" i="3" s="1"/>
  <c r="BA55" i="3"/>
  <c r="AZ55" i="3" s="1"/>
  <c r="BL61" i="3"/>
  <c r="G62" i="3"/>
  <c r="G64" i="3"/>
  <c r="BA65" i="3"/>
  <c r="BA67" i="3"/>
  <c r="AZ67" i="3" s="1"/>
  <c r="BA68" i="3"/>
  <c r="AZ68" i="3" s="1"/>
  <c r="BA69" i="3"/>
  <c r="AZ69" i="3" s="1"/>
  <c r="BA71" i="3"/>
  <c r="AZ71" i="3" s="1"/>
  <c r="BL75" i="3"/>
  <c r="G76" i="3"/>
  <c r="G78" i="3"/>
  <c r="BL91" i="3"/>
  <c r="BL96" i="3"/>
  <c r="G97" i="3"/>
  <c r="BA98" i="3"/>
  <c r="AZ98" i="3" s="1"/>
  <c r="BA99" i="3"/>
  <c r="AZ99" i="3" s="1"/>
  <c r="BA101" i="3"/>
  <c r="AZ101" i="3" s="1"/>
  <c r="BL107" i="3"/>
  <c r="G108" i="3"/>
  <c r="G110" i="3"/>
  <c r="G112" i="3"/>
  <c r="AC21" i="33"/>
  <c r="AB21" i="34"/>
  <c r="C70" i="71"/>
  <c r="D70" i="71" s="1"/>
  <c r="C82" i="71"/>
  <c r="D82" i="71" s="1"/>
  <c r="X27" i="71"/>
  <c r="Y30" i="71"/>
  <c r="Z30" i="71" s="1"/>
  <c r="X29" i="71"/>
  <c r="F35" i="71"/>
  <c r="F36" i="71" s="1"/>
  <c r="V36" i="71" s="1"/>
  <c r="B75" i="71"/>
  <c r="B74" i="71" s="1"/>
  <c r="C40" i="11"/>
  <c r="J17" i="34"/>
  <c r="W17" i="34" s="1"/>
  <c r="H23" i="34"/>
  <c r="U23" i="34" s="1"/>
  <c r="W15" i="34"/>
  <c r="H15" i="34"/>
  <c r="AB15" i="34" s="1"/>
  <c r="F15" i="34"/>
  <c r="AA15" i="34" s="1"/>
  <c r="W27" i="21"/>
  <c r="AC27" i="21"/>
  <c r="AA9" i="21"/>
  <c r="S9" i="21"/>
  <c r="AA36" i="33"/>
  <c r="S36" i="33"/>
  <c r="AA17" i="33"/>
  <c r="W25" i="33"/>
  <c r="U32" i="21"/>
  <c r="S32" i="21"/>
  <c r="S37" i="21"/>
  <c r="H36" i="33"/>
  <c r="U36" i="33" s="1"/>
  <c r="H111" i="33"/>
  <c r="I111" i="33" s="1"/>
  <c r="J111" i="33" s="1"/>
  <c r="K111" i="33" s="1"/>
  <c r="L111" i="33" s="1"/>
  <c r="M111" i="33" s="1"/>
  <c r="S17" i="37"/>
  <c r="U32" i="37"/>
  <c r="U12" i="39"/>
  <c r="S15" i="37"/>
  <c r="AC11" i="39"/>
  <c r="AZ377" i="3"/>
  <c r="AZ326" i="3"/>
  <c r="AZ390" i="3"/>
  <c r="AZ356" i="3"/>
  <c r="AZ347" i="3"/>
  <c r="AZ344" i="3"/>
  <c r="AZ313" i="3"/>
  <c r="AZ378" i="3"/>
  <c r="AZ341" i="3"/>
  <c r="AZ327" i="3"/>
  <c r="AZ325" i="3"/>
  <c r="AZ309" i="3"/>
  <c r="AA25" i="21"/>
  <c r="U43" i="33"/>
  <c r="AZ583" i="3"/>
  <c r="AZ532" i="3"/>
  <c r="AZ536" i="3"/>
  <c r="AZ544" i="3"/>
  <c r="AZ558" i="3"/>
  <c r="AB45" i="33"/>
  <c r="AA14" i="34"/>
  <c r="AB46" i="34"/>
  <c r="W31" i="34"/>
  <c r="U46" i="33"/>
  <c r="AA13" i="35"/>
  <c r="AB19" i="33"/>
  <c r="F48" i="9"/>
  <c r="O52" i="9" s="1"/>
  <c r="M18" i="86"/>
  <c r="F32" i="85"/>
  <c r="F60" i="85" s="1"/>
  <c r="F28" i="85"/>
  <c r="C28" i="85" s="1"/>
  <c r="M18" i="84"/>
  <c r="F32" i="86"/>
  <c r="F60" i="86" s="1"/>
  <c r="F28" i="86"/>
  <c r="C28" i="86" s="1"/>
  <c r="M18" i="85"/>
  <c r="F32" i="84"/>
  <c r="F60" i="84" s="1"/>
  <c r="F28" i="84"/>
  <c r="C28" i="84" s="1"/>
  <c r="B73" i="43"/>
  <c r="B79" i="43"/>
  <c r="B76" i="43"/>
  <c r="B75" i="43"/>
  <c r="BL548" i="3"/>
  <c r="AZ548" i="3" s="1"/>
  <c r="M20" i="15"/>
  <c r="F34" i="85"/>
  <c r="F62" i="85" s="1"/>
  <c r="M20" i="85"/>
  <c r="F34" i="86"/>
  <c r="F62" i="86" s="1"/>
  <c r="M20" i="86"/>
  <c r="F34" i="84"/>
  <c r="F62" i="84" s="1"/>
  <c r="M20" i="84"/>
  <c r="BJ5" i="3"/>
  <c r="BF5" i="3"/>
  <c r="F9" i="1"/>
  <c r="G9" i="1" s="1"/>
  <c r="AZ406" i="3"/>
  <c r="AZ419" i="3"/>
  <c r="F12" i="35"/>
  <c r="F23" i="36"/>
  <c r="BL584" i="3"/>
  <c r="AZ584" i="3" s="1"/>
  <c r="BA582" i="3"/>
  <c r="AZ582" i="3" s="1"/>
  <c r="BA581" i="3"/>
  <c r="G581" i="3"/>
  <c r="BA580" i="3"/>
  <c r="AZ580" i="3" s="1"/>
  <c r="G580" i="3"/>
  <c r="BA579" i="3"/>
  <c r="BL578" i="3"/>
  <c r="BA578" i="3"/>
  <c r="G570" i="3"/>
  <c r="G569" i="3"/>
  <c r="BL568" i="3"/>
  <c r="BA568" i="3"/>
  <c r="BA567" i="3"/>
  <c r="BA566" i="3"/>
  <c r="AZ566" i="3" s="1"/>
  <c r="G565" i="3"/>
  <c r="BA564" i="3"/>
  <c r="AZ564" i="3" s="1"/>
  <c r="G564" i="3"/>
  <c r="BA563" i="3"/>
  <c r="BL562" i="3"/>
  <c r="BA562" i="3"/>
  <c r="G556" i="3"/>
  <c r="G555" i="3"/>
  <c r="G554" i="3"/>
  <c r="BA553" i="3"/>
  <c r="BL552" i="3"/>
  <c r="AZ552" i="3" s="1"/>
  <c r="BA550" i="3"/>
  <c r="G526" i="3"/>
  <c r="G525" i="3"/>
  <c r="BA524" i="3"/>
  <c r="AZ524" i="3" s="1"/>
  <c r="BA523" i="3"/>
  <c r="AZ523" i="3" s="1"/>
  <c r="BL522" i="3"/>
  <c r="BA522" i="3"/>
  <c r="BL518" i="3"/>
  <c r="BA518" i="3"/>
  <c r="G518" i="3"/>
  <c r="BA517" i="3"/>
  <c r="G517" i="3"/>
  <c r="BA516" i="3"/>
  <c r="AZ516" i="3" s="1"/>
  <c r="BA514" i="3"/>
  <c r="AZ514" i="3" s="1"/>
  <c r="BA513" i="3"/>
  <c r="G513" i="3"/>
  <c r="BL512" i="3"/>
  <c r="AZ512" i="3" s="1"/>
  <c r="BL510" i="3"/>
  <c r="AZ510" i="3" s="1"/>
  <c r="G510" i="3"/>
  <c r="BA507" i="3"/>
  <c r="BA506" i="3"/>
  <c r="AZ506" i="3" s="1"/>
  <c r="G505" i="3"/>
  <c r="G504" i="3"/>
  <c r="BA503" i="3"/>
  <c r="BL502" i="3"/>
  <c r="AZ502" i="3" s="1"/>
  <c r="G501" i="3"/>
  <c r="BL500" i="3"/>
  <c r="BA500" i="3"/>
  <c r="BA499" i="3"/>
  <c r="G497" i="3"/>
  <c r="G496" i="3"/>
  <c r="BA495" i="3"/>
  <c r="AZ495" i="3" s="1"/>
  <c r="BL494" i="3"/>
  <c r="BA494" i="3"/>
  <c r="G493" i="3"/>
  <c r="BP5" i="3"/>
  <c r="G29" i="6" s="1"/>
  <c r="BO5" i="3"/>
  <c r="BT5" i="3"/>
  <c r="BR5" i="3"/>
  <c r="BQ5" i="3"/>
  <c r="F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BL446" i="3"/>
  <c r="BA447" i="3"/>
  <c r="AZ447" i="3" s="1"/>
  <c r="G450" i="3"/>
  <c r="G454" i="3"/>
  <c r="BA455" i="3"/>
  <c r="AZ455" i="3" s="1"/>
  <c r="BL457" i="3"/>
  <c r="AZ457" i="3" s="1"/>
  <c r="G459" i="3"/>
  <c r="G461" i="3"/>
  <c r="BL461" i="3"/>
  <c r="AZ461" i="3" s="1"/>
  <c r="G463" i="3"/>
  <c r="BL463" i="3"/>
  <c r="AZ463" i="3" s="1"/>
  <c r="BA464" i="3"/>
  <c r="BA465" i="3"/>
  <c r="AZ465" i="3" s="1"/>
  <c r="G468" i="3"/>
  <c r="BL468" i="3"/>
  <c r="AZ468" i="3" s="1"/>
  <c r="G470" i="3"/>
  <c r="BL470" i="3"/>
  <c r="AZ470" i="3" s="1"/>
  <c r="BA471" i="3"/>
  <c r="BL473" i="3"/>
  <c r="AZ473" i="3" s="1"/>
  <c r="G475" i="3"/>
  <c r="BL475" i="3"/>
  <c r="G477" i="3"/>
  <c r="BA478" i="3"/>
  <c r="AZ478" i="3" s="1"/>
  <c r="BA480" i="3"/>
  <c r="AZ480" i="3" s="1"/>
  <c r="BA481" i="3"/>
  <c r="BL481" i="3"/>
  <c r="G483" i="3"/>
  <c r="BL483" i="3"/>
  <c r="G485" i="3"/>
  <c r="BL485" i="3"/>
  <c r="G487" i="3"/>
  <c r="BA488" i="3"/>
  <c r="AZ488" i="3" s="1"/>
  <c r="BL490" i="3"/>
  <c r="AZ490" i="3" s="1"/>
  <c r="BA492" i="3"/>
  <c r="AZ492" i="3" s="1"/>
  <c r="G313" i="3"/>
  <c r="BA315" i="3"/>
  <c r="AZ315" i="3" s="1"/>
  <c r="BL316" i="3"/>
  <c r="AZ316" i="3" s="1"/>
  <c r="G318" i="3"/>
  <c r="G329" i="3"/>
  <c r="BA331" i="3"/>
  <c r="AZ331" i="3" s="1"/>
  <c r="BL332" i="3"/>
  <c r="AZ332" i="3" s="1"/>
  <c r="BA296" i="3"/>
  <c r="BA297" i="3"/>
  <c r="AZ297" i="3" s="1"/>
  <c r="BL299" i="3"/>
  <c r="AZ299" i="3" s="1"/>
  <c r="BA300" i="3"/>
  <c r="BA113" i="3"/>
  <c r="AZ113" i="3" s="1"/>
  <c r="BA114" i="3"/>
  <c r="AZ114" i="3" s="1"/>
  <c r="BL115" i="3"/>
  <c r="AZ115" i="3" s="1"/>
  <c r="BA118" i="3"/>
  <c r="BL119" i="3"/>
  <c r="AZ119" i="3" s="1"/>
  <c r="BA121" i="3"/>
  <c r="AZ121" i="3" s="1"/>
  <c r="G124" i="3"/>
  <c r="G127" i="3"/>
  <c r="BA129" i="3"/>
  <c r="AZ129" i="3" s="1"/>
  <c r="BA130" i="3"/>
  <c r="AZ130" i="3" s="1"/>
  <c r="BL131" i="3"/>
  <c r="AZ131" i="3" s="1"/>
  <c r="G334" i="3"/>
  <c r="BL346" i="3"/>
  <c r="AZ346" i="3" s="1"/>
  <c r="G349" i="3"/>
  <c r="BA350" i="3"/>
  <c r="AZ350" i="3" s="1"/>
  <c r="BL353" i="3"/>
  <c r="AZ353" i="3" s="1"/>
  <c r="G36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BL275" i="3"/>
  <c r="AZ275" i="3" s="1"/>
  <c r="BA276" i="3"/>
  <c r="AZ276" i="3" s="1"/>
  <c r="G279" i="3"/>
  <c r="G280" i="3"/>
  <c r="G281" i="3"/>
  <c r="G282" i="3"/>
  <c r="BL282" i="3"/>
  <c r="AZ282" i="3" s="1"/>
  <c r="BA284" i="3"/>
  <c r="AZ284" i="3" s="1"/>
  <c r="BL286" i="3"/>
  <c r="AZ286" i="3" s="1"/>
  <c r="BL288" i="3"/>
  <c r="AZ288" i="3" s="1"/>
  <c r="BA289" i="3"/>
  <c r="BL291" i="3"/>
  <c r="AZ291" i="3" s="1"/>
  <c r="G293" i="3"/>
  <c r="BL293" i="3"/>
  <c r="G295" i="3"/>
  <c r="G296" i="3"/>
  <c r="D51" i="71"/>
  <c r="C52" i="71"/>
  <c r="D62" i="71"/>
  <c r="C63" i="71"/>
  <c r="C64" i="71" s="1"/>
  <c r="T64" i="71" s="1"/>
  <c r="V24" i="71"/>
  <c r="E23" i="71"/>
  <c r="E22" i="71" s="1"/>
  <c r="E21" i="71" s="1"/>
  <c r="E20" i="71" s="1"/>
  <c r="BA134" i="3"/>
  <c r="AZ134" i="3" s="1"/>
  <c r="BL135" i="3"/>
  <c r="AZ135" i="3" s="1"/>
  <c r="BA137" i="3"/>
  <c r="AZ137" i="3" s="1"/>
  <c r="BA138" i="3"/>
  <c r="AZ138" i="3" s="1"/>
  <c r="BL139" i="3"/>
  <c r="AZ139" i="3" s="1"/>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D54" i="71"/>
  <c r="C55" i="7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AZ36" i="3" s="1"/>
  <c r="G39" i="3"/>
  <c r="G40" i="3"/>
  <c r="BL40" i="3"/>
  <c r="BL42" i="3"/>
  <c r="AZ42" i="3" s="1"/>
  <c r="BA44" i="3"/>
  <c r="AZ44" i="3" s="1"/>
  <c r="BA45" i="3"/>
  <c r="AZ45" i="3" s="1"/>
  <c r="BL47" i="3"/>
  <c r="AZ47" i="3" s="1"/>
  <c r="BA48" i="3"/>
  <c r="AZ48" i="3" s="1"/>
  <c r="BL50" i="3"/>
  <c r="AZ50" i="3" s="1"/>
  <c r="G53" i="3"/>
  <c r="G54" i="3"/>
  <c r="BL54" i="3"/>
  <c r="AZ54" i="3" s="1"/>
  <c r="BA56" i="3"/>
  <c r="AZ56" i="3" s="1"/>
  <c r="BL58" i="3"/>
  <c r="AZ58"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G82" i="3"/>
  <c r="G83" i="3"/>
  <c r="G84" i="3"/>
  <c r="G85" i="3"/>
  <c r="G86" i="3"/>
  <c r="G87" i="3"/>
  <c r="BL87" i="3"/>
  <c r="AZ87" i="3" s="1"/>
  <c r="BL89" i="3"/>
  <c r="AZ89" i="3" s="1"/>
  <c r="BA90" i="3"/>
  <c r="AZ90" i="3" s="1"/>
  <c r="G93" i="3"/>
  <c r="G94" i="3"/>
  <c r="G95" i="3"/>
  <c r="BL95" i="3"/>
  <c r="BA96" i="3"/>
  <c r="AZ96" i="3" s="1"/>
  <c r="BA97" i="3"/>
  <c r="G100" i="3"/>
  <c r="BL100" i="3"/>
  <c r="BL102" i="3"/>
  <c r="AZ102" i="3" s="1"/>
  <c r="BA103" i="3"/>
  <c r="AZ103" i="3" s="1"/>
  <c r="BL105" i="3"/>
  <c r="AZ105" i="3" s="1"/>
  <c r="BA106" i="3"/>
  <c r="AZ106" i="3" s="1"/>
  <c r="BA107" i="3"/>
  <c r="BL109" i="3"/>
  <c r="AZ109" i="3" s="1"/>
  <c r="BL111" i="3"/>
  <c r="AZ111" i="3" s="1"/>
  <c r="BA112" i="3"/>
  <c r="C7" i="37"/>
  <c r="C52" i="37" s="1"/>
  <c r="D52" i="37" s="1"/>
  <c r="C7" i="87"/>
  <c r="J51" i="86"/>
  <c r="J51" i="84"/>
  <c r="J51" i="85"/>
  <c r="AZ40" i="3"/>
  <c r="AZ70" i="3"/>
  <c r="F3" i="35"/>
  <c r="G1" i="85"/>
  <c r="G1" i="86"/>
  <c r="G1" i="84"/>
  <c r="C40" i="68"/>
  <c r="AB21" i="21"/>
  <c r="P27" i="6"/>
  <c r="D28" i="71"/>
  <c r="U28" i="71" s="1"/>
  <c r="T28" i="71"/>
  <c r="AB37" i="71"/>
  <c r="AB33" i="71"/>
  <c r="X31" i="71"/>
  <c r="X37" i="71"/>
  <c r="AB31" i="71"/>
  <c r="AB35" i="71"/>
  <c r="F39" i="71"/>
  <c r="F40" i="71" s="1"/>
  <c r="V40" i="71" s="1"/>
  <c r="B59" i="71"/>
  <c r="B60" i="71" s="1"/>
  <c r="S60" i="71" s="1"/>
  <c r="F17" i="34"/>
  <c r="S23" i="34"/>
  <c r="J23" i="34"/>
  <c r="AA33" i="34"/>
  <c r="AC17" i="34"/>
  <c r="W19" i="34"/>
  <c r="AB17" i="34"/>
  <c r="S33" i="33"/>
  <c r="AB36" i="33"/>
  <c r="S11" i="33"/>
  <c r="AB8" i="34"/>
  <c r="W8" i="34"/>
  <c r="F28" i="15"/>
  <c r="F32" i="67"/>
  <c r="F60" i="67" s="1"/>
  <c r="F28" i="67"/>
  <c r="D68" i="9"/>
  <c r="M18" i="15"/>
  <c r="F30" i="69"/>
  <c r="F48" i="69" s="1"/>
  <c r="M18" i="67"/>
  <c r="F31" i="12"/>
  <c r="F30" i="11"/>
  <c r="C48" i="11" s="1"/>
  <c r="C21" i="68"/>
  <c r="C40" i="69"/>
  <c r="BA16" i="3"/>
  <c r="AZ16" i="3" s="1"/>
  <c r="BE5" i="3"/>
  <c r="E5" i="6"/>
  <c r="BA14" i="3"/>
  <c r="BL16" i="3"/>
  <c r="BL14" i="3"/>
  <c r="F29" i="6"/>
  <c r="F34" i="15"/>
  <c r="F62" i="15" s="1"/>
  <c r="F34" i="67"/>
  <c r="F62" i="67" s="1"/>
  <c r="C28" i="67"/>
  <c r="G23" i="43"/>
  <c r="C7" i="40"/>
  <c r="C63" i="40" s="1"/>
  <c r="C7" i="33"/>
  <c r="C7" i="39"/>
  <c r="C67" i="39" s="1"/>
  <c r="D67" i="39" s="1"/>
  <c r="D69" i="39" s="1"/>
  <c r="C7" i="36"/>
  <c r="C46" i="36" s="1"/>
  <c r="E19" i="71"/>
  <c r="E18" i="71" s="1"/>
  <c r="E17" i="71" s="1"/>
  <c r="E16" i="71" s="1"/>
  <c r="V20" i="71"/>
  <c r="D19" i="53"/>
  <c r="B38" i="72" s="1"/>
  <c r="D16" i="53"/>
  <c r="B34" i="72" s="1"/>
  <c r="AB15" i="21"/>
  <c r="W17" i="21"/>
  <c r="G28" i="6"/>
  <c r="G30" i="6" s="1"/>
  <c r="G31" i="6" s="1"/>
  <c r="AZ515" i="3"/>
  <c r="AZ565" i="3"/>
  <c r="AZ587" i="3"/>
  <c r="AZ498" i="3"/>
  <c r="AZ520" i="3"/>
  <c r="W11" i="35"/>
  <c r="AC11" i="35"/>
  <c r="BL585" i="3"/>
  <c r="AZ585" i="3" s="1"/>
  <c r="H28" i="21"/>
  <c r="F28" i="21"/>
  <c r="J28" i="21"/>
  <c r="H31" i="21"/>
  <c r="J31" i="21"/>
  <c r="F31" i="21"/>
  <c r="AB35" i="33"/>
  <c r="U35" i="33"/>
  <c r="AA38" i="33"/>
  <c r="S38" i="33"/>
  <c r="AC39" i="33"/>
  <c r="W39" i="33"/>
  <c r="AB34" i="35"/>
  <c r="U34" i="35"/>
  <c r="H23" i="35"/>
  <c r="J23" i="35"/>
  <c r="F23" i="35"/>
  <c r="BL581" i="3"/>
  <c r="BL579" i="3"/>
  <c r="AZ579" i="3" s="1"/>
  <c r="BL567" i="3"/>
  <c r="AZ567" i="3" s="1"/>
  <c r="BL563" i="3"/>
  <c r="BL555" i="3"/>
  <c r="AZ555" i="3" s="1"/>
  <c r="AZ553" i="3"/>
  <c r="BL551" i="3"/>
  <c r="BL525" i="3"/>
  <c r="AZ525" i="3" s="1"/>
  <c r="BL521" i="3"/>
  <c r="BL517" i="3"/>
  <c r="AZ517" i="3" s="1"/>
  <c r="BL513" i="3"/>
  <c r="AZ513" i="3" s="1"/>
  <c r="BL509" i="3"/>
  <c r="AZ509" i="3" s="1"/>
  <c r="AZ507" i="3"/>
  <c r="BL505" i="3"/>
  <c r="AZ505" i="3" s="1"/>
  <c r="AZ503" i="3"/>
  <c r="BL501" i="3"/>
  <c r="AZ501" i="3" s="1"/>
  <c r="BL499" i="3"/>
  <c r="AZ499" i="3" s="1"/>
  <c r="BL497" i="3"/>
  <c r="AZ497" i="3" s="1"/>
  <c r="W12" i="37"/>
  <c r="AC12" i="37"/>
  <c r="AZ521" i="3"/>
  <c r="AZ511" i="3"/>
  <c r="AZ519" i="3"/>
  <c r="AZ569" i="3"/>
  <c r="AZ573" i="3"/>
  <c r="AZ577" i="3"/>
  <c r="AZ508" i="3"/>
  <c r="AA21" i="40"/>
  <c r="S21" i="40"/>
  <c r="AA26" i="33"/>
  <c r="S26" i="33"/>
  <c r="J26" i="33"/>
  <c r="H26" i="33"/>
  <c r="AC9" i="34"/>
  <c r="W9" i="34"/>
  <c r="J27" i="34"/>
  <c r="F27" i="34"/>
  <c r="H27" i="34"/>
  <c r="AB9" i="36"/>
  <c r="U9" i="36"/>
  <c r="J24" i="36"/>
  <c r="F24" i="36"/>
  <c r="AB31" i="36"/>
  <c r="U31" i="36"/>
  <c r="AC31" i="37"/>
  <c r="W31" i="37"/>
  <c r="AB14" i="37"/>
  <c r="U14" i="37"/>
  <c r="H25" i="37"/>
  <c r="J25" i="37"/>
  <c r="F25" i="37"/>
  <c r="U8" i="39"/>
  <c r="AB8" i="39"/>
  <c r="H31" i="39"/>
  <c r="F31" i="39"/>
  <c r="J31" i="39"/>
  <c r="F38" i="40"/>
  <c r="J38" i="40"/>
  <c r="H38" i="40"/>
  <c r="AB31" i="35"/>
  <c r="U31" i="35"/>
  <c r="F36" i="39"/>
  <c r="H36" i="39"/>
  <c r="J36" i="39"/>
  <c r="BL550" i="3"/>
  <c r="AZ550" i="3" s="1"/>
  <c r="AZ439" i="3"/>
  <c r="AB27" i="37"/>
  <c r="F14" i="40"/>
  <c r="J14" i="40"/>
  <c r="F38" i="37"/>
  <c r="J38" i="37"/>
  <c r="H28" i="37"/>
  <c r="J28" i="37"/>
  <c r="F12" i="36"/>
  <c r="W40" i="39"/>
  <c r="AB41" i="21"/>
  <c r="BL586" i="3"/>
  <c r="AZ586" i="3" s="1"/>
  <c r="J14" i="21"/>
  <c r="F14" i="21"/>
  <c r="H14" i="21"/>
  <c r="H30" i="21"/>
  <c r="F30" i="21"/>
  <c r="J30" i="21"/>
  <c r="J45" i="21"/>
  <c r="F45" i="21"/>
  <c r="AC33" i="33"/>
  <c r="W33" i="33"/>
  <c r="W12" i="34"/>
  <c r="AC12" i="34"/>
  <c r="U12" i="35"/>
  <c r="AB12" i="35"/>
  <c r="AC34" i="35"/>
  <c r="W34" i="35"/>
  <c r="J12" i="33"/>
  <c r="H12" i="33"/>
  <c r="H12" i="36"/>
  <c r="H24" i="36"/>
  <c r="J26" i="37"/>
  <c r="H26" i="37"/>
  <c r="F26" i="37"/>
  <c r="H44" i="39"/>
  <c r="F44" i="39"/>
  <c r="J44" i="39"/>
  <c r="AC31" i="40"/>
  <c r="W31" i="40"/>
  <c r="AC32" i="40"/>
  <c r="J39" i="40"/>
  <c r="H39" i="40"/>
  <c r="AB34" i="37"/>
  <c r="U34" i="37"/>
  <c r="BA551" i="3"/>
  <c r="AZ551" i="3" s="1"/>
  <c r="AZ405" i="3"/>
  <c r="AZ407" i="3"/>
  <c r="AZ410" i="3"/>
  <c r="AZ420" i="3"/>
  <c r="AZ431" i="3"/>
  <c r="AZ448" i="3"/>
  <c r="AZ452" i="3"/>
  <c r="AZ456" i="3"/>
  <c r="AZ458" i="3"/>
  <c r="AZ462" i="3"/>
  <c r="AZ469" i="3"/>
  <c r="AZ475" i="3"/>
  <c r="AZ483" i="3"/>
  <c r="AZ485" i="3"/>
  <c r="AZ489" i="3"/>
  <c r="AZ397" i="3"/>
  <c r="AZ210" i="3"/>
  <c r="AZ212" i="3"/>
  <c r="AZ220" i="3"/>
  <c r="AZ225" i="3"/>
  <c r="AZ228" i="3"/>
  <c r="AZ247" i="3"/>
  <c r="AZ255" i="3"/>
  <c r="AZ260" i="3"/>
  <c r="AZ274" i="3"/>
  <c r="AZ285" i="3"/>
  <c r="AZ293" i="3"/>
  <c r="AZ298" i="3"/>
  <c r="AZ153" i="3"/>
  <c r="AZ22" i="3"/>
  <c r="AZ76" i="3"/>
  <c r="AZ95" i="3"/>
  <c r="AZ100"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H26" i="43"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H16" i="1"/>
  <c r="P6" i="1"/>
  <c r="C13" i="12" s="1"/>
  <c r="P11" i="1"/>
  <c r="K14" i="1"/>
  <c r="D9" i="11"/>
  <c r="C9" i="11" s="1"/>
  <c r="D19" i="12"/>
  <c r="C19" i="12" s="1"/>
  <c r="AZ13" i="3"/>
  <c r="O9" i="1"/>
  <c r="P9" i="1" s="1"/>
  <c r="O12" i="1"/>
  <c r="P12" i="1" s="1"/>
  <c r="O8" i="1"/>
  <c r="P8" i="1" s="1"/>
  <c r="H73" i="43"/>
  <c r="H90" i="43"/>
  <c r="C23" i="43"/>
  <c r="O23" i="43"/>
  <c r="I18" i="43"/>
  <c r="E17" i="43" s="1"/>
  <c r="C17" i="43" s="1"/>
  <c r="C24" i="43"/>
  <c r="F26"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F66" i="67"/>
  <c r="F66" i="15"/>
  <c r="Q71" i="67"/>
  <c r="C27" i="67"/>
  <c r="F71" i="67"/>
  <c r="C27" i="15"/>
  <c r="F65" i="15"/>
  <c r="N59" i="67"/>
  <c r="L59" i="67"/>
  <c r="L58" i="67"/>
  <c r="M59" i="67"/>
  <c r="B13" i="70"/>
  <c r="M7" i="67"/>
  <c r="J6" i="67" s="1"/>
  <c r="F50" i="67"/>
  <c r="F68" i="67"/>
  <c r="F64" i="67"/>
  <c r="C36" i="68"/>
  <c r="D9" i="69"/>
  <c r="C36" i="69"/>
  <c r="D9" i="68"/>
  <c r="F6" i="15"/>
  <c r="D3" i="73"/>
  <c r="D5" i="73"/>
  <c r="M29" i="15"/>
  <c r="C16" i="67"/>
  <c r="M8" i="15"/>
  <c r="F7" i="15"/>
  <c r="L48" i="15"/>
  <c r="M24" i="15"/>
  <c r="M9" i="15"/>
  <c r="M6" i="15"/>
  <c r="F43" i="15"/>
  <c r="L47" i="15"/>
  <c r="F9" i="15"/>
  <c r="F36" i="15"/>
  <c r="M28" i="15"/>
  <c r="F42" i="15"/>
  <c r="F8" i="15"/>
  <c r="M26" i="15"/>
  <c r="C16" i="15"/>
  <c r="F13" i="15"/>
  <c r="F40" i="15"/>
  <c r="H112" i="34" l="1"/>
  <c r="I112" i="34" s="1"/>
  <c r="J112" i="34" s="1"/>
  <c r="K112" i="34" s="1"/>
  <c r="L112" i="34" s="1"/>
  <c r="M112" i="34" s="1"/>
  <c r="H37" i="34"/>
  <c r="AB23" i="34"/>
  <c r="F64" i="15"/>
  <c r="C6" i="15"/>
  <c r="C32" i="15" s="1"/>
  <c r="N59" i="15"/>
  <c r="M59" i="15"/>
  <c r="L58" i="15"/>
  <c r="Q60" i="15" s="1"/>
  <c r="L59" i="15"/>
  <c r="Q61" i="15" s="1"/>
  <c r="F71" i="15"/>
  <c r="F50" i="15"/>
  <c r="M7" i="15"/>
  <c r="J6" i="15" s="1"/>
  <c r="J18" i="15" s="1"/>
  <c r="J57" i="15"/>
  <c r="J55" i="15" s="1"/>
  <c r="J58" i="15" s="1"/>
  <c r="Q50" i="15" s="1"/>
  <c r="I54" i="15"/>
  <c r="J53" i="15"/>
  <c r="L56" i="15" s="1"/>
  <c r="F51" i="15"/>
  <c r="F68" i="15"/>
  <c r="G5" i="3"/>
  <c r="B3" i="3" s="1"/>
  <c r="S12" i="40"/>
  <c r="AA12" i="40"/>
  <c r="U29" i="21"/>
  <c r="AB29" i="21"/>
  <c r="U47" i="34"/>
  <c r="AB47" i="34"/>
  <c r="E30" i="3"/>
  <c r="D46" i="36"/>
  <c r="E46" i="36" s="1"/>
  <c r="F46" i="36" s="1"/>
  <c r="G46" i="36" s="1"/>
  <c r="H46" i="36" s="1"/>
  <c r="I46" i="36" s="1"/>
  <c r="J46" i="36" s="1"/>
  <c r="K46" i="36" s="1"/>
  <c r="L46" i="36" s="1"/>
  <c r="M46" i="36" s="1"/>
  <c r="N46" i="36" s="1"/>
  <c r="O46" i="36" s="1"/>
  <c r="E29" i="6"/>
  <c r="K15" i="1" s="1"/>
  <c r="F30" i="6"/>
  <c r="AZ97" i="3"/>
  <c r="E270" i="3"/>
  <c r="E450" i="3"/>
  <c r="AZ425" i="3"/>
  <c r="E400" i="3"/>
  <c r="E150" i="3"/>
  <c r="AA33" i="40"/>
  <c r="S33" i="40"/>
  <c r="C19" i="71"/>
  <c r="T20" i="71"/>
  <c r="D20" i="71"/>
  <c r="U20" i="71" s="1"/>
  <c r="J7" i="37"/>
  <c r="AC7" i="37" s="1"/>
  <c r="V42" i="37" s="1"/>
  <c r="I42" i="37" s="1"/>
  <c r="E14" i="6"/>
  <c r="E63" i="39" s="1"/>
  <c r="E13" i="6"/>
  <c r="E10" i="6"/>
  <c r="AZ181" i="3"/>
  <c r="AZ239" i="3"/>
  <c r="S12" i="21"/>
  <c r="AA12" i="21"/>
  <c r="AZ563" i="3"/>
  <c r="AZ112" i="3"/>
  <c r="AZ289" i="3"/>
  <c r="AZ118" i="3"/>
  <c r="AZ300" i="3"/>
  <c r="AZ65" i="3"/>
  <c r="AZ198" i="3"/>
  <c r="AZ117" i="3"/>
  <c r="AB32" i="36"/>
  <c r="U32" i="36"/>
  <c r="AZ234" i="3"/>
  <c r="AZ477" i="3"/>
  <c r="AA43" i="39"/>
  <c r="S43" i="39"/>
  <c r="AB27" i="21"/>
  <c r="U27" i="21"/>
  <c r="AZ79" i="3"/>
  <c r="AZ464" i="3"/>
  <c r="AZ446" i="3"/>
  <c r="AZ494" i="3"/>
  <c r="AZ91" i="3"/>
  <c r="AZ202" i="3"/>
  <c r="AZ251" i="3"/>
  <c r="AZ466" i="3"/>
  <c r="U13" i="34"/>
  <c r="AB13" i="34"/>
  <c r="AB14" i="39"/>
  <c r="U14" i="39"/>
  <c r="AB9" i="33"/>
  <c r="U9" i="33"/>
  <c r="K16" i="1"/>
  <c r="AZ581" i="3"/>
  <c r="AZ107" i="3"/>
  <c r="AZ273" i="3"/>
  <c r="AZ296" i="3"/>
  <c r="AZ471" i="3"/>
  <c r="AZ500" i="3"/>
  <c r="U15" i="34"/>
  <c r="AZ43" i="3"/>
  <c r="AZ5" i="3" s="1"/>
  <c r="AY6" i="3" s="1"/>
  <c r="AZ122" i="3"/>
  <c r="AZ290" i="3"/>
  <c r="U33" i="40"/>
  <c r="AB33" i="40"/>
  <c r="AZ214" i="3"/>
  <c r="AZ491" i="3"/>
  <c r="W25" i="36"/>
  <c r="AC25" i="36"/>
  <c r="AA27" i="37"/>
  <c r="S27" i="37"/>
  <c r="AC12" i="21"/>
  <c r="W12" i="21"/>
  <c r="S15" i="34"/>
  <c r="T52" i="71"/>
  <c r="D52" i="71"/>
  <c r="AZ481" i="3"/>
  <c r="AZ442" i="3"/>
  <c r="AZ403" i="3"/>
  <c r="AZ518" i="3"/>
  <c r="AZ522" i="3"/>
  <c r="AZ562" i="3"/>
  <c r="AZ568" i="3"/>
  <c r="AZ578" i="3"/>
  <c r="S12" i="35"/>
  <c r="AA12" i="35"/>
  <c r="I7" i="33"/>
  <c r="J7" i="33" s="1"/>
  <c r="E7" i="33"/>
  <c r="G7" i="33"/>
  <c r="C58" i="87"/>
  <c r="D58" i="87" s="1"/>
  <c r="E58" i="87" s="1"/>
  <c r="F58" i="87" s="1"/>
  <c r="G58" i="87" s="1"/>
  <c r="H58" i="87" s="1"/>
  <c r="I58" i="87" s="1"/>
  <c r="J58" i="87" s="1"/>
  <c r="K58" i="87" s="1"/>
  <c r="L58" i="87" s="1"/>
  <c r="M58" i="87" s="1"/>
  <c r="N58" i="87" s="1"/>
  <c r="O58" i="87" s="1"/>
  <c r="G7" i="87"/>
  <c r="I7" i="87"/>
  <c r="E7" i="87"/>
  <c r="D55" i="71"/>
  <c r="C56" i="71"/>
  <c r="AA23" i="36"/>
  <c r="S23" i="36"/>
  <c r="AA17" i="34"/>
  <c r="S17" i="34"/>
  <c r="AC23" i="34"/>
  <c r="W23" i="34"/>
  <c r="M11" i="86"/>
  <c r="J10" i="86" s="1"/>
  <c r="F11" i="86"/>
  <c r="M11" i="85"/>
  <c r="J10" i="85" s="1"/>
  <c r="F11" i="85"/>
  <c r="M11" i="84"/>
  <c r="J10" i="84" s="1"/>
  <c r="F11" i="84"/>
  <c r="N370" i="46"/>
  <c r="E510" i="3"/>
  <c r="E188" i="3"/>
  <c r="E116" i="3"/>
  <c r="E393" i="3"/>
  <c r="E564" i="3"/>
  <c r="E427" i="3"/>
  <c r="E507" i="3"/>
  <c r="E440" i="3"/>
  <c r="E376" i="3"/>
  <c r="J6" i="3"/>
  <c r="E419" i="3"/>
  <c r="E401" i="3"/>
  <c r="E40" i="3"/>
  <c r="E108" i="3"/>
  <c r="E119" i="3"/>
  <c r="E242" i="3"/>
  <c r="E276" i="3"/>
  <c r="E333" i="3"/>
  <c r="L6" i="3"/>
  <c r="E43" i="3"/>
  <c r="E473" i="3"/>
  <c r="E148" i="3"/>
  <c r="E575" i="3"/>
  <c r="E442" i="3"/>
  <c r="E449" i="3"/>
  <c r="E554" i="3"/>
  <c r="E417" i="3"/>
  <c r="E95" i="3"/>
  <c r="E258" i="3"/>
  <c r="E349" i="3"/>
  <c r="E59" i="3"/>
  <c r="E412" i="3"/>
  <c r="E96" i="3"/>
  <c r="E129" i="3"/>
  <c r="E174" i="3"/>
  <c r="E275" i="3"/>
  <c r="E324" i="3"/>
  <c r="E342" i="3"/>
  <c r="E35" i="3"/>
  <c r="E34" i="3"/>
  <c r="E206" i="3"/>
  <c r="E251" i="3"/>
  <c r="AF6" i="3"/>
  <c r="E80" i="3"/>
  <c r="E158" i="3"/>
  <c r="E308" i="3"/>
  <c r="E22" i="3"/>
  <c r="E244" i="3"/>
  <c r="E312" i="3"/>
  <c r="E421" i="3"/>
  <c r="E416" i="3"/>
  <c r="E500" i="3"/>
  <c r="E520" i="3"/>
  <c r="E57" i="3"/>
  <c r="E240" i="3"/>
  <c r="E378" i="3"/>
  <c r="E110" i="3"/>
  <c r="E425" i="3"/>
  <c r="E64" i="3"/>
  <c r="E103" i="3"/>
  <c r="E142" i="3"/>
  <c r="E267" i="3"/>
  <c r="E300" i="3"/>
  <c r="E354" i="3"/>
  <c r="E48" i="3"/>
  <c r="E284" i="3"/>
  <c r="E19" i="3"/>
  <c r="E323" i="3"/>
  <c r="E492" i="3"/>
  <c r="E33" i="3"/>
  <c r="E355" i="3"/>
  <c r="E81" i="3"/>
  <c r="E309" i="3"/>
  <c r="G26" i="43"/>
  <c r="AZ14" i="3"/>
  <c r="N94" i="46"/>
  <c r="E26" i="43"/>
  <c r="J26" i="43"/>
  <c r="E59" i="40"/>
  <c r="B15" i="71"/>
  <c r="B14" i="71" s="1"/>
  <c r="B13" i="71" s="1"/>
  <c r="B12" i="71" s="1"/>
  <c r="S16" i="71"/>
  <c r="S28" i="71"/>
  <c r="B27" i="71"/>
  <c r="B26" i="71" s="1"/>
  <c r="D66" i="71"/>
  <c r="O65" i="71"/>
  <c r="O66" i="71"/>
  <c r="T60" i="71"/>
  <c r="D60" i="71"/>
  <c r="W39" i="40"/>
  <c r="AC39" i="40"/>
  <c r="W44" i="39"/>
  <c r="AC44" i="39"/>
  <c r="AB44" i="39"/>
  <c r="U44" i="39"/>
  <c r="U26" i="37"/>
  <c r="AB26" i="37"/>
  <c r="AB24" i="36"/>
  <c r="U24" i="36"/>
  <c r="U12" i="33"/>
  <c r="AB12" i="33"/>
  <c r="AA45" i="21"/>
  <c r="S45" i="21"/>
  <c r="AC30" i="21"/>
  <c r="W30" i="21"/>
  <c r="U30" i="21"/>
  <c r="AB30" i="21"/>
  <c r="S14" i="21"/>
  <c r="AA14" i="21"/>
  <c r="AC28" i="37"/>
  <c r="W28" i="37"/>
  <c r="AC38" i="37"/>
  <c r="W38" i="37"/>
  <c r="AC14" i="40"/>
  <c r="W14" i="40"/>
  <c r="AB36" i="39"/>
  <c r="U36" i="39"/>
  <c r="U38" i="40"/>
  <c r="AB38" i="40"/>
  <c r="S38" i="40"/>
  <c r="AA38" i="40"/>
  <c r="AA31" i="39"/>
  <c r="S31" i="39"/>
  <c r="AA25" i="37"/>
  <c r="S25" i="37"/>
  <c r="U25" i="37"/>
  <c r="AB25" i="37"/>
  <c r="AC24" i="36"/>
  <c r="W24" i="36"/>
  <c r="AA27" i="34"/>
  <c r="S27" i="34"/>
  <c r="U26" i="33"/>
  <c r="AB26" i="33"/>
  <c r="AC23" i="35"/>
  <c r="W23" i="35"/>
  <c r="S31" i="21"/>
  <c r="AA31" i="21"/>
  <c r="AB31" i="21"/>
  <c r="U31" i="21"/>
  <c r="AA28" i="21"/>
  <c r="S28" i="21"/>
  <c r="BA5" i="3"/>
  <c r="E27" i="6" s="1"/>
  <c r="K26" i="6" s="1"/>
  <c r="M26" i="6" s="1"/>
  <c r="I26" i="6" s="1"/>
  <c r="S26" i="6" s="1"/>
  <c r="D39" i="71"/>
  <c r="C40" i="71"/>
  <c r="D31" i="71"/>
  <c r="C32" i="71"/>
  <c r="C74" i="71"/>
  <c r="D74" i="71" s="1"/>
  <c r="D75" i="71"/>
  <c r="T36" i="71"/>
  <c r="D36" i="71"/>
  <c r="F66" i="71"/>
  <c r="Q67" i="71"/>
  <c r="AB39" i="40"/>
  <c r="U39" i="40"/>
  <c r="AA44" i="39"/>
  <c r="S44" i="39"/>
  <c r="AA26" i="37"/>
  <c r="S26" i="37"/>
  <c r="AC26" i="37"/>
  <c r="W26" i="37"/>
  <c r="U12" i="36"/>
  <c r="AB12" i="36"/>
  <c r="W12" i="33"/>
  <c r="AC12" i="33"/>
  <c r="AC45" i="21"/>
  <c r="W45" i="21"/>
  <c r="S30" i="21"/>
  <c r="AA30" i="21"/>
  <c r="U14" i="21"/>
  <c r="AB14" i="21"/>
  <c r="W14" i="21"/>
  <c r="AC14" i="21"/>
  <c r="S12" i="36"/>
  <c r="AA12" i="36"/>
  <c r="AB28" i="37"/>
  <c r="U28" i="37"/>
  <c r="AA38" i="37"/>
  <c r="S38" i="37"/>
  <c r="S14" i="40"/>
  <c r="AA14" i="40"/>
  <c r="AC36" i="39"/>
  <c r="W36" i="39"/>
  <c r="S36" i="39"/>
  <c r="AA36" i="39"/>
  <c r="AC38" i="40"/>
  <c r="W38" i="40"/>
  <c r="AC31" i="39"/>
  <c r="W31" i="39"/>
  <c r="U31" i="39"/>
  <c r="AB31" i="39"/>
  <c r="W25" i="37"/>
  <c r="AC25" i="37"/>
  <c r="AA24" i="36"/>
  <c r="S24" i="36"/>
  <c r="AB27" i="34"/>
  <c r="U27" i="34"/>
  <c r="AC27" i="34"/>
  <c r="W27" i="34"/>
  <c r="W26" i="33"/>
  <c r="AC26" i="33"/>
  <c r="BL5" i="3"/>
  <c r="AA23" i="35"/>
  <c r="S23" i="35"/>
  <c r="U23" i="35"/>
  <c r="AB23" i="35"/>
  <c r="AC31" i="21"/>
  <c r="W31" i="21"/>
  <c r="AC28" i="21"/>
  <c r="W28" i="21"/>
  <c r="AB28" i="21"/>
  <c r="U28" i="2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D65" i="40"/>
  <c r="E63" i="40"/>
  <c r="F48" i="35"/>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F27" i="68"/>
  <c r="AE12" i="1"/>
  <c r="AE10" i="1"/>
  <c r="G1" i="73"/>
  <c r="F8" i="86"/>
  <c r="F38" i="86"/>
  <c r="F13" i="84"/>
  <c r="M22" i="85"/>
  <c r="M28" i="85"/>
  <c r="F9" i="86"/>
  <c r="F36" i="85"/>
  <c r="F26" i="86"/>
  <c r="M22" i="86"/>
  <c r="F9" i="85"/>
  <c r="F38" i="85"/>
  <c r="M9" i="86"/>
  <c r="F38" i="84"/>
  <c r="F37" i="86"/>
  <c r="F40" i="85"/>
  <c r="F42" i="84"/>
  <c r="M29" i="85"/>
  <c r="F40" i="86"/>
  <c r="M9" i="85"/>
  <c r="F43" i="84"/>
  <c r="F42" i="86"/>
  <c r="F13" i="85"/>
  <c r="M9" i="84"/>
  <c r="M6" i="84"/>
  <c r="F6" i="85"/>
  <c r="M24" i="84"/>
  <c r="F40" i="84"/>
  <c r="M29" i="86"/>
  <c r="M23" i="84"/>
  <c r="F26" i="85"/>
  <c r="M28" i="86"/>
  <c r="F8" i="84"/>
  <c r="M23" i="86"/>
  <c r="M26" i="84"/>
  <c r="C76" i="84"/>
  <c r="F26" i="84"/>
  <c r="F6" i="84"/>
  <c r="M29" i="84"/>
  <c r="F13" i="86"/>
  <c r="F9" i="84"/>
  <c r="L48" i="86"/>
  <c r="M26" i="86"/>
  <c r="L47" i="86"/>
  <c r="L48" i="84"/>
  <c r="L47" i="85"/>
  <c r="F42" i="85"/>
  <c r="M6" i="86"/>
  <c r="J15" i="84"/>
  <c r="M8" i="86"/>
  <c r="F37" i="84"/>
  <c r="L47" i="84"/>
  <c r="L48" i="85"/>
  <c r="F36" i="86"/>
  <c r="M26" i="85"/>
  <c r="M24" i="85"/>
  <c r="M8" i="85"/>
  <c r="F43" i="86"/>
  <c r="J15" i="85"/>
  <c r="M24" i="86"/>
  <c r="M23" i="85"/>
  <c r="F16" i="85"/>
  <c r="F7" i="86"/>
  <c r="F43" i="85"/>
  <c r="F6" i="86"/>
  <c r="F8" i="85"/>
  <c r="M28" i="84"/>
  <c r="C76" i="86"/>
  <c r="F16" i="86"/>
  <c r="M22" i="84"/>
  <c r="F7" i="84"/>
  <c r="M6" i="85"/>
  <c r="J15" i="86"/>
  <c r="F7" i="85"/>
  <c r="C76" i="85"/>
  <c r="F41" i="67"/>
  <c r="F37" i="85"/>
  <c r="F16" i="84"/>
  <c r="M8" i="84"/>
  <c r="F36" i="84"/>
  <c r="AA37" i="34" l="1"/>
  <c r="S37" i="34"/>
  <c r="U37" i="34"/>
  <c r="AB37" i="34"/>
  <c r="B40" i="1"/>
  <c r="F24" i="86" s="1"/>
  <c r="J7" i="36"/>
  <c r="AC7" i="36" s="1"/>
  <c r="V36" i="36" s="1"/>
  <c r="I36" i="36" s="1"/>
  <c r="H7" i="36"/>
  <c r="AB7" i="36" s="1"/>
  <c r="T36" i="36" s="1"/>
  <c r="G36" i="36" s="1"/>
  <c r="W7" i="37"/>
  <c r="J7" i="87"/>
  <c r="AC7" i="87" s="1"/>
  <c r="V48" i="87" s="1"/>
  <c r="I48" i="87" s="1"/>
  <c r="I52" i="87" s="1"/>
  <c r="J52" i="87" s="1"/>
  <c r="F7" i="87"/>
  <c r="C49" i="15"/>
  <c r="F1" i="15"/>
  <c r="Q73" i="15"/>
  <c r="Q52" i="15"/>
  <c r="Q74" i="15"/>
  <c r="J5" i="15"/>
  <c r="J24" i="15" s="1"/>
  <c r="E77" i="3"/>
  <c r="E568" i="3"/>
  <c r="E181" i="3"/>
  <c r="E545" i="3"/>
  <c r="AK6" i="3"/>
  <c r="E277" i="3"/>
  <c r="E133" i="3"/>
  <c r="K6" i="3"/>
  <c r="E560" i="3"/>
  <c r="E472" i="3"/>
  <c r="E406" i="3"/>
  <c r="E465" i="3"/>
  <c r="E587" i="3"/>
  <c r="E577" i="3"/>
  <c r="E468" i="3"/>
  <c r="E454" i="3"/>
  <c r="E106" i="3"/>
  <c r="E146" i="3"/>
  <c r="E171" i="3"/>
  <c r="E214" i="3"/>
  <c r="E362" i="3"/>
  <c r="E74" i="3"/>
  <c r="E227" i="3"/>
  <c r="E368" i="3"/>
  <c r="E89" i="3"/>
  <c r="E204" i="3"/>
  <c r="E327" i="3"/>
  <c r="Z6" i="3"/>
  <c r="AO6" i="3"/>
  <c r="E485" i="3"/>
  <c r="E345" i="3"/>
  <c r="E557" i="3"/>
  <c r="E531" i="3"/>
  <c r="E489" i="3"/>
  <c r="E28" i="3"/>
  <c r="E70" i="3"/>
  <c r="E182" i="3"/>
  <c r="E211" i="3"/>
  <c r="E377" i="3"/>
  <c r="E572" i="3"/>
  <c r="E109" i="3"/>
  <c r="E175" i="3"/>
  <c r="E530" i="3"/>
  <c r="E343" i="3"/>
  <c r="E305" i="3"/>
  <c r="E508" i="3"/>
  <c r="E388" i="3"/>
  <c r="E410" i="3"/>
  <c r="E337" i="3"/>
  <c r="E533" i="3"/>
  <c r="AR6" i="3"/>
  <c r="E561" i="3"/>
  <c r="E538" i="3"/>
  <c r="E231" i="3"/>
  <c r="E216" i="3"/>
  <c r="E185" i="3"/>
  <c r="E261" i="3"/>
  <c r="E528" i="3"/>
  <c r="E183" i="3"/>
  <c r="E361" i="3"/>
  <c r="E503" i="3"/>
  <c r="E180" i="3"/>
  <c r="E91" i="3"/>
  <c r="E134" i="3"/>
  <c r="E301" i="3"/>
  <c r="E350" i="3"/>
  <c r="E586" i="3"/>
  <c r="E495" i="3"/>
  <c r="E124" i="3"/>
  <c r="E399" i="3"/>
  <c r="E347"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480" i="3"/>
  <c r="E53" i="3"/>
  <c r="E319" i="3"/>
  <c r="E501" i="3"/>
  <c r="E153" i="3"/>
  <c r="E426" i="3"/>
  <c r="E328" i="3"/>
  <c r="O6" i="3"/>
  <c r="E574" i="3"/>
  <c r="E359" i="3"/>
  <c r="E390" i="3"/>
  <c r="S6" i="3"/>
  <c r="E523" i="3"/>
  <c r="E506" i="3"/>
  <c r="E253" i="3"/>
  <c r="E453" i="3"/>
  <c r="E85" i="3"/>
  <c r="E314" i="3"/>
  <c r="E511" i="3"/>
  <c r="E99" i="3"/>
  <c r="E45" i="3"/>
  <c r="E193" i="3"/>
  <c r="E519" i="3"/>
  <c r="E573" i="3"/>
  <c r="E458" i="3"/>
  <c r="E527" i="3"/>
  <c r="E457" i="3"/>
  <c r="E562" i="3"/>
  <c r="E571" i="3"/>
  <c r="E433" i="3"/>
  <c r="E72" i="3"/>
  <c r="E111" i="3"/>
  <c r="E279" i="3"/>
  <c r="E351" i="3"/>
  <c r="E318" i="3"/>
  <c r="E31" i="3"/>
  <c r="E567" i="3"/>
  <c r="E549" i="3"/>
  <c r="E269" i="3"/>
  <c r="E107" i="3"/>
  <c r="E585" i="3"/>
  <c r="E515" i="3"/>
  <c r="E478" i="3"/>
  <c r="E414" i="3"/>
  <c r="E477" i="3"/>
  <c r="E505" i="3"/>
  <c r="AS6" i="3"/>
  <c r="E476" i="3"/>
  <c r="E447" i="3"/>
  <c r="E27" i="3"/>
  <c r="E186" i="3"/>
  <c r="E210" i="3"/>
  <c r="E331" i="3"/>
  <c r="E384" i="3"/>
  <c r="E44" i="3"/>
  <c r="E441" i="3"/>
  <c r="E125" i="3"/>
  <c r="E553" i="3"/>
  <c r="E282" i="3"/>
  <c r="N6" i="3"/>
  <c r="E239" i="3"/>
  <c r="E516" i="3"/>
  <c r="E396" i="3"/>
  <c r="E151" i="3"/>
  <c r="E358" i="3"/>
  <c r="E559" i="3"/>
  <c r="E551" i="3"/>
  <c r="V6" i="3"/>
  <c r="E407" i="3"/>
  <c r="E320" i="3"/>
  <c r="E294" i="3"/>
  <c r="E230" i="3"/>
  <c r="E130" i="3"/>
  <c r="E114" i="3"/>
  <c r="E395" i="3"/>
  <c r="E260" i="3"/>
  <c r="E550" i="3"/>
  <c r="E117" i="3"/>
  <c r="E290" i="3"/>
  <c r="E61" i="3"/>
  <c r="E245" i="3"/>
  <c r="E382" i="3"/>
  <c r="E578" i="3"/>
  <c r="E518" i="3"/>
  <c r="E336" i="3"/>
  <c r="E583" i="3"/>
  <c r="E461" i="3"/>
  <c r="E157" i="3"/>
  <c r="E529" i="3"/>
  <c r="W6" i="3"/>
  <c r="E54" i="3"/>
  <c r="E357" i="3"/>
  <c r="E196" i="3"/>
  <c r="U6" i="3"/>
  <c r="E367" i="3"/>
  <c r="E71" i="3"/>
  <c r="E291" i="3"/>
  <c r="E526" i="3"/>
  <c r="E509" i="3"/>
  <c r="E201" i="3"/>
  <c r="M6" i="3"/>
  <c r="E335" i="3"/>
  <c r="E189" i="3"/>
  <c r="E278" i="3"/>
  <c r="E172" i="3"/>
  <c r="E535" i="3"/>
  <c r="E135" i="3"/>
  <c r="E263" i="3"/>
  <c r="AI6" i="3"/>
  <c r="E246" i="3"/>
  <c r="E532" i="3"/>
  <c r="E257" i="3"/>
  <c r="E432" i="3"/>
  <c r="E29" i="3"/>
  <c r="E247" i="3"/>
  <c r="E298" i="3"/>
  <c r="E565" i="3"/>
  <c r="E221" i="3"/>
  <c r="E353" i="3"/>
  <c r="E224" i="3"/>
  <c r="E474" i="3"/>
  <c r="E537" i="3"/>
  <c r="E168" i="3"/>
  <c r="E14" i="3"/>
  <c r="E207" i="3"/>
  <c r="E411" i="3"/>
  <c r="E547" i="3"/>
  <c r="E92" i="3"/>
  <c r="E317" i="3"/>
  <c r="E268" i="3"/>
  <c r="E579" i="3"/>
  <c r="E311" i="3"/>
  <c r="AB6" i="3"/>
  <c r="E321" i="3"/>
  <c r="E169" i="3"/>
  <c r="E304" i="3"/>
  <c r="E213" i="3"/>
  <c r="E302" i="3"/>
  <c r="E254" i="3"/>
  <c r="E303" i="3"/>
  <c r="AN6" i="3"/>
  <c r="E280" i="3"/>
  <c r="E352" i="3"/>
  <c r="E438" i="3"/>
  <c r="E471" i="3"/>
  <c r="E93" i="3"/>
  <c r="E548" i="3"/>
  <c r="E403" i="3"/>
  <c r="AM6" i="3"/>
  <c r="E161" i="3"/>
  <c r="X6" i="3"/>
  <c r="E122" i="3"/>
  <c r="E288" i="3"/>
  <c r="E397" i="3"/>
  <c r="E546" i="3"/>
  <c r="AJ6" i="3"/>
  <c r="E570" i="3"/>
  <c r="E237" i="3"/>
  <c r="E159" i="3"/>
  <c r="AA6" i="3"/>
  <c r="E313" i="3"/>
  <c r="E208" i="3"/>
  <c r="E145" i="3"/>
  <c r="E126" i="3"/>
  <c r="E322" i="3"/>
  <c r="E431" i="3"/>
  <c r="E514" i="3"/>
  <c r="E387" i="3"/>
  <c r="E215" i="3"/>
  <c r="E69" i="3"/>
  <c r="E563" i="3"/>
  <c r="E445" i="3"/>
  <c r="E191" i="3"/>
  <c r="E423" i="3"/>
  <c r="E385" i="3"/>
  <c r="E306" i="3"/>
  <c r="E475" i="3"/>
  <c r="E379" i="3"/>
  <c r="E272" i="3"/>
  <c r="E217" i="3"/>
  <c r="E338" i="3"/>
  <c r="E17" i="3"/>
  <c r="E402" i="3"/>
  <c r="E16" i="3"/>
  <c r="E283" i="3"/>
  <c r="E63" i="3"/>
  <c r="E233" i="3"/>
  <c r="E67" i="3"/>
  <c r="E310" i="3"/>
  <c r="E222" i="3"/>
  <c r="E51" i="3"/>
  <c r="E250" i="3"/>
  <c r="E24" i="3"/>
  <c r="E386" i="3"/>
  <c r="E266" i="3"/>
  <c r="E248" i="3"/>
  <c r="E195" i="3"/>
  <c r="E65" i="3"/>
  <c r="E47" i="3"/>
  <c r="E521" i="3"/>
  <c r="E58" i="3"/>
  <c r="E348" i="3"/>
  <c r="E155" i="3"/>
  <c r="E90" i="3"/>
  <c r="E460" i="3"/>
  <c r="E566" i="3"/>
  <c r="E398" i="3"/>
  <c r="E552" i="3"/>
  <c r="E141" i="3"/>
  <c r="E165" i="3"/>
  <c r="E524" i="3"/>
  <c r="E265" i="3"/>
  <c r="E176" i="3"/>
  <c r="E20" i="3"/>
  <c r="E364" i="3"/>
  <c r="E289" i="3"/>
  <c r="E123" i="3"/>
  <c r="E36" i="3"/>
  <c r="AQ6" i="3"/>
  <c r="E325" i="3"/>
  <c r="E299" i="3"/>
  <c r="E234" i="3"/>
  <c r="E137" i="3"/>
  <c r="E100" i="3"/>
  <c r="E79" i="3"/>
  <c r="E15" i="3"/>
  <c r="E76" i="3"/>
  <c r="E363" i="3"/>
  <c r="E192" i="3"/>
  <c r="E37" i="3"/>
  <c r="E491" i="3"/>
  <c r="AP6" i="3"/>
  <c r="E430" i="3"/>
  <c r="E502" i="3"/>
  <c r="E286" i="3"/>
  <c r="E536" i="3"/>
  <c r="E428" i="3"/>
  <c r="E94" i="3"/>
  <c r="AL6" i="3"/>
  <c r="E391" i="3"/>
  <c r="E243" i="3"/>
  <c r="E225" i="3"/>
  <c r="E198" i="3"/>
  <c r="E41" i="3"/>
  <c r="E26" i="3"/>
  <c r="E470" i="3"/>
  <c r="E494" i="3"/>
  <c r="E497" i="3"/>
  <c r="E360" i="3"/>
  <c r="E408" i="3"/>
  <c r="E469" i="3"/>
  <c r="E405" i="3"/>
  <c r="E534" i="3"/>
  <c r="E369" i="3"/>
  <c r="E197" i="3"/>
  <c r="E296" i="3"/>
  <c r="E97" i="3"/>
  <c r="E418" i="3"/>
  <c r="E366" i="3"/>
  <c r="E293" i="3"/>
  <c r="E136" i="3"/>
  <c r="E21" i="3"/>
  <c r="E264" i="3"/>
  <c r="E68" i="3"/>
  <c r="E184" i="3"/>
  <c r="E84" i="3"/>
  <c r="E82" i="3"/>
  <c r="E179" i="3"/>
  <c r="Y6" i="3"/>
  <c r="E127" i="3"/>
  <c r="E66" i="3"/>
  <c r="E371" i="3"/>
  <c r="E249" i="3"/>
  <c r="E200" i="3"/>
  <c r="E160" i="3"/>
  <c r="E46" i="3"/>
  <c r="E467" i="3"/>
  <c r="E462" i="3"/>
  <c r="E504" i="3"/>
  <c r="E259" i="3"/>
  <c r="E187" i="3"/>
  <c r="E39" i="3"/>
  <c r="E413" i="3"/>
  <c r="E374" i="3"/>
  <c r="E487" i="3"/>
  <c r="E542" i="3"/>
  <c r="E167" i="3"/>
  <c r="E83" i="3"/>
  <c r="E326" i="3"/>
  <c r="E287" i="3"/>
  <c r="E113" i="3"/>
  <c r="E102" i="3"/>
  <c r="E370" i="3"/>
  <c r="E232" i="3"/>
  <c r="E49" i="3"/>
  <c r="E86" i="3"/>
  <c r="E522" i="3"/>
  <c r="E383" i="3"/>
  <c r="E235" i="3"/>
  <c r="E220" i="3"/>
  <c r="E190" i="3"/>
  <c r="E78" i="3"/>
  <c r="E18" i="3"/>
  <c r="E484" i="3"/>
  <c r="E544" i="3"/>
  <c r="E292" i="3"/>
  <c r="E132" i="3"/>
  <c r="E56" i="3"/>
  <c r="E435" i="3"/>
  <c r="I3" i="6"/>
  <c r="E541" i="3"/>
  <c r="R6" i="3"/>
  <c r="E199" i="3"/>
  <c r="E539" i="3"/>
  <c r="E540" i="3"/>
  <c r="E60" i="3"/>
  <c r="E372" i="3"/>
  <c r="E346" i="3"/>
  <c r="E226" i="3"/>
  <c r="E202" i="3"/>
  <c r="E178" i="3"/>
  <c r="E25" i="3"/>
  <c r="E463" i="3"/>
  <c r="E483" i="3"/>
  <c r="E498" i="3"/>
  <c r="AH6" i="3"/>
  <c r="E490" i="3"/>
  <c r="E422" i="3"/>
  <c r="E486" i="3"/>
  <c r="E543" i="3"/>
  <c r="E493" i="3"/>
  <c r="E105" i="3"/>
  <c r="E223" i="3"/>
  <c r="E205" i="3"/>
  <c r="H7" i="87"/>
  <c r="AB7" i="87" s="1"/>
  <c r="T48" i="87" s="1"/>
  <c r="G48" i="87" s="1"/>
  <c r="E229" i="3"/>
  <c r="E415" i="3"/>
  <c r="E569" i="3"/>
  <c r="E380" i="3"/>
  <c r="E143" i="3"/>
  <c r="E285" i="3"/>
  <c r="W7" i="36"/>
  <c r="U7" i="36"/>
  <c r="F67" i="39"/>
  <c r="E513" i="3"/>
  <c r="E118" i="3"/>
  <c r="E381" i="3"/>
  <c r="E144" i="3"/>
  <c r="E23" i="3"/>
  <c r="E373" i="3"/>
  <c r="E154" i="3"/>
  <c r="E341" i="3"/>
  <c r="E87" i="3"/>
  <c r="E584" i="3"/>
  <c r="E307" i="3"/>
  <c r="E209" i="3"/>
  <c r="E163" i="3"/>
  <c r="E138" i="3"/>
  <c r="E98" i="3"/>
  <c r="E446" i="3"/>
  <c r="E488" i="3"/>
  <c r="E375" i="3"/>
  <c r="E297" i="3"/>
  <c r="E131" i="3"/>
  <c r="E436" i="3"/>
  <c r="E582" i="3"/>
  <c r="E459" i="3"/>
  <c r="E464" i="3"/>
  <c r="AD6" i="3"/>
  <c r="E149" i="3"/>
  <c r="E101" i="3"/>
  <c r="E365" i="3"/>
  <c r="E218" i="3"/>
  <c r="E62" i="3"/>
  <c r="E50" i="3"/>
  <c r="E340" i="3"/>
  <c r="E147" i="3"/>
  <c r="E112" i="3"/>
  <c r="E52" i="3"/>
  <c r="E392" i="3"/>
  <c r="E339" i="3"/>
  <c r="E219" i="3"/>
  <c r="E194" i="3"/>
  <c r="E170" i="3"/>
  <c r="E38" i="3"/>
  <c r="E455" i="3"/>
  <c r="E409" i="3"/>
  <c r="E389" i="3"/>
  <c r="E241" i="3"/>
  <c r="E152" i="3"/>
  <c r="E479" i="3"/>
  <c r="E517" i="3"/>
  <c r="E255" i="3"/>
  <c r="E466" i="3"/>
  <c r="E499" i="3"/>
  <c r="E212" i="3"/>
  <c r="E482" i="3"/>
  <c r="E75" i="3"/>
  <c r="E42" i="3"/>
  <c r="E356" i="3"/>
  <c r="E332" i="3"/>
  <c r="E281" i="3"/>
  <c r="E139" i="3"/>
  <c r="E115" i="3"/>
  <c r="E104" i="3"/>
  <c r="E420" i="3"/>
  <c r="E452" i="3"/>
  <c r="E13" i="3"/>
  <c r="E556" i="3"/>
  <c r="E451" i="3"/>
  <c r="E512" i="3"/>
  <c r="E456" i="3"/>
  <c r="T6" i="3"/>
  <c r="E525" i="3"/>
  <c r="E173" i="3"/>
  <c r="E140" i="3"/>
  <c r="E329" i="3"/>
  <c r="E273" i="3"/>
  <c r="C18" i="71"/>
  <c r="D19" i="71"/>
  <c r="E315" i="3"/>
  <c r="E555" i="3"/>
  <c r="E439" i="3"/>
  <c r="E228" i="3"/>
  <c r="F7" i="36"/>
  <c r="E162" i="3"/>
  <c r="E271" i="3"/>
  <c r="C6" i="85"/>
  <c r="F65" i="85"/>
  <c r="F51" i="85"/>
  <c r="F50" i="85"/>
  <c r="M7" i="85"/>
  <c r="J6" i="85" s="1"/>
  <c r="F68" i="85"/>
  <c r="F65" i="84"/>
  <c r="F71" i="84"/>
  <c r="F51" i="84"/>
  <c r="M7" i="84"/>
  <c r="J6" i="84" s="1"/>
  <c r="F50" i="84"/>
  <c r="F64" i="86"/>
  <c r="C6" i="86"/>
  <c r="C10" i="86" s="1"/>
  <c r="C5" i="86" s="1"/>
  <c r="F65" i="86"/>
  <c r="F71" i="86"/>
  <c r="Q71" i="86"/>
  <c r="L57" i="86"/>
  <c r="L56" i="86"/>
  <c r="L60" i="86"/>
  <c r="J60" i="86"/>
  <c r="Q48" i="86" s="1"/>
  <c r="J59" i="86"/>
  <c r="J57" i="86"/>
  <c r="J55" i="86" s="1"/>
  <c r="J58" i="86" s="1"/>
  <c r="Q50" i="86" s="1"/>
  <c r="I54" i="86"/>
  <c r="J53" i="86"/>
  <c r="M59" i="86"/>
  <c r="L59" i="86"/>
  <c r="N59" i="86"/>
  <c r="L58" i="86"/>
  <c r="F64" i="85"/>
  <c r="C27" i="85"/>
  <c r="F66" i="85"/>
  <c r="F71" i="85"/>
  <c r="N59" i="85"/>
  <c r="L58" i="85"/>
  <c r="M59" i="85"/>
  <c r="L59" i="85"/>
  <c r="Q71" i="85"/>
  <c r="L56" i="85"/>
  <c r="L60" i="85"/>
  <c r="L57" i="85"/>
  <c r="J53" i="85"/>
  <c r="J60" i="85"/>
  <c r="Q48" i="85" s="1"/>
  <c r="J59" i="85"/>
  <c r="J57" i="85"/>
  <c r="J55" i="85" s="1"/>
  <c r="J58" i="85" s="1"/>
  <c r="Q50" i="85" s="1"/>
  <c r="I54" i="85"/>
  <c r="C6" i="84"/>
  <c r="C10" i="84" s="1"/>
  <c r="C5" i="84" s="1"/>
  <c r="F66" i="84"/>
  <c r="F64" i="84"/>
  <c r="C27" i="84"/>
  <c r="L57" i="84"/>
  <c r="L56" i="84"/>
  <c r="L60" i="84"/>
  <c r="J60" i="84"/>
  <c r="Q48" i="84" s="1"/>
  <c r="J59" i="84"/>
  <c r="J53" i="84"/>
  <c r="I54" i="84"/>
  <c r="J57" i="84"/>
  <c r="J55" i="84" s="1"/>
  <c r="J58" i="84" s="1"/>
  <c r="Q50" i="84" s="1"/>
  <c r="M59" i="84"/>
  <c r="L59" i="84"/>
  <c r="N59" i="84"/>
  <c r="L58" i="84"/>
  <c r="Q71" i="84"/>
  <c r="F68" i="84"/>
  <c r="C27" i="86"/>
  <c r="F66" i="86"/>
  <c r="F68" i="86"/>
  <c r="F51" i="86"/>
  <c r="M7" i="86"/>
  <c r="J6" i="86" s="1"/>
  <c r="F50" i="86"/>
  <c r="T56" i="71"/>
  <c r="D56" i="71"/>
  <c r="AA7" i="87"/>
  <c r="R48" i="87" s="1"/>
  <c r="S7" i="87"/>
  <c r="U7" i="87"/>
  <c r="C53" i="86"/>
  <c r="F24" i="85"/>
  <c r="C53" i="85"/>
  <c r="C53" i="84"/>
  <c r="D26" i="43"/>
  <c r="C25" i="43" s="1"/>
  <c r="C33" i="43" s="1"/>
  <c r="E3" i="6"/>
  <c r="C34" i="34" s="1"/>
  <c r="E65" i="39"/>
  <c r="Q66" i="71"/>
  <c r="Q65" i="71"/>
  <c r="E11" i="71"/>
  <c r="E10" i="71" s="1"/>
  <c r="E9" i="71" s="1"/>
  <c r="E8" i="71" s="1"/>
  <c r="E7" i="71" s="1"/>
  <c r="E6" i="71" s="1"/>
  <c r="E5" i="71" s="1"/>
  <c r="V12" i="71"/>
  <c r="T32" i="71"/>
  <c r="D32" i="71"/>
  <c r="T40" i="71"/>
  <c r="D40"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8"/>
  <c r="M27" i="15"/>
  <c r="C17" i="86"/>
  <c r="M27" i="85"/>
  <c r="C16" i="84"/>
  <c r="M27" i="86"/>
  <c r="AE6" i="1"/>
  <c r="F41" i="15" s="1"/>
  <c r="M27" i="67"/>
  <c r="M27" i="84"/>
  <c r="C16" i="86"/>
  <c r="C16" i="85"/>
  <c r="F22" i="11" l="1"/>
  <c r="C23" i="11" s="1"/>
  <c r="F24" i="67"/>
  <c r="C24" i="67" s="1"/>
  <c r="F24" i="15"/>
  <c r="C24" i="15" s="1"/>
  <c r="F22" i="69"/>
  <c r="F41" i="69" s="1"/>
  <c r="L36" i="43"/>
  <c r="L37" i="43" s="1"/>
  <c r="Q37" i="43" s="1"/>
  <c r="F24" i="84"/>
  <c r="C24" i="84" s="1"/>
  <c r="C48" i="15"/>
  <c r="C66" i="15" s="1"/>
  <c r="W7" i="87"/>
  <c r="S7" i="36"/>
  <c r="AA7" i="36"/>
  <c r="R36" i="36" s="1"/>
  <c r="AC6" i="3"/>
  <c r="D37" i="11"/>
  <c r="C17" i="4"/>
  <c r="B4" i="52" s="1"/>
  <c r="B43" i="72" s="1"/>
  <c r="D3" i="21"/>
  <c r="H6" i="3"/>
  <c r="E6" i="3" s="1"/>
  <c r="D19" i="11"/>
  <c r="C19" i="11" s="1"/>
  <c r="C20" i="11" s="1"/>
  <c r="C28" i="11" s="1"/>
  <c r="C27" i="11" s="1"/>
  <c r="C17" i="71"/>
  <c r="D18" i="71"/>
  <c r="L46" i="86"/>
  <c r="J18" i="84"/>
  <c r="J19" i="84"/>
  <c r="J5" i="84"/>
  <c r="J18" i="86"/>
  <c r="J19" i="86"/>
  <c r="J5" i="86"/>
  <c r="J19" i="85"/>
  <c r="J18" i="85"/>
  <c r="J5" i="85"/>
  <c r="Q73" i="85"/>
  <c r="Q60" i="85"/>
  <c r="C33" i="86"/>
  <c r="C32" i="86"/>
  <c r="C32" i="85"/>
  <c r="C33" i="85"/>
  <c r="R49" i="87"/>
  <c r="E48" i="87"/>
  <c r="Q60" i="84"/>
  <c r="Q73" i="84"/>
  <c r="Q61" i="84"/>
  <c r="Q74" i="84"/>
  <c r="F1" i="84"/>
  <c r="Q52" i="84"/>
  <c r="Q66" i="84"/>
  <c r="Q57" i="84"/>
  <c r="Q52" i="85"/>
  <c r="F1" i="85"/>
  <c r="Q61" i="85"/>
  <c r="Q74" i="85"/>
  <c r="L18" i="9"/>
  <c r="D3" i="34"/>
  <c r="D14" i="12"/>
  <c r="D17" i="12" s="1"/>
  <c r="C17" i="12" s="1"/>
  <c r="E6" i="6"/>
  <c r="C10" i="85"/>
  <c r="C5" i="85" s="1"/>
  <c r="C38" i="85" s="1"/>
  <c r="G52" i="87"/>
  <c r="H52" i="87" s="1"/>
  <c r="G53" i="87"/>
  <c r="H53" i="87" s="1"/>
  <c r="C49" i="86"/>
  <c r="C61" i="86" s="1"/>
  <c r="L46" i="84"/>
  <c r="C33" i="84"/>
  <c r="C32" i="84"/>
  <c r="L46" i="85"/>
  <c r="Q66" i="85"/>
  <c r="Q57" i="85"/>
  <c r="Q73" i="86"/>
  <c r="Q60" i="86"/>
  <c r="Q74" i="86"/>
  <c r="Q61" i="86"/>
  <c r="Q52" i="86"/>
  <c r="F1" i="86"/>
  <c r="Q57" i="86"/>
  <c r="Q66" i="86"/>
  <c r="C49" i="84"/>
  <c r="C61" i="84" s="1"/>
  <c r="C49" i="85"/>
  <c r="C61" i="85" s="1"/>
  <c r="C24" i="85"/>
  <c r="C24" i="86"/>
  <c r="C38" i="86"/>
  <c r="C38" i="8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G52" i="33"/>
  <c r="H52" i="33" s="1"/>
  <c r="G53" i="33"/>
  <c r="H53" i="33" s="1"/>
  <c r="H48" i="35"/>
  <c r="R43" i="37"/>
  <c r="E42" i="37"/>
  <c r="G63" i="40"/>
  <c r="F65" i="40"/>
  <c r="G58" i="21"/>
  <c r="F41" i="68"/>
  <c r="C44" i="68"/>
  <c r="D41" i="68" s="1"/>
  <c r="C26" i="68"/>
  <c r="D22" i="68" s="1"/>
  <c r="C26" i="12"/>
  <c r="D25" i="12" s="1"/>
  <c r="C66" i="67"/>
  <c r="C60" i="67"/>
  <c r="D10" i="69"/>
  <c r="C34" i="69"/>
  <c r="D10" i="68"/>
  <c r="C17" i="15"/>
  <c r="C17" i="84"/>
  <c r="C14" i="67"/>
  <c r="C14" i="86"/>
  <c r="C17" i="67"/>
  <c r="AE8" i="1"/>
  <c r="AE7" i="1"/>
  <c r="AE9" i="1"/>
  <c r="C17" i="85"/>
  <c r="C26" i="69" l="1"/>
  <c r="D22" i="69" s="1"/>
  <c r="C26" i="11"/>
  <c r="D22" i="11" s="1"/>
  <c r="C24" i="11"/>
  <c r="C44" i="11"/>
  <c r="D41" i="11" s="1"/>
  <c r="C44" i="69"/>
  <c r="D41" i="69" s="1"/>
  <c r="M37" i="43"/>
  <c r="N36" i="43"/>
  <c r="P37" i="43"/>
  <c r="O36" i="43"/>
  <c r="Q36" i="43"/>
  <c r="O37" i="43"/>
  <c r="C60" i="15"/>
  <c r="N37" i="43"/>
  <c r="P36" i="43"/>
  <c r="M36" i="43"/>
  <c r="R37" i="36"/>
  <c r="E36" i="36"/>
  <c r="C16" i="71"/>
  <c r="D17" i="71"/>
  <c r="C15" i="86"/>
  <c r="C18" i="86"/>
  <c r="C48" i="84"/>
  <c r="C48" i="87"/>
  <c r="C49" i="87"/>
  <c r="AA34" i="34"/>
  <c r="R49" i="34" s="1"/>
  <c r="S34" i="34"/>
  <c r="J24" i="86"/>
  <c r="J26" i="86"/>
  <c r="E7" i="70"/>
  <c r="C48" i="86"/>
  <c r="I53" i="87"/>
  <c r="J53" i="87" s="1"/>
  <c r="E52" i="87"/>
  <c r="F52" i="87" s="1"/>
  <c r="E53" i="87"/>
  <c r="F53" i="87" s="1"/>
  <c r="C48" i="85"/>
  <c r="AB34" i="34"/>
  <c r="T49" i="34" s="1"/>
  <c r="G49" i="34" s="1"/>
  <c r="U34" i="34"/>
  <c r="AC34" i="34"/>
  <c r="V49" i="34" s="1"/>
  <c r="I49" i="34" s="1"/>
  <c r="I53" i="34" s="1"/>
  <c r="J53" i="34" s="1"/>
  <c r="W34" i="34"/>
  <c r="J26" i="85"/>
  <c r="J24" i="85"/>
  <c r="J24" i="84"/>
  <c r="J26" i="84"/>
  <c r="D30" i="6"/>
  <c r="H24" i="6"/>
  <c r="H22" i="6"/>
  <c r="C25" i="11"/>
  <c r="H25" i="6"/>
  <c r="R25" i="6" s="1"/>
  <c r="R12" i="1"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6"/>
  <c r="C14" i="85"/>
  <c r="C14" i="84"/>
  <c r="E6" i="76"/>
  <c r="F41" i="86"/>
  <c r="B6" i="76"/>
  <c r="C14" i="15"/>
  <c r="F41" i="85"/>
  <c r="F35" i="86"/>
  <c r="F41" i="84"/>
  <c r="C22" i="11" l="1"/>
  <c r="C31" i="11" s="1"/>
  <c r="F69" i="86"/>
  <c r="F69" i="85"/>
  <c r="E2" i="70"/>
  <c r="C36" i="36"/>
  <c r="C37" i="36"/>
  <c r="J29" i="85"/>
  <c r="E40" i="36"/>
  <c r="F40" i="36" s="1"/>
  <c r="I41" i="36"/>
  <c r="J41" i="36" s="1"/>
  <c r="E41" i="36"/>
  <c r="F41" i="36" s="1"/>
  <c r="J29" i="86"/>
  <c r="D16" i="71"/>
  <c r="U16" i="71" s="1"/>
  <c r="T16" i="71"/>
  <c r="C15" i="71"/>
  <c r="C19" i="86"/>
  <c r="C20" i="86" s="1"/>
  <c r="C26" i="86" s="1"/>
  <c r="C15" i="85"/>
  <c r="C18" i="85"/>
  <c r="C18" i="84"/>
  <c r="C15" i="84"/>
  <c r="F69" i="84"/>
  <c r="J29" i="84"/>
  <c r="C66" i="85"/>
  <c r="C60" i="85"/>
  <c r="C66" i="86"/>
  <c r="C60" i="86"/>
  <c r="R50" i="34"/>
  <c r="E49" i="34"/>
  <c r="G53" i="34"/>
  <c r="H53" i="34" s="1"/>
  <c r="G54" i="34"/>
  <c r="H54" i="34" s="1"/>
  <c r="B2" i="87"/>
  <c r="B3" i="87"/>
  <c r="C60" i="84"/>
  <c r="C66" i="84"/>
  <c r="J20" i="86"/>
  <c r="J17" i="86" s="1"/>
  <c r="F63" i="86"/>
  <c r="C62" i="86" s="1"/>
  <c r="C34" i="86"/>
  <c r="C31" i="86"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D15" i="71" l="1"/>
  <c r="C14" i="71"/>
  <c r="C19" i="85"/>
  <c r="C20" i="85" s="1"/>
  <c r="C26" i="85" s="1"/>
  <c r="C19" i="84"/>
  <c r="C20" i="84" s="1"/>
  <c r="C26" i="84" s="1"/>
  <c r="C59" i="86"/>
  <c r="C23" i="86"/>
  <c r="C29" i="86" s="1"/>
  <c r="E54" i="34"/>
  <c r="F54" i="34" s="1"/>
  <c r="I54" i="34"/>
  <c r="J54" i="34" s="1"/>
  <c r="E53" i="34"/>
  <c r="F53" i="34" s="1"/>
  <c r="C50" i="34"/>
  <c r="C49" i="34"/>
  <c r="C21" i="12"/>
  <c r="C22" i="12"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l="1"/>
  <c r="AC7" i="35" s="1"/>
  <c r="V38" i="35" s="1"/>
  <c r="I38" i="35" s="1"/>
  <c r="W7" i="21"/>
  <c r="C13" i="71"/>
  <c r="D14" i="71"/>
  <c r="C23" i="85"/>
  <c r="C29" i="85" s="1"/>
  <c r="C23" i="84"/>
  <c r="C29" i="84" s="1"/>
  <c r="Q49" i="84" s="1"/>
  <c r="Q49" i="86"/>
  <c r="C57" i="86"/>
  <c r="C64" i="86" s="1"/>
  <c r="C36" i="86"/>
  <c r="J14" i="86"/>
  <c r="C13" i="86"/>
  <c r="C30" i="12"/>
  <c r="C28" i="12" s="1"/>
  <c r="C27" i="12"/>
  <c r="C25" i="1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84"/>
  <c r="M21" i="85"/>
  <c r="M21" i="15"/>
  <c r="F35" i="67"/>
  <c r="F35" i="85"/>
  <c r="F35" i="15"/>
  <c r="M21" i="84"/>
  <c r="C12" i="71" l="1"/>
  <c r="D13" i="71"/>
  <c r="J14" i="85"/>
  <c r="J13" i="85" s="1"/>
  <c r="J23" i="85" s="1"/>
  <c r="Q49" i="85"/>
  <c r="C57" i="85"/>
  <c r="C64" i="85" s="1"/>
  <c r="C13" i="85"/>
  <c r="C56" i="85" s="1"/>
  <c r="C65" i="85" s="1"/>
  <c r="C36" i="85"/>
  <c r="C32" i="12"/>
  <c r="B2" i="12" s="1"/>
  <c r="B3" i="12" s="1"/>
  <c r="C57" i="84"/>
  <c r="C64" i="84" s="1"/>
  <c r="C36" i="84"/>
  <c r="J14" i="84"/>
  <c r="J22" i="84" s="1"/>
  <c r="C13" i="84"/>
  <c r="C37" i="84" s="1"/>
  <c r="J22" i="86"/>
  <c r="J13" i="86"/>
  <c r="J23" i="86" s="1"/>
  <c r="C56" i="86"/>
  <c r="C65" i="86" s="1"/>
  <c r="C58" i="86" s="1"/>
  <c r="C67" i="86" s="1"/>
  <c r="C68" i="86" s="1"/>
  <c r="C75" i="86"/>
  <c r="C37" i="86"/>
  <c r="C30" i="86" s="1"/>
  <c r="C39" i="86" s="1"/>
  <c r="Q70" i="86"/>
  <c r="J20" i="85"/>
  <c r="J17" i="85" s="1"/>
  <c r="F63" i="85"/>
  <c r="C62" i="85" s="1"/>
  <c r="C59" i="85" s="1"/>
  <c r="C34" i="85"/>
  <c r="C31" i="85" s="1"/>
  <c r="J20" i="84"/>
  <c r="J17" i="84" s="1"/>
  <c r="F63" i="84"/>
  <c r="C62" i="84" s="1"/>
  <c r="C59" i="84" s="1"/>
  <c r="C34" i="84"/>
  <c r="C31" i="8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H33" i="84"/>
  <c r="H34" i="84" s="1"/>
  <c r="C75" i="84"/>
  <c r="C37" i="85"/>
  <c r="C30" i="85" s="1"/>
  <c r="C39" i="85" s="1"/>
  <c r="J22" i="85"/>
  <c r="J16" i="85" s="1"/>
  <c r="J25" i="85" s="1"/>
  <c r="Q70" i="85"/>
  <c r="C75" i="85"/>
  <c r="J13" i="84"/>
  <c r="J23" i="84" s="1"/>
  <c r="J16" i="84" s="1"/>
  <c r="J25" i="84" s="1"/>
  <c r="C58" i="85"/>
  <c r="C67" i="85" s="1"/>
  <c r="C68" i="85" s="1"/>
  <c r="C71" i="85" s="1"/>
  <c r="C56" i="84"/>
  <c r="C65" i="84" s="1"/>
  <c r="C58" i="84" s="1"/>
  <c r="C67" i="84" s="1"/>
  <c r="C68" i="84" s="1"/>
  <c r="C71" i="84" s="1"/>
  <c r="C30" i="84"/>
  <c r="C39" i="84" s="1"/>
  <c r="Q69" i="84" s="1"/>
  <c r="Q70" i="84"/>
  <c r="J16" i="86"/>
  <c r="J25" i="86" s="1"/>
  <c r="C71" i="86"/>
  <c r="C40" i="86"/>
  <c r="Q69" i="86"/>
  <c r="Q68" i="86" s="1"/>
  <c r="C80" i="86"/>
  <c r="C79" i="86"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6"/>
  <c r="L51" i="85"/>
  <c r="D11" i="71" l="1"/>
  <c r="C10" i="71"/>
  <c r="C40" i="84"/>
  <c r="Q56" i="84" s="1"/>
  <c r="Q62" i="84" s="1"/>
  <c r="Q69" i="85"/>
  <c r="Q68" i="85" s="1"/>
  <c r="C40" i="85"/>
  <c r="Q56" i="85" s="1"/>
  <c r="Q62" i="85" s="1"/>
  <c r="C80" i="85"/>
  <c r="C79" i="85" s="1"/>
  <c r="Q68" i="84"/>
  <c r="C80" i="84"/>
  <c r="C79" i="84" s="1"/>
  <c r="Q67" i="86"/>
  <c r="Q65" i="86"/>
  <c r="Q75" i="86" s="1"/>
  <c r="Q56" i="86"/>
  <c r="Q62" i="86" s="1"/>
  <c r="C43" i="86"/>
  <c r="Q47" i="86"/>
  <c r="Q53" i="86" s="1"/>
  <c r="C83" i="86"/>
  <c r="C82" i="86" s="1"/>
  <c r="B2" i="86"/>
  <c r="B3" i="86" s="1"/>
  <c r="C46" i="86"/>
  <c r="Q67" i="85"/>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L51" i="84"/>
  <c r="Q67" i="84" l="1"/>
  <c r="Q67" i="67"/>
  <c r="L57" i="67"/>
  <c r="L60" i="67" s="1"/>
  <c r="L46" i="67" s="1"/>
  <c r="D2" i="67" s="1"/>
  <c r="B2" i="67" s="1"/>
  <c r="C9" i="71"/>
  <c r="D10" i="71"/>
  <c r="C43" i="84"/>
  <c r="Q65" i="85"/>
  <c r="Q75" i="85" s="1"/>
  <c r="C46" i="85"/>
  <c r="C46" i="84"/>
  <c r="B2" i="84"/>
  <c r="B3" i="84" s="1"/>
  <c r="Q65" i="84"/>
  <c r="Q75" i="84" s="1"/>
  <c r="B2" i="85"/>
  <c r="B3" i="85" s="1"/>
  <c r="C83" i="84"/>
  <c r="C82" i="84" s="1"/>
  <c r="Q47" i="84"/>
  <c r="Q53" i="84" s="1"/>
  <c r="C43" i="85"/>
  <c r="C83" i="85"/>
  <c r="C82" i="85" s="1"/>
  <c r="Q47" i="85"/>
  <c r="Q53" i="85" s="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66" i="67" l="1"/>
  <c r="Q75" i="67" s="1"/>
  <c r="Q57" i="67"/>
  <c r="Q62" i="67" s="1"/>
  <c r="C8" i="71"/>
  <c r="D9" i="7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8" i="1"/>
  <c r="AO9" i="1"/>
  <c r="AO11" i="1"/>
  <c r="AO10" i="1"/>
  <c r="AO7" i="1"/>
  <c r="C7" i="71" l="1"/>
  <c r="D8" i="71"/>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7" i="71" l="1"/>
  <c r="C6" i="7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6" i="71" l="1"/>
  <c r="C5" i="71"/>
  <c r="D5" i="71" s="1"/>
  <c r="M24" i="43" s="1"/>
  <c r="D102" i="9"/>
  <c r="D22" i="9"/>
  <c r="G19" i="9"/>
  <c r="I20" i="9" s="1"/>
  <c r="D21" i="9"/>
  <c r="B3" i="70"/>
  <c r="C42" i="40"/>
  <c r="C43" i="40"/>
  <c r="E47" i="40"/>
  <c r="F47" i="40" s="1"/>
  <c r="E46" i="40"/>
  <c r="F46" i="40" s="1"/>
  <c r="I47" i="40"/>
  <c r="J47" i="40" s="1"/>
  <c r="D20" i="9"/>
  <c r="D103" i="9" l="1"/>
  <c r="G20" i="9"/>
  <c r="C32" i="9"/>
  <c r="G21"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l="1"/>
  <c r="D4" i="52" s="1"/>
  <c r="B47" i="72" s="1"/>
  <c r="F118" i="9"/>
  <c r="F119" i="9" s="1"/>
  <c r="F5" i="52" s="1"/>
  <c r="B53" i="72" s="1"/>
  <c r="H118" i="9"/>
  <c r="F4" i="52" l="1"/>
  <c r="B51" i="72" s="1"/>
  <c r="G118" i="9"/>
  <c r="G4" i="52" s="1"/>
  <c r="B52" i="72" s="1"/>
  <c r="D119" i="9"/>
  <c r="D5" i="52" s="1"/>
  <c r="B49" i="72" s="1"/>
  <c r="C104" i="9"/>
  <c r="H4" i="52"/>
  <c r="H101" i="9"/>
  <c r="I118" i="9"/>
  <c r="H119" i="9"/>
  <c r="H5" i="52" s="1"/>
  <c r="D5" i="53" l="1"/>
  <c r="M48" i="9"/>
  <c r="D45" i="9"/>
  <c r="H107" i="9"/>
  <c r="C105" i="9"/>
  <c r="I4" i="52"/>
  <c r="E118" i="9"/>
  <c r="E4" i="52" s="1"/>
  <c r="B48" i="72" s="1"/>
  <c r="H102" i="9"/>
  <c r="C5" i="74" l="1"/>
  <c r="D7" i="53"/>
  <c r="B21" i="72" s="1"/>
  <c r="D122" i="9"/>
  <c r="D13" i="53"/>
  <c r="H108" i="9"/>
  <c r="D53" i="9"/>
  <c r="C78" i="9"/>
  <c r="C73" i="9" s="1"/>
  <c r="D52" i="9"/>
  <c r="C93" i="9"/>
  <c r="C86" i="9" s="1"/>
  <c r="D55" i="9"/>
  <c r="M53" i="9" s="1"/>
  <c r="C85" i="9"/>
  <c r="C64" i="9"/>
  <c r="C63" i="9" s="1"/>
  <c r="C67" i="9" s="1"/>
  <c r="C72" i="9"/>
  <c r="B20" i="72"/>
  <c r="D6" i="53"/>
  <c r="B22" i="72" s="1"/>
  <c r="C79" i="9" l="1"/>
  <c r="C80" i="9" s="1"/>
  <c r="E80" i="9" s="1"/>
  <c r="E81" i="9" s="1"/>
  <c r="C95" i="9"/>
  <c r="D59" i="9"/>
  <c r="M55" i="9" s="1"/>
  <c r="C68" i="9"/>
  <c r="D54" i="9" s="1"/>
  <c r="B30" i="72"/>
  <c r="D14" i="53"/>
  <c r="B32" i="72" s="1"/>
  <c r="D15" i="53"/>
  <c r="B31" i="72" s="1"/>
  <c r="C6" i="74"/>
  <c r="D8" i="52"/>
  <c r="D123" i="9"/>
  <c r="D9" i="52" s="1"/>
  <c r="C81" i="9" l="1"/>
  <c r="C96" i="9"/>
  <c r="E96" i="9" s="1"/>
  <c r="E97" i="9" s="1"/>
  <c r="C97" i="9" l="1"/>
  <c r="D58" i="9" s="1"/>
  <c r="D56" i="9" s="1"/>
  <c r="M54" i="9" s="1"/>
  <c r="N57" i="9" s="1"/>
  <c r="P57" i="9" s="1"/>
  <c r="N58" i="9" l="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weiliru</author>
    <author>崔锴</author>
    <author>USER</author>
  </authors>
  <commentList>
    <comment ref="H7" authorId="0" shapeId="0" xr:uid="{00000000-0006-0000-1E00-000002000000}">
      <text>
        <r>
          <rPr>
            <b/>
            <sz val="9"/>
            <color indexed="81"/>
            <rFont val="宋体"/>
            <family val="3"/>
            <charset val="134"/>
          </rPr>
          <t>weiliru:</t>
        </r>
        <r>
          <rPr>
            <sz val="9"/>
            <color indexed="81"/>
            <rFont val="宋体"/>
            <family val="3"/>
            <charset val="134"/>
          </rPr>
          <t xml:space="preserve">
同样</t>
        </r>
      </text>
    </comment>
    <comment ref="J7" authorId="0" shapeId="0" xr:uid="{00000000-0006-0000-1E00-000003000000}">
      <text>
        <r>
          <rPr>
            <b/>
            <sz val="9"/>
            <color indexed="81"/>
            <rFont val="宋体"/>
            <family val="3"/>
            <charset val="134"/>
          </rPr>
          <t>weiliru:</t>
        </r>
        <r>
          <rPr>
            <sz val="9"/>
            <color indexed="81"/>
            <rFont val="宋体"/>
            <family val="3"/>
            <charset val="134"/>
          </rPr>
          <t xml:space="preserve">
同样</t>
        </r>
      </text>
    </comment>
    <comment ref="K49" authorId="1" shapeId="0" xr:uid="{00000000-0006-0000-1E00-000004000000}">
      <text>
        <r>
          <rPr>
            <b/>
            <sz val="9"/>
            <color indexed="81"/>
            <rFont val="宋体"/>
            <family val="3"/>
            <charset val="134"/>
          </rPr>
          <t>权重验证</t>
        </r>
        <r>
          <rPr>
            <sz val="9"/>
            <color indexed="81"/>
            <rFont val="宋体"/>
            <family val="3"/>
            <charset val="134"/>
          </rPr>
          <t xml:space="preserve">
</t>
        </r>
      </text>
    </comment>
    <comment ref="C59" authorId="2" shapeId="0" xr:uid="{00000000-0006-0000-1E00-000005000000}">
      <text>
        <r>
          <rPr>
            <b/>
            <sz val="12"/>
            <color indexed="81"/>
            <rFont val="宋体"/>
            <family val="3"/>
            <charset val="134"/>
          </rPr>
          <t>价值时点所在月度</t>
        </r>
        <r>
          <rPr>
            <sz val="12"/>
            <color indexed="81"/>
            <rFont val="宋体"/>
            <family val="3"/>
            <charset val="134"/>
          </rPr>
          <t xml:space="preserve">
</t>
        </r>
      </text>
    </comment>
    <comment ref="B103" authorId="2" shapeId="0" xr:uid="{00000000-0006-0000-1E00-000006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在建项目均选择“是”</t>
        </r>
      </text>
    </comment>
    <comment ref="F59" authorId="1" shapeId="0" xr:uid="{00000000-0006-0000-2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500-000006000000}">
      <text>
        <r>
          <rPr>
            <sz val="10"/>
            <color indexed="81"/>
            <rFont val="宋体"/>
            <family val="3"/>
            <charset val="134"/>
          </rPr>
          <t xml:space="preserve">在建
</t>
        </r>
      </text>
    </comment>
    <comment ref="N59" authorId="0" shapeId="0" xr:uid="{00000000-0006-0000-2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user</author>
  </authors>
  <commentList>
    <comment ref="D4" authorId="0" shapeId="0" xr:uid="{00000000-0006-0000-0A00-000001000000}">
      <text>
        <r>
          <rPr>
            <b/>
            <sz val="9"/>
            <rFont val="宋体"/>
            <family val="3"/>
            <charset val="134"/>
          </rPr>
          <t>2022年2月16日-2030年2月15日,每两年递增5%
2022/2/16 - 2025/2/15,6元/平/天；月租28300元
2025/2/16 - 2028/2/15,6.3元/平/天；29715
2028/2/16 - 2030/2/15,6.62元/平/天；31225</t>
        </r>
      </text>
    </comment>
    <comment ref="H29" authorId="0" shapeId="0" xr:uid="{00000000-0006-0000-0A00-000002000000}">
      <text>
        <r>
          <rPr>
            <b/>
            <sz val="9"/>
            <rFont val="宋体"/>
            <family val="3"/>
            <charset val="134"/>
          </rPr>
          <t>User:</t>
        </r>
        <r>
          <rPr>
            <sz val="9"/>
            <rFont val="宋体"/>
            <family val="3"/>
            <charset val="134"/>
          </rPr>
          <t xml:space="preserve">
2个月免租期</t>
        </r>
      </text>
    </comment>
    <comment ref="H31" authorId="0" shapeId="0" xr:uid="{00000000-0006-0000-0A00-000003000000}">
      <text>
        <r>
          <rPr>
            <b/>
            <sz val="9"/>
            <rFont val="宋体"/>
            <family val="3"/>
            <charset val="134"/>
          </rPr>
          <t>User:</t>
        </r>
        <r>
          <rPr>
            <sz val="9"/>
            <rFont val="宋体"/>
            <family val="3"/>
            <charset val="134"/>
          </rPr>
          <t xml:space="preserve">
5个月免租期</t>
        </r>
      </text>
    </comment>
    <comment ref="I31" authorId="1" shapeId="0" xr:uid="{00000000-0006-0000-0A00-000004000000}">
      <text>
        <r>
          <rPr>
            <b/>
            <sz val="9"/>
            <rFont val="宋体"/>
            <family val="3"/>
            <charset val="134"/>
          </rPr>
          <t>user:</t>
        </r>
        <r>
          <rPr>
            <sz val="9"/>
            <rFont val="宋体"/>
            <family val="3"/>
            <charset val="134"/>
          </rPr>
          <t xml:space="preserve">
2201更新</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B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1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1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1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1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100-000005000000}">
      <text>
        <r>
          <rPr>
            <sz val="12"/>
            <color indexed="81"/>
            <rFont val="宋体"/>
            <family val="3"/>
            <charset val="134"/>
          </rPr>
          <t xml:space="preserve">名称在右侧单元格录入
</t>
        </r>
      </text>
    </comment>
    <comment ref="B16" authorId="0" shapeId="0" xr:uid="{00000000-0006-0000-11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1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100-000008000000}">
      <text>
        <r>
          <rPr>
            <sz val="11"/>
            <color indexed="81"/>
            <rFont val="宋体"/>
            <family val="3"/>
            <charset val="134"/>
          </rPr>
          <t xml:space="preserve">有相同面积依据时，仅在土地面积依据处录入。
</t>
        </r>
      </text>
    </comment>
    <comment ref="C28" authorId="1" shapeId="0" xr:uid="{00000000-0006-0000-1100-000009000000}">
      <text>
        <r>
          <rPr>
            <sz val="11"/>
            <color indexed="81"/>
            <rFont val="楷体_GB2312"/>
            <family val="3"/>
            <charset val="134"/>
          </rPr>
          <t>其他特殊项请在右侧录入</t>
        </r>
      </text>
    </comment>
    <comment ref="C30" authorId="1" shapeId="0" xr:uid="{00000000-0006-0000-11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100-00000B000000}">
      <text>
        <r>
          <rPr>
            <sz val="11"/>
            <color indexed="81"/>
            <rFont val="宋体"/>
            <family val="3"/>
            <charset val="134"/>
          </rPr>
          <t xml:space="preserve">工程停工、土地闲置、年久失修等
</t>
        </r>
      </text>
    </comment>
    <comment ref="E32" authorId="1" shapeId="0" xr:uid="{00000000-0006-0000-1100-00000C000000}">
      <text>
        <r>
          <rPr>
            <sz val="11"/>
            <color indexed="81"/>
            <rFont val="宋体"/>
            <family val="3"/>
            <charset val="134"/>
          </rPr>
          <t xml:space="preserve">工程停工、土地闲置、年久失修等
</t>
        </r>
      </text>
    </comment>
    <comment ref="E33" authorId="1" shapeId="0" xr:uid="{00000000-0006-0000-1100-00000D000000}">
      <text>
        <r>
          <rPr>
            <sz val="11"/>
            <color indexed="81"/>
            <rFont val="宋体"/>
            <family val="3"/>
            <charset val="134"/>
          </rPr>
          <t xml:space="preserve">工程停工、土地闲置、年久失修等
</t>
        </r>
      </text>
    </comment>
    <comment ref="K42" authorId="1" shapeId="0" xr:uid="{00000000-0006-0000-11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1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1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1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1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1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1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1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1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1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1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2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2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2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3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3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4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4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4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4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4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4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400-000008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500-000001000000}">
      <text>
        <r>
          <rPr>
            <sz val="12"/>
            <color indexed="81"/>
            <rFont val="宋体"/>
            <family val="3"/>
            <charset val="134"/>
          </rPr>
          <t xml:space="preserve">指区域居住用地比例、居住小区规模和社区发展完善程度
</t>
        </r>
      </text>
    </comment>
    <comment ref="F3" authorId="0" shapeId="0" xr:uid="{00000000-0006-0000-1500-000002000000}">
      <text>
        <r>
          <rPr>
            <sz val="12"/>
            <color indexed="81"/>
            <rFont val="宋体"/>
            <family val="3"/>
            <charset val="134"/>
          </rPr>
          <t xml:space="preserve">也指工业区成熟度，工业区性质、相关产业的配套及集聚状况
</t>
        </r>
      </text>
    </comment>
    <comment ref="B4" authorId="0" shapeId="0" xr:uid="{00000000-0006-0000-15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5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5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5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500-000007000000}">
      <text>
        <r>
          <rPr>
            <sz val="12"/>
            <color indexed="81"/>
            <rFont val="宋体"/>
            <family val="3"/>
            <charset val="134"/>
          </rPr>
          <t>主要指污染排放状况及治理状况、距离危险设施或污染源的临近程度、自然条件等</t>
        </r>
      </text>
    </comment>
    <comment ref="B9" authorId="0" shapeId="0" xr:uid="{00000000-0006-0000-15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<sst xmlns="http://schemas.openxmlformats.org/spreadsheetml/2006/main" count="11066" uniqueCount="4031">
  <si>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</si>
  <si>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</si>
  <si>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</si>
  <si>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</si>
  <si>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</si>
  <si>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</si>
  <si>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</si>
  <si>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</si>
  <si>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</si>
  <si>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</si>
  <si>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</si>
  <si>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</si>
  <si>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</si>
  <si>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</si>
  <si>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</si>
  <si>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</si>
  <si>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</si>
  <si>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</si>
  <si>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</si>
  <si>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</si>
  <si>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</si>
  <si>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</si>
  <si>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</si>
  <si>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</si>
  <si>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</si>
  <si>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</si>
  <si>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</si>
  <si>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</si>
  <si>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</si>
  <si>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</si>
  <si>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</si>
  <si>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</si>
  <si>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</si>
  <si>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</si>
  <si>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</si>
  <si>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</si>
  <si>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</si>
  <si>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</si>
  <si>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</si>
  <si>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</si>
  <si>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</si>
  <si>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</si>
  <si>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</si>
  <si>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</si>
  <si>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</si>
  <si>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</si>
  <si>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</si>
  <si>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</si>
  <si>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</si>
  <si>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</si>
  <si>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</si>
  <si>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</si>
  <si>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</si>
  <si>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</si>
  <si>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</si>
  <si>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</si>
  <si>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</si>
  <si>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</si>
  <si>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</si>
  <si>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</si>
  <si>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</si>
  <si>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</si>
  <si>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</si>
  <si>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</si>
  <si>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</si>
  <si>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</si>
  <si>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</si>
  <si>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</si>
  <si>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</si>
  <si>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</si>
  <si>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</si>
  <si>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</si>
  <si>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</si>
  <si>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</si>
  <si>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</si>
  <si>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</si>
  <si>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</si>
  <si>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</si>
  <si>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</si>
  <si>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</si>
  <si>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</si>
  <si>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</si>
  <si>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</si>
  <si>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</si>
  <si>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</si>
  <si>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</si>
  <si>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</si>
  <si>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</si>
  <si>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</si>
  <si>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</si>
  <si>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</si>
  <si>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</si>
  <si>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</si>
  <si>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</si>
  <si>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</si>
  <si>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</si>
  <si>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</si>
  <si>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</si>
  <si>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</si>
  <si>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</si>
  <si>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</si>
  <si>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</si>
  <si>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</si>
  <si>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</si>
  <si>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</si>
  <si>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</si>
  <si>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</si>
  <si>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</si>
  <si>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</si>
  <si>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</si>
  <si>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</si>
  <si>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</si>
  <si>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</si>
  <si>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</si>
  <si>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</si>
  <si>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</si>
  <si>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</si>
  <si>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</si>
  <si>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</si>
  <si>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</si>
  <si>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</si>
  <si>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</si>
  <si>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</si>
  <si>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</si>
  <si>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</si>
  <si>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</si>
  <si>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</si>
  <si>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</si>
  <si>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</si>
  <si>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</si>
  <si>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</si>
  <si>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</si>
  <si>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</si>
  <si>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</si>
  <si>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</si>
  <si>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</si>
  <si>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</si>
  <si>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</si>
  <si>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</si>
  <si>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</si>
  <si>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</si>
  <si>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</si>
  <si>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</si>
  <si>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</si>
  <si>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</si>
  <si>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</si>
  <si>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</si>
  <si>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</si>
  <si>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</si>
  <si>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</si>
  <si>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</si>
  <si>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</si>
  <si>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</si>
  <si>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</si>
  <si>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</si>
  <si>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</si>
  <si>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</si>
  <si>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</si>
  <si>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</si>
  <si>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</si>
  <si>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</si>
  <si>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</si>
  <si>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</si>
  <si>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</si>
  <si>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</si>
  <si>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</si>
  <si>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</si>
  <si>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</si>
  <si>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</si>
  <si>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</si>
  <si>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</si>
  <si>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</si>
  <si>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</si>
  <si>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</si>
  <si>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</si>
  <si>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</si>
  <si>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</si>
  <si>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</si>
  <si>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</si>
  <si>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</si>
  <si>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</si>
  <si>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</si>
  <si>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</si>
  <si>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</si>
  <si>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</si>
  <si>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</si>
  <si>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</si>
  <si>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</si>
  <si>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</si>
  <si>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</si>
  <si>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</si>
  <si>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</si>
  <si>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</si>
  <si>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</si>
  <si>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</si>
  <si>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</si>
  <si>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</si>
  <si>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</si>
  <si>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</si>
  <si>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</si>
  <si>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</si>
  <si>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</si>
  <si>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</si>
  <si>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</si>
  <si>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</si>
  <si>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</si>
  <si>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</si>
  <si>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</si>
  <si>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</si>
  <si>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</si>
  <si>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</si>
  <si>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</si>
  <si>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</si>
  <si>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</si>
  <si>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</si>
  <si>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</si>
  <si>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</si>
  <si>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</si>
  <si>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</si>
  <si>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</si>
  <si>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</si>
  <si>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</si>
  <si>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</si>
  <si>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</si>
  <si>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</si>
  <si>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</si>
  <si>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</si>
  <si>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</si>
  <si>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</si>
  <si>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</si>
  <si>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</si>
  <si>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</si>
  <si>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</si>
  <si>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</si>
  <si>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</si>
  <si>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</si>
  <si>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</si>
  <si>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</si>
  <si>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</si>
  <si>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</si>
  <si>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</si>
  <si>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</si>
  <si>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</si>
  <si>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</si>
  <si>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</si>
  <si>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</si>
  <si>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</si>
  <si>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</si>
  <si>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</si>
  <si>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</si>
  <si>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</si>
  <si>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</si>
  <si>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</si>
  <si>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</si>
  <si>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</si>
  <si>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</si>
  <si>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</si>
  <si>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</si>
  <si>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</si>
  <si>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</si>
  <si>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</si>
  <si>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</si>
  <si>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</si>
  <si>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</si>
  <si>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</si>
  <si>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</si>
  <si>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</si>
  <si>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</si>
  <si>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</si>
  <si>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</si>
  <si>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</si>
  <si>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</si>
  <si>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</si>
  <si>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</si>
  <si>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</si>
  <si>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</si>
  <si>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</si>
  <si>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</si>
  <si>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</si>
  <si>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</si>
  <si>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</si>
  <si>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</si>
  <si>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</si>
  <si>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</si>
  <si>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</si>
  <si>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</si>
  <si>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</si>
  <si>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</si>
  <si>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</si>
  <si>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</si>
  <si>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</si>
  <si>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</si>
  <si>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</si>
  <si>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</si>
  <si>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</si>
  <si>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</si>
  <si>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</si>
  <si>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</si>
  <si>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</si>
  <si>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</si>
  <si>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</si>
  <si>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</si>
  <si>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</si>
  <si>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</si>
  <si>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</si>
  <si>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</si>
  <si>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</si>
  <si>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</si>
  <si>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</si>
  <si>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</si>
  <si>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</si>
  <si>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</si>
  <si>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</si>
  <si>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</si>
  <si>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</si>
  <si>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</si>
  <si>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</si>
  <si>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</si>
  <si>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</si>
  <si>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</si>
  <si>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</si>
  <si>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</si>
  <si>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</si>
  <si>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</si>
  <si>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</si>
  <si>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</si>
  <si>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</si>
  <si>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</si>
  <si>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</si>
  <si>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</si>
  <si>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</si>
  <si>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</si>
  <si>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</si>
  <si>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</si>
  <si>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</si>
  <si>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</si>
  <si>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</si>
  <si>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</si>
  <si>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</si>
  <si>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</si>
  <si>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</si>
  <si>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</si>
  <si>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</si>
  <si>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</si>
  <si>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</si>
  <si>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</si>
  <si>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</si>
  <si>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</si>
  <si>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</si>
  <si>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</si>
  <si>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</si>
  <si>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</si>
  <si>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</si>
  <si>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</si>
  <si>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</si>
  <si>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</si>
  <si>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</si>
  <si>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</si>
  <si>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</si>
  <si>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</si>
  <si>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</si>
  <si>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</si>
  <si>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</si>
  <si>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</si>
  <si>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</si>
  <si>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</si>
  <si>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</si>
  <si>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</si>
  <si>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</si>
  <si>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</si>
  <si>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</si>
  <si>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</si>
  <si>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</si>
  <si>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</si>
  <si>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</si>
  <si>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</si>
  <si>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</si>
  <si>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</si>
  <si>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</si>
  <si>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</si>
  <si>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</si>
  <si>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</si>
  <si>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</si>
  <si>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</si>
  <si>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</si>
  <si>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</si>
  <si>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</si>
  <si>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</si>
  <si>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</si>
  <si>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</si>
  <si>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</si>
  <si>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</si>
  <si>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</si>
  <si>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</si>
  <si>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</si>
  <si>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</si>
  <si>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</si>
  <si>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</si>
  <si>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</si>
  <si>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</si>
  <si>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</si>
  <si>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</si>
  <si>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</si>
  <si>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</si>
  <si>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</si>
  <si>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</si>
  <si>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</si>
  <si>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</si>
  <si>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</si>
  <si>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</si>
  <si>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</si>
  <si>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</si>
  <si>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</si>
  <si>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</si>
  <si>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</si>
  <si>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</si>
  <si>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</si>
  <si>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</si>
  <si>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</si>
  <si>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</si>
  <si>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</si>
  <si>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</si>
  <si>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</si>
  <si>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</si>
  <si>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</si>
  <si>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</si>
  <si>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</si>
  <si>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</si>
  <si>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</si>
  <si>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</si>
  <si>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</si>
  <si>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</si>
  <si>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</si>
  <si>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</si>
  <si>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</si>
  <si>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</si>
  <si>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</si>
  <si>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</si>
  <si>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</si>
  <si>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</si>
  <si>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</si>
  <si>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</si>
  <si>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</si>
  <si>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</si>
  <si>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</si>
  <si>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</si>
  <si>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</si>
  <si>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</si>
  <si>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</si>
  <si>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</si>
  <si>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</si>
  <si>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</si>
  <si>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</si>
  <si>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</si>
  <si>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</si>
  <si>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</si>
  <si>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</si>
  <si>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</si>
  <si>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</si>
  <si>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</si>
  <si>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</si>
  <si>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</si>
  <si>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</si>
  <si>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</si>
  <si>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</si>
  <si>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</si>
  <si>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</si>
  <si>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</si>
  <si>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</si>
  <si>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</si>
  <si>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</si>
  <si>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</si>
  <si>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</si>
  <si>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</si>
  <si>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</si>
  <si>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</si>
  <si>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</si>
  <si>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</si>
  <si>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</si>
  <si>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</si>
  <si>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</si>
  <si>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</si>
  <si>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</si>
  <si>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</si>
  <si>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</si>
  <si>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</si>
  <si>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</si>
  <si>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</si>
  <si>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</si>
  <si>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</si>
  <si>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</si>
  <si>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</si>
  <si>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</si>
  <si>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</si>
  <si>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</si>
  <si>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</si>
  <si>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</si>
  <si>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</si>
  <si>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</si>
  <si>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</si>
  <si>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</si>
  <si>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</si>
  <si>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</si>
  <si>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</si>
  <si>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</si>
  <si>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</si>
  <si>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</si>
  <si>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</si>
  <si>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</si>
  <si>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</si>
  <si>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</si>
  <si>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</si>
  <si>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</si>
  <si>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</si>
  <si>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</si>
  <si>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</si>
  <si>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</si>
  <si>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</si>
  <si>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</si>
  <si>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</si>
  <si>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</si>
  <si>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</si>
  <si>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</si>
  <si>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</si>
  <si>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</si>
  <si>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</si>
  <si>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</si>
  <si>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</si>
  <si>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</si>
  <si>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</si>
  <si>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</si>
  <si>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</si>
  <si>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</si>
  <si>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</si>
  <si>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</si>
  <si>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</si>
  <si>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</si>
  <si>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</si>
  <si>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</si>
  <si>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</si>
  <si>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</si>
  <si>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</si>
  <si>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</si>
  <si>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</si>
  <si>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</si>
  <si>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</si>
  <si>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</si>
  <si>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</si>
  <si>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</si>
  <si>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</si>
  <si>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</si>
  <si>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</si>
  <si>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</si>
  <si>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</si>
  <si>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</si>
  <si>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</si>
  <si>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</si>
  <si>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</si>
  <si>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</si>
  <si>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</si>
  <si>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</si>
  <si>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</si>
  <si>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</si>
  <si>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</si>
  <si>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</si>
  <si>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</si>
  <si>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</si>
  <si>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</si>
  <si>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</si>
  <si>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</si>
  <si>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</si>
  <si>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</si>
  <si>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</si>
  <si>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</si>
  <si>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</si>
  <si>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</si>
  <si>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</si>
  <si>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</si>
  <si>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</si>
  <si>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</si>
  <si>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</si>
  <si>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</si>
  <si>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</si>
  <si>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</si>
  <si>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</si>
  <si>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</si>
  <si>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</si>
  <si>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</si>
  <si>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</si>
  <si>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</si>
  <si>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</si>
  <si>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</si>
  <si>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</si>
  <si>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</si>
  <si>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</si>
  <si>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</si>
  <si>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</si>
  <si>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</si>
  <si>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</si>
  <si>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</si>
  <si>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</si>
  <si>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</si>
  <si>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</si>
  <si>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</si>
  <si>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</si>
  <si>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</si>
  <si>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</si>
  <si>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</si>
  <si>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</si>
  <si>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</si>
  <si>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</si>
  <si>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</si>
  <si>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</si>
  <si>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</si>
  <si>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</si>
  <si>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</si>
  <si>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</si>
  <si>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</si>
  <si>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</si>
  <si>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</si>
  <si>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</si>
  <si>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</si>
  <si>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</si>
  <si>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</si>
  <si>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</si>
  <si>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</si>
  <si>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</si>
  <si>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</si>
  <si>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</si>
  <si>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</si>
  <si>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</si>
  <si>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</si>
  <si>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</si>
  <si>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</si>
  <si>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</si>
  <si>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</si>
  <si>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</si>
  <si>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</si>
  <si>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</si>
  <si>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</si>
  <si>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</si>
  <si>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</si>
  <si>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</si>
  <si>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</si>
  <si>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</si>
  <si>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</si>
  <si>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</si>
  <si>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</si>
  <si>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</si>
  <si>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</si>
  <si>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</si>
  <si>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</si>
  <si>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</si>
  <si>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</si>
  <si>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</si>
  <si>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</si>
  <si>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</si>
  <si>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</si>
  <si>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</si>
  <si>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</si>
  <si>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</si>
  <si>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</si>
  <si>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</si>
  <si>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</si>
  <si>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</si>
  <si>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</si>
  <si>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</si>
  <si>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</si>
  <si>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</si>
  <si>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</si>
  <si>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</si>
  <si>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</si>
  <si>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</si>
  <si>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</si>
  <si>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</si>
  <si>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</si>
  <si>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</si>
  <si>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</si>
  <si>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</si>
  <si>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</si>
  <si>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</si>
  <si>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</si>
  <si>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</si>
  <si>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</si>
  <si>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</si>
  <si>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</si>
  <si>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</si>
  <si>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</si>
  <si>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</si>
  <si>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</si>
  <si>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</si>
  <si>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</si>
  <si>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</si>
  <si>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</si>
  <si>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</si>
  <si>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</si>
  <si>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</si>
  <si>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</si>
  <si>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</si>
  <si>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</si>
  <si>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</si>
  <si>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</si>
  <si>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</si>
  <si>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</si>
  <si>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</si>
  <si>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</si>
  <si>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</si>
  <si>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</si>
  <si>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</si>
  <si>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</si>
  <si>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</si>
  <si>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</si>
  <si>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</si>
  <si>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</si>
  <si>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</si>
  <si>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</si>
  <si>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</si>
  <si>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</si>
  <si>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</si>
  <si>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</si>
  <si>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</si>
  <si>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</si>
  <si>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</si>
  <si>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</si>
  <si>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</si>
  <si>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</si>
  <si>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</si>
  <si>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</si>
  <si>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</si>
  <si>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</si>
  <si>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</si>
  <si>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</si>
  <si>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</si>
  <si>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</si>
  <si>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</si>
  <si>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</si>
  <si>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</si>
  <si>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</si>
  <si>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</si>
  <si>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</si>
  <si>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</si>
  <si>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</si>
  <si>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</si>
  <si>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</si>
  <si>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</si>
  <si>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</si>
  <si>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</si>
  <si>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</si>
  <si>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</si>
  <si>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</si>
  <si>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</si>
  <si>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</si>
  <si>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</si>
  <si>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</si>
  <si>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</si>
  <si>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</si>
  <si>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</si>
  <si>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</si>
  <si>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</si>
  <si>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</si>
  <si>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</si>
  <si>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</si>
  <si>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</si>
  <si>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</si>
  <si>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</si>
  <si>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</si>
  <si>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</si>
  <si>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</si>
  <si>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</si>
  <si>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</si>
  <si>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</si>
  <si>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</si>
  <si>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</si>
  <si>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</si>
  <si>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</si>
  <si>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</si>
  <si>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</si>
  <si>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</si>
  <si>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</si>
  <si>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</si>
  <si>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</si>
  <si>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</si>
  <si>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</si>
  <si>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</si>
  <si>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</si>
  <si>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</si>
  <si>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</si>
  <si>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</si>
  <si>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</si>
  <si>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</si>
  <si>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</si>
  <si>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</si>
  <si>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</si>
  <si>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</si>
  <si>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</si>
  <si>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</si>
  <si>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</si>
  <si>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</si>
  <si>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</si>
  <si>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</si>
  <si>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</si>
  <si>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</si>
  <si>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</si>
  <si>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</si>
  <si>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</si>
  <si>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</si>
  <si>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</si>
  <si>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</si>
  <si>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</si>
  <si>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</si>
  <si>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</si>
  <si>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</si>
  <si>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</si>
  <si>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</si>
  <si>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</si>
  <si>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</si>
  <si>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</si>
  <si>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</si>
  <si>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</si>
  <si>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</si>
  <si>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</si>
  <si>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</si>
  <si>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</si>
  <si>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</si>
  <si>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</si>
  <si>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</si>
  <si>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</si>
  <si>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</si>
  <si>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</si>
  <si>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</si>
  <si>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</si>
  <si>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</si>
  <si>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</si>
  <si>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</si>
  <si>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</si>
  <si>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</si>
  <si>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</si>
  <si>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</si>
  <si>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</si>
  <si>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</si>
  <si>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</si>
  <si>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</si>
  <si>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</si>
  <si>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</si>
  <si>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</si>
  <si>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</si>
  <si>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</si>
  <si>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</si>
  <si>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</si>
  <si>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</si>
  <si>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</si>
  <si>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</si>
  <si>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</si>
  <si>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</si>
  <si>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</si>
  <si>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</si>
  <si>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</si>
  <si>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</si>
  <si>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</si>
  <si>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</si>
  <si>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</si>
  <si>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</si>
  <si>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</si>
  <si>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</si>
  <si>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</si>
  <si>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</si>
  <si>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</si>
  <si>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</si>
  <si>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</si>
  <si>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</si>
  <si>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</si>
  <si>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</si>
  <si>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</si>
  <si>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</si>
  <si>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</si>
  <si>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</si>
  <si>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</si>
  <si>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</si>
  <si>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</si>
  <si>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</si>
  <si>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</si>
  <si>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</si>
  <si>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</si>
  <si>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</si>
  <si>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</si>
  <si>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</si>
  <si>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</si>
  <si>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</si>
  <si>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</si>
  <si>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</si>
  <si>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</si>
  <si>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</si>
  <si>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</si>
  <si>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</si>
  <si>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</si>
  <si>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</si>
  <si>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</si>
  <si>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</si>
  <si>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</si>
  <si>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</si>
  <si>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</si>
  <si>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</si>
  <si>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</si>
  <si>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</si>
  <si>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</si>
  <si>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</si>
  <si>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</si>
  <si>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</si>
  <si>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</si>
  <si>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</si>
  <si>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</si>
  <si>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</si>
  <si>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</si>
  <si>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</si>
  <si>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</si>
  <si>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</si>
  <si>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</si>
  <si>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</si>
  <si>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</si>
  <si>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</si>
  <si>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</si>
  <si>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</si>
  <si>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</si>
  <si>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</si>
  <si>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</si>
  <si>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</si>
  <si>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</si>
  <si>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</si>
  <si>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</si>
  <si>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</si>
  <si>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</si>
  <si>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</si>
  <si>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</si>
  <si>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</si>
  <si>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</si>
  <si>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</si>
  <si>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</si>
  <si>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</si>
  <si>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</si>
  <si>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</si>
  <si>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</si>
  <si>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</si>
  <si>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</si>
  <si>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</si>
  <si>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</si>
  <si>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</si>
  <si>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</si>
  <si>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</si>
  <si>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</si>
  <si>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</si>
  <si>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</si>
  <si>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</si>
  <si>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</si>
  <si>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</si>
  <si>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</si>
  <si>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</si>
  <si>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</si>
  <si>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</si>
  <si>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</si>
  <si>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</si>
  <si>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</si>
  <si>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</si>
  <si>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</si>
  <si>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</si>
  <si>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</si>
  <si>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</si>
  <si>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</si>
  <si>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</si>
  <si>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</si>
  <si>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</si>
  <si>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</si>
  <si>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</si>
  <si>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</si>
  <si>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</si>
  <si>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</si>
  <si>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</si>
  <si>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</si>
  <si>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</si>
  <si>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</si>
  <si>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</si>
  <si>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</si>
  <si>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</si>
  <si>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</si>
  <si>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</si>
  <si>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</si>
  <si>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</si>
  <si>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</si>
  <si>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</si>
  <si>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</si>
  <si>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</si>
  <si>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</si>
  <si>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</si>
  <si>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</si>
  <si>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</si>
  <si>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</si>
  <si>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</si>
  <si>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</si>
  <si>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</si>
  <si>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</si>
  <si>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</si>
  <si>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</si>
  <si>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</si>
  <si>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</si>
  <si>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</si>
  <si>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</si>
  <si>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</si>
  <si>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</si>
  <si>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</si>
  <si>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</si>
  <si>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</si>
  <si>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</si>
  <si>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</si>
  <si>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</si>
  <si>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</si>
  <si>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</si>
  <si>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</si>
  <si>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</si>
  <si>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</si>
  <si>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</si>
  <si>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</si>
  <si>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</si>
  <si>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</si>
  <si>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</si>
  <si>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</si>
  <si>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</si>
  <si>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</si>
  <si>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</si>
  <si>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</si>
  <si>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</si>
  <si>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</si>
  <si>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</si>
  <si>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</si>
  <si>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</si>
  <si>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</si>
  <si>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</si>
  <si>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</si>
  <si>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</si>
  <si>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</si>
  <si>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</si>
  <si>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</si>
  <si>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</si>
  <si>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</si>
  <si>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</si>
  <si>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</si>
  <si>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</si>
  <si>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</si>
  <si>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</si>
  <si>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</si>
  <si>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</si>
  <si>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</si>
  <si>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</si>
  <si>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</si>
  <si>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</si>
  <si>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</si>
  <si>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</si>
  <si>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</si>
  <si>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</si>
  <si>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</si>
  <si>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</si>
  <si>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</si>
  <si>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</si>
  <si>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</si>
  <si>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</si>
  <si>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</si>
  <si>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</si>
  <si>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</si>
  <si>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</si>
  <si>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</si>
  <si>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</si>
  <si>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</si>
  <si>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</si>
  <si>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</si>
  <si>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</si>
  <si>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</si>
  <si>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</si>
  <si>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</si>
  <si>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</si>
  <si>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</si>
  <si>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</si>
  <si>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</si>
  <si>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</si>
  <si>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</si>
  <si>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</si>
  <si>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</si>
  <si>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</si>
  <si>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</si>
  <si>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</si>
  <si>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</si>
  <si>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</si>
  <si>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</si>
  <si>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</si>
  <si>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</si>
  <si>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</si>
  <si>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</si>
  <si>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</si>
  <si>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</si>
  <si>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</si>
  <si>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</si>
  <si>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</si>
  <si>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</si>
  <si>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</si>
  <si>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</si>
  <si>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</si>
  <si>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</si>
  <si>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</si>
  <si>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</si>
  <si>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</si>
  <si>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</si>
  <si>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</si>
  <si>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</si>
  <si>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</si>
  <si>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</si>
  <si>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</si>
  <si>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</si>
  <si>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</si>
  <si>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</si>
  <si>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</si>
  <si>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</si>
  <si>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</si>
  <si>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</si>
  <si>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</si>
  <si>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</si>
  <si>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</si>
  <si>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</si>
  <si>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</si>
  <si>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</si>
  <si>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</si>
  <si>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</si>
  <si>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</si>
  <si>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</si>
  <si>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</si>
  <si>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</si>
  <si>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</si>
  <si>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</si>
  <si>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</si>
  <si>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</si>
  <si>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</si>
  <si>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</si>
  <si>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</si>
  <si>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</si>
  <si>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</si>
  <si>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</si>
  <si>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</si>
  <si>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</si>
  <si>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</si>
  <si>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</si>
  <si>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</si>
  <si>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</si>
  <si>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</si>
  <si>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</si>
  <si>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</si>
  <si>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</si>
  <si>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</si>
  <si>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</si>
  <si>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</si>
  <si>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</si>
  <si>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</si>
  <si>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</si>
  <si>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</si>
  <si>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</si>
  <si>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</si>
  <si>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</si>
  <si>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</si>
  <si>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</si>
  <si>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</si>
  <si>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</si>
  <si>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</si>
  <si>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</si>
  <si>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</si>
  <si>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</si>
  <si>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</si>
  <si>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</si>
  <si>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</si>
  <si>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</si>
  <si>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</si>
  <si>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</si>
  <si>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</si>
  <si>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</si>
  <si>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</si>
  <si>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</si>
  <si>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</si>
  <si>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</si>
  <si>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</si>
  <si>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</si>
  <si>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</si>
  <si>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</si>
  <si>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</si>
  <si>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</si>
  <si>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</si>
  <si>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</si>
  <si>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</si>
  <si>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</si>
  <si>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</si>
  <si>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</si>
  <si>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</si>
  <si>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</si>
  <si>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</si>
  <si>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</si>
  <si>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</si>
  <si>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</si>
  <si>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</si>
  <si>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</si>
  <si>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</si>
  <si>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</si>
  <si>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</si>
  <si>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</si>
  <si>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</si>
  <si>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</si>
  <si>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</si>
  <si>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</si>
  <si>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</si>
  <si>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</si>
  <si>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</si>
  <si>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</si>
  <si>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</si>
  <si>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</si>
  <si>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</si>
  <si>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</si>
  <si>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</si>
  <si>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</si>
  <si>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</si>
  <si>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</si>
  <si>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</si>
  <si>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</si>
  <si>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</si>
  <si>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</si>
  <si>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</si>
  <si>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</si>
  <si>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</si>
  <si>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</si>
  <si>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</si>
  <si>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</si>
  <si>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</si>
  <si>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</si>
  <si>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</si>
  <si>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</si>
  <si>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</si>
  <si>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</si>
  <si>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</si>
  <si>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</si>
  <si>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</si>
  <si>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</si>
  <si>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</si>
  <si>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</si>
  <si>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</si>
  <si>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</si>
  <si>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</si>
  <si>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</si>
  <si>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</si>
  <si>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</si>
  <si>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</si>
  <si>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</si>
  <si>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</si>
  <si>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</si>
  <si>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</si>
  <si>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</si>
  <si>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</si>
  <si>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</si>
  <si>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</si>
  <si>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</si>
  <si>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</si>
  <si>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</si>
  <si>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</si>
  <si>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</si>
  <si>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</si>
  <si>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</si>
  <si>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</si>
  <si>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</si>
  <si>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</si>
  <si>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</si>
  <si>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</si>
  <si>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</si>
  <si>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</si>
  <si>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</si>
  <si>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</si>
  <si>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</si>
  <si>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</si>
  <si>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</si>
  <si>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</si>
  <si>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</si>
  <si>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</si>
  <si>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</si>
  <si>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</si>
  <si>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</si>
  <si>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</si>
  <si>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</si>
  <si>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</si>
  <si>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</si>
  <si>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</si>
  <si>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</si>
  <si>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</si>
  <si>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</si>
  <si>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</si>
  <si>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</si>
  <si>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</si>
  <si>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</si>
  <si>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</si>
  <si>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</si>
  <si>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</si>
  <si>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</si>
  <si>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</si>
  <si>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</si>
  <si>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</si>
  <si>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</si>
  <si>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</si>
  <si>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</si>
  <si>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</si>
  <si>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</si>
  <si>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</si>
  <si>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</si>
  <si>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</si>
  <si>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</si>
  <si>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</si>
  <si>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</si>
  <si>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</si>
  <si>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</si>
  <si>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</si>
  <si>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</si>
  <si>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</si>
  <si>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</si>
  <si>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</si>
  <si>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</si>
  <si>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</si>
  <si>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</si>
  <si>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</si>
  <si>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</si>
  <si>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</si>
  <si>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</si>
  <si>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</si>
  <si>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</si>
  <si>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</si>
  <si>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</si>
  <si>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</si>
  <si>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</si>
  <si>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</si>
  <si>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</si>
  <si>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</si>
  <si>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</si>
  <si>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</si>
  <si>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</si>
  <si>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</si>
  <si>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</si>
  <si>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</si>
  <si>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</si>
  <si>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</si>
  <si>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</si>
  <si>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</si>
  <si>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</si>
  <si>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</si>
  <si>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</si>
  <si>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</si>
  <si>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</si>
  <si>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</si>
  <si>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</si>
  <si>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</si>
  <si>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</si>
  <si>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</si>
  <si>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</si>
  <si>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</si>
  <si>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</si>
  <si>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</si>
  <si>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</si>
  <si>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</si>
  <si>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</si>
  <si>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</si>
  <si>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</si>
  <si>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</si>
  <si>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</si>
  <si>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</si>
  <si>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</si>
  <si>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</si>
  <si>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</si>
  <si>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</si>
  <si>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</si>
  <si>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</si>
  <si>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</si>
  <si>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</si>
  <si>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</si>
  <si>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</si>
  <si>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</si>
  <si>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</si>
  <si>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</si>
  <si>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</si>
  <si>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</si>
  <si>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</si>
  <si>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</si>
  <si>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</si>
  <si>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</si>
  <si>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</si>
  <si>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</si>
  <si>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</si>
  <si>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</si>
  <si>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</si>
  <si>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</si>
  <si>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</si>
  <si>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</si>
  <si>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</si>
  <si>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</si>
  <si>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</si>
  <si>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</si>
  <si>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</si>
  <si>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</si>
  <si>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</si>
  <si>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</si>
  <si>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</si>
  <si>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</si>
  <si>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</si>
  <si>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</si>
  <si>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</si>
  <si>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</si>
  <si>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</si>
  <si>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</si>
  <si>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</si>
  <si>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</si>
  <si>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</si>
  <si>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</si>
  <si>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</si>
  <si>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</si>
  <si>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</si>
  <si>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</si>
  <si>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</si>
  <si>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</si>
  <si>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</si>
  <si>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</si>
  <si>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</si>
  <si>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</si>
  <si>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</si>
  <si>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</si>
  <si>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</si>
  <si>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</si>
  <si>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</si>
  <si>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</si>
  <si>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</si>
  <si>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</si>
  <si>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</si>
  <si>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</si>
  <si>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</si>
  <si>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</si>
  <si>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</si>
  <si>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</si>
  <si>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</si>
  <si>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</si>
  <si>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</si>
  <si>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</si>
  <si>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</si>
  <si>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</si>
  <si>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</si>
  <si>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</si>
  <si>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</si>
  <si>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</si>
  <si>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</si>
  <si>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</si>
  <si>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</si>
  <si>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</si>
  <si>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</si>
  <si>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</si>
  <si>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</si>
  <si>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</si>
  <si>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</si>
  <si>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</si>
  <si>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</si>
  <si>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</si>
  <si>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</si>
  <si>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</si>
  <si>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</si>
  <si>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</si>
  <si>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</si>
  <si>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</si>
  <si>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</si>
  <si>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</si>
  <si>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</si>
  <si>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</si>
  <si>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</si>
  <si>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</si>
  <si>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</si>
  <si>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</si>
  <si>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</si>
  <si>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</si>
  <si>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</si>
  <si>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</si>
  <si>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</si>
  <si>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</si>
  <si>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</si>
  <si>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</si>
  <si>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</si>
  <si>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</si>
  <si>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</si>
  <si>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</si>
  <si>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</si>
  <si>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</si>
  <si>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</si>
  <si>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</si>
  <si>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</si>
  <si>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</si>
  <si>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</si>
  <si>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</si>
  <si>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</si>
  <si>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</si>
  <si>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</si>
  <si>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</si>
  <si>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</si>
  <si>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</si>
  <si>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</si>
  <si>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</si>
  <si>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</si>
  <si>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</si>
  <si>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</si>
  <si>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</si>
  <si>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</si>
  <si>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</si>
  <si>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</si>
  <si>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</si>
  <si>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</si>
  <si>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</si>
  <si>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</si>
  <si>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</si>
  <si>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</si>
  <si>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</si>
  <si>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</si>
  <si>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</si>
  <si>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</si>
  <si>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</si>
  <si>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</si>
  <si>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</si>
  <si>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</si>
  <si>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</si>
  <si>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</si>
  <si>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</si>
  <si>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</si>
  <si>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</si>
  <si>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</si>
  <si>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</si>
  <si>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</si>
  <si>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</si>
  <si>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</si>
  <si>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</si>
  <si>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</si>
  <si>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</si>
  <si>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</si>
  <si>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</si>
  <si>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</si>
  <si>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</si>
  <si>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</si>
  <si>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</si>
  <si>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</si>
  <si>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</si>
  <si>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</si>
  <si>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</si>
  <si>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</si>
  <si>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</si>
  <si>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</si>
  <si>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</si>
  <si>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</si>
  <si>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</si>
  <si>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</si>
  <si>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</si>
  <si>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</si>
  <si>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</si>
  <si>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</si>
  <si>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</si>
  <si>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</si>
  <si>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</si>
  <si>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</si>
  <si>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</si>
  <si>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</si>
  <si>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</si>
  <si>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</si>
  <si>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</si>
  <si>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</si>
  <si>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</si>
  <si>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</si>
  <si>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</si>
  <si>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</si>
  <si>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</si>
  <si>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</si>
  <si>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</si>
  <si>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</si>
  <si>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</si>
  <si>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</si>
  <si>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</si>
  <si>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</si>
  <si>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</si>
  <si>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</si>
  <si>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</si>
  <si>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</si>
  <si>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</si>
  <si>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</si>
  <si>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</si>
  <si>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</si>
  <si>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</si>
  <si>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</si>
  <si>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</si>
  <si>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</si>
  <si>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</si>
  <si>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</si>
  <si>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</si>
  <si>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</si>
  <si>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</si>
  <si>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</si>
  <si>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</si>
  <si>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</si>
  <si>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</si>
  <si>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</si>
  <si>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</si>
  <si>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</si>
  <si>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</si>
  <si>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</si>
  <si>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</si>
  <si>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</si>
  <si>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</si>
  <si>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</si>
  <si>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</si>
  <si>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</si>
  <si>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</si>
  <si>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</si>
  <si>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</si>
  <si>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</si>
  <si>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</si>
  <si>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</si>
  <si>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</si>
  <si>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</si>
  <si>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</si>
  <si>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</si>
  <si>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</si>
  <si>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</si>
  <si>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</si>
  <si>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</si>
  <si>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</si>
  <si>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</si>
  <si>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</si>
  <si>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</si>
  <si>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</si>
  <si>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</si>
  <si>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</si>
  <si>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</si>
  <si>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</si>
  <si>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</si>
  <si>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</si>
  <si>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</si>
  <si>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</si>
  <si>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</si>
  <si>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</si>
  <si>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</si>
  <si>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</si>
  <si>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</si>
  <si>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</si>
  <si>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</si>
  <si>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</si>
  <si>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</si>
  <si>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</si>
  <si>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</si>
  <si>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</si>
  <si>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</si>
  <si>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</si>
  <si>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</si>
  <si>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</si>
  <si>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</si>
  <si>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</si>
  <si>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</si>
  <si>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</si>
  <si>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</si>
  <si>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</si>
  <si>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</si>
  <si>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</si>
  <si>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</si>
  <si>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</si>
  <si>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</si>
  <si>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</si>
  <si>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</si>
  <si>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</si>
  <si>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</si>
  <si>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</si>
  <si>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</si>
  <si>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</si>
  <si>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</si>
  <si>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</si>
  <si>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</si>
  <si>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</si>
  <si>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</si>
  <si>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</si>
  <si>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</si>
  <si>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</si>
  <si>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</si>
  <si>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</si>
  <si>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</si>
  <si>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</si>
  <si>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</si>
  <si>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</si>
  <si>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</si>
  <si>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</si>
  <si>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</si>
  <si>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</si>
  <si>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</si>
  <si>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</si>
  <si>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</si>
  <si>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</si>
  <si>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</si>
  <si>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</si>
  <si>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</si>
  <si>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</si>
  <si>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</si>
  <si>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</si>
  <si>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</si>
  <si>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</si>
  <si>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</si>
  <si>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</si>
  <si>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</si>
  <si>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</si>
  <si>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</si>
  <si>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</si>
  <si>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</si>
  <si>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</si>
  <si>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</si>
  <si>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</si>
  <si>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</si>
  <si>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</si>
  <si>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</si>
  <si>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</si>
  <si>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</si>
  <si>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</si>
  <si>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</si>
  <si>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</si>
  <si>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</si>
  <si>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</si>
  <si>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</si>
  <si>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</si>
  <si>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</si>
  <si>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</si>
  <si>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</si>
  <si>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</si>
  <si>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</si>
  <si>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</si>
  <si>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</si>
  <si>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</si>
  <si>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</si>
  <si>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</si>
  <si>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</si>
  <si>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</si>
  <si>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</si>
  <si>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</si>
  <si>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</si>
  <si>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</si>
  <si>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</si>
  <si>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</si>
  <si>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</si>
  <si>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</si>
  <si>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</si>
  <si>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</si>
  <si>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</si>
  <si>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</si>
  <si>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</si>
  <si>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</si>
  <si>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</si>
  <si>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</si>
  <si>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</si>
  <si>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</si>
  <si>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</si>
  <si>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</si>
  <si>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</si>
  <si>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</si>
  <si>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</si>
  <si>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</si>
  <si>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</si>
  <si>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</si>
  <si>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</si>
  <si>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</si>
  <si>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</si>
  <si>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</si>
  <si>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</si>
  <si>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</si>
  <si>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</si>
  <si>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</si>
  <si>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</si>
  <si>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</si>
  <si>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</si>
  <si>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</si>
  <si>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</si>
  <si>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</si>
  <si>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</si>
  <si>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</si>
  <si>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</si>
  <si>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</si>
  <si>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</si>
  <si>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</si>
  <si>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</si>
  <si>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</si>
  <si>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</si>
  <si>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</si>
  <si>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</si>
  <si>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</si>
  <si>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</si>
  <si>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</si>
  <si>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</si>
  <si>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</si>
  <si>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</si>
  <si>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</si>
  <si>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</si>
  <si>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</si>
  <si>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</si>
  <si>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</si>
  <si>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</si>
  <si>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</si>
  <si>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</si>
  <si>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</si>
  <si>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</si>
  <si>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</si>
  <si>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</si>
  <si>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</si>
  <si>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</si>
  <si>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</si>
  <si>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</si>
  <si>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</si>
  <si>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</si>
  <si>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</si>
  <si>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</si>
  <si>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</si>
  <si>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</si>
  <si>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</si>
  <si>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</si>
  <si>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</si>
  <si>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</si>
  <si>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</si>
  <si>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</si>
  <si>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</si>
  <si>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</si>
  <si>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</si>
  <si>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</si>
  <si>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</si>
  <si>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</si>
  <si>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</si>
  <si>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</si>
  <si>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</si>
  <si>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</si>
  <si>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</si>
  <si>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</si>
  <si>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</si>
  <si>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</si>
  <si>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</si>
  <si>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</si>
  <si>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</si>
  <si>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</si>
  <si>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</si>
  <si>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</si>
  <si>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</si>
  <si>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</si>
  <si>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</si>
  <si>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</si>
  <si>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</si>
  <si>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</si>
  <si>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</si>
  <si>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</si>
  <si>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</si>
  <si>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</si>
  <si>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</si>
  <si>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</si>
  <si>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</si>
  <si>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</si>
  <si>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</si>
  <si>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</si>
  <si>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</si>
  <si>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</si>
  <si>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</si>
  <si>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</si>
  <si>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</si>
  <si>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</si>
  <si>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</si>
  <si>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</si>
  <si>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</si>
  <si>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</si>
  <si>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</si>
  <si>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</si>
  <si>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</si>
  <si>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</si>
  <si>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</si>
  <si>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</si>
  <si>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</si>
  <si>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</si>
  <si>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</si>
  <si>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</si>
  <si>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</si>
  <si>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</si>
  <si>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</si>
  <si>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</si>
  <si>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</si>
  <si>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</si>
  <si>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</si>
  <si>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</si>
  <si>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</si>
  <si>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</si>
  <si>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</si>
  <si>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</si>
  <si>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</si>
  <si>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</si>
  <si>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</si>
  <si>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</si>
  <si>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</si>
  <si>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</si>
  <si>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</si>
  <si>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</si>
  <si>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</si>
  <si>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</si>
  <si>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</si>
  <si>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</si>
  <si>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</si>
  <si>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</si>
  <si>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</si>
  <si>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</si>
  <si>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</si>
  <si>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</si>
  <si>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</si>
  <si>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</si>
  <si>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</si>
  <si>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</si>
  <si>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</si>
  <si>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</si>
  <si>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</si>
  <si>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</si>
  <si>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</si>
  <si>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</si>
  <si>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</si>
  <si>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</si>
  <si>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</si>
  <si>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</si>
  <si>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</si>
  <si>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</si>
  <si>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</si>
  <si>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</si>
  <si>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</si>
  <si>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</si>
  <si>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</si>
  <si>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</si>
  <si>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</si>
  <si>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</si>
  <si>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</si>
  <si>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</si>
  <si>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</si>
  <si>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</si>
  <si>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</si>
  <si>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</si>
  <si>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</si>
  <si>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</si>
  <si>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</si>
  <si>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</si>
  <si>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</si>
  <si>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</si>
  <si>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</si>
  <si>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</si>
  <si>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</si>
  <si>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</si>
  <si>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</si>
  <si>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</si>
  <si>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</si>
  <si>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</si>
  <si>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</si>
  <si>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</si>
  <si>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</si>
  <si>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</si>
  <si>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</si>
  <si>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</si>
  <si>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</si>
  <si>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</si>
  <si>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</si>
  <si>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</si>
  <si>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</si>
  <si>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</si>
  <si>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</si>
  <si>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</si>
  <si>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</si>
  <si>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</si>
  <si>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</si>
  <si>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</si>
  <si>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</si>
  <si>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</si>
  <si>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</si>
  <si>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</si>
  <si>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</si>
  <si>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</si>
  <si>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</si>
  <si>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</si>
  <si>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</si>
  <si>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</si>
  <si>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</si>
  <si>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</si>
  <si>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</si>
  <si>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</si>
  <si>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</si>
  <si>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</si>
  <si>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</si>
  <si>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</si>
  <si>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</si>
  <si>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</si>
  <si>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</si>
  <si>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</si>
  <si>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</si>
  <si>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</si>
  <si>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</si>
  <si>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</si>
  <si>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</si>
  <si>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</si>
  <si>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</si>
  <si>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</si>
  <si>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</si>
  <si>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</si>
  <si>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</si>
  <si>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</si>
  <si>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</si>
  <si>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</si>
  <si>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</si>
  <si>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</si>
  <si>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</si>
  <si>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</si>
  <si>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</si>
  <si>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</si>
  <si>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</si>
  <si>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</si>
  <si>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</si>
  <si>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</si>
  <si>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</si>
  <si>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</si>
  <si>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</si>
  <si>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</si>
  <si>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</si>
  <si>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</si>
  <si>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</si>
  <si>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</si>
  <si>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</si>
  <si>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</si>
  <si>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</si>
  <si>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</si>
  <si>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</si>
  <si>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</si>
  <si>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</si>
  <si>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</si>
  <si>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</si>
  <si>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</si>
  <si>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</si>
  <si>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</si>
  <si>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</si>
  <si>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</si>
  <si>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</si>
  <si>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</si>
  <si>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</si>
  <si>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</si>
  <si>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</si>
  <si>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</si>
  <si>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</si>
  <si>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</si>
  <si>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</si>
  <si>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</si>
  <si>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</si>
  <si>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</si>
  <si>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</si>
  <si>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</si>
  <si>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</si>
  <si>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</si>
  <si>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</si>
  <si>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</si>
  <si>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</si>
  <si>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</si>
  <si>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</si>
  <si>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</si>
  <si>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</si>
  <si>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</si>
  <si>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</si>
  <si>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</si>
  <si>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</si>
  <si>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</si>
  <si>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</si>
  <si>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</si>
  <si>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</si>
  <si>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</si>
  <si>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</si>
  <si>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</si>
  <si>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</si>
  <si>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</si>
  <si>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</si>
  <si>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</si>
  <si>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</si>
  <si>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</si>
  <si>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</si>
  <si>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</si>
  <si>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</si>
  <si>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</si>
  <si>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</si>
  <si>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</si>
  <si>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</si>
  <si>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</si>
  <si>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</si>
  <si>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</si>
  <si>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</si>
  <si>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</si>
  <si>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</si>
  <si>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</si>
  <si>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</si>
  <si>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</si>
  <si>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</si>
  <si>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</si>
  <si>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</si>
  <si>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</si>
  <si>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</si>
  <si>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</si>
  <si>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</si>
  <si>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</si>
  <si>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</si>
  <si>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</si>
  <si>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</si>
  <si>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</si>
  <si>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</si>
  <si>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</si>
  <si>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</si>
  <si>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</si>
  <si>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</si>
  <si>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</si>
  <si>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</si>
  <si>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</si>
  <si>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</si>
  <si>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</si>
  <si>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</si>
  <si>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</si>
  <si>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</si>
  <si>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</si>
  <si>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</si>
  <si>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</si>
  <si>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</si>
  <si>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</si>
  <si>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</si>
  <si>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</si>
  <si>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</si>
  <si>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</si>
  <si>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</si>
  <si>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</si>
  <si>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</si>
  <si>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</si>
  <si>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</si>
  <si>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</si>
  <si>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</si>
  <si>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</si>
  <si>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</si>
  <si>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</si>
  <si>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</si>
  <si>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</si>
  <si>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</si>
  <si>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</si>
  <si>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</si>
  <si>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</si>
  <si>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</si>
  <si>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</si>
  <si>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</si>
  <si>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</si>
  <si>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</si>
  <si>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</si>
  <si>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</si>
  <si>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</si>
  <si>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</si>
  <si>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</si>
  <si>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</si>
  <si>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</si>
  <si>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</si>
  <si>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</si>
  <si>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</si>
  <si>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</si>
  <si>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</si>
  <si>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</si>
  <si>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</si>
  <si>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</si>
  <si>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</si>
  <si>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</si>
  <si>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</si>
  <si>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</si>
  <si>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</si>
  <si>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</si>
  <si>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</si>
  <si>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</si>
  <si>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</si>
  <si>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</si>
  <si>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</si>
  <si>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</si>
  <si>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</si>
  <si>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</si>
  <si>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</si>
  <si>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</si>
  <si>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</si>
  <si>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</si>
  <si>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</si>
  <si>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</si>
  <si>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</si>
  <si>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</si>
  <si>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</si>
  <si>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</si>
  <si>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</si>
  <si>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</si>
  <si>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</si>
  <si>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</si>
  <si>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</si>
  <si>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</si>
  <si>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</si>
  <si>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</si>
  <si>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</si>
  <si>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</si>
  <si>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</si>
  <si>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</si>
  <si>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</si>
  <si>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</si>
  <si>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</si>
  <si>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</si>
  <si>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</si>
  <si>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</si>
  <si>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</si>
  <si>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</si>
  <si>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</si>
  <si>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</si>
  <si>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</si>
  <si>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</si>
  <si>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</si>
  <si>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</si>
  <si>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</si>
  <si>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</si>
  <si>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</si>
  <si>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</si>
  <si>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</si>
  <si>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</si>
  <si>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</si>
  <si>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</si>
  <si>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</si>
  <si>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</si>
  <si>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</si>
  <si>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</si>
  <si>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</si>
  <si>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</si>
  <si>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</si>
  <si>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</si>
  <si>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</si>
  <si>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</si>
  <si>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</si>
  <si>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</si>
  <si>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</si>
  <si>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</si>
  <si>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</si>
  <si>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</si>
  <si>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</si>
  <si>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</si>
  <si>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</si>
  <si>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</si>
  <si>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</si>
  <si>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</si>
  <si>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</si>
  <si>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</si>
  <si>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</si>
  <si>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</si>
  <si>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</si>
  <si>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</si>
  <si>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</si>
  <si>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</si>
  <si>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</si>
  <si>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</si>
  <si>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</si>
  <si>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</si>
  <si>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</si>
  <si>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</si>
  <si>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</si>
  <si>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</si>
  <si>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</si>
  <si>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</si>
  <si>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</si>
  <si>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</si>
  <si>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</si>
  <si>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</si>
  <si>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</si>
  <si>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</si>
  <si>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</si>
  <si>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</si>
  <si>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</si>
  <si>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</si>
  <si>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</si>
  <si>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</si>
  <si>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</si>
  <si>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</si>
  <si>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</si>
  <si>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</si>
  <si>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</si>
  <si>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</si>
  <si>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</si>
  <si>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</si>
  <si>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</si>
  <si>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</si>
  <si>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</si>
  <si>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</si>
  <si>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</si>
  <si>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</si>
  <si>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</si>
  <si>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</si>
  <si>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</si>
  <si>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</si>
  <si>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</si>
  <si>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</si>
  <si>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</si>
  <si>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</si>
  <si>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</si>
  <si>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</si>
  <si>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</si>
  <si>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</si>
  <si>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</si>
  <si>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</si>
  <si>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</si>
  <si>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</si>
  <si>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</si>
  <si>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</si>
  <si>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</si>
  <si>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</si>
  <si>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</si>
  <si>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</si>
  <si>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</si>
  <si>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</si>
  <si>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</si>
  <si>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</si>
  <si>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</si>
  <si>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</si>
  <si>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</si>
  <si>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</si>
  <si>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</si>
  <si>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</si>
  <si>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</si>
  <si>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</si>
  <si>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</si>
  <si>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</si>
  <si>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</si>
  <si>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</si>
  <si>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</si>
  <si>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</si>
  <si>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</si>
  <si>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</si>
  <si>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</si>
  <si>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</si>
  <si>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</si>
  <si>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</si>
  <si>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</si>
  <si>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</si>
  <si>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</si>
  <si>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</si>
  <si>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</si>
  <si>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</si>
  <si>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</si>
  <si>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</si>
  <si>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</si>
  <si>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</si>
  <si>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</si>
  <si>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</si>
  <si>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</si>
  <si>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</si>
  <si>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</si>
  <si>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</si>
  <si>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</si>
  <si>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</si>
  <si>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</si>
  <si>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</si>
  <si>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</si>
  <si>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</si>
  <si>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</si>
  <si>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</si>
  <si>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</si>
  <si>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</si>
  <si>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</si>
  <si>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</si>
  <si>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</si>
  <si>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</si>
  <si>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</si>
  <si>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</si>
  <si>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</si>
  <si>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</si>
  <si>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</si>
  <si>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</si>
  <si>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</si>
  <si>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</si>
  <si>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</si>
  <si>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</si>
  <si>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</si>
  <si>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</si>
  <si>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</si>
  <si>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</si>
  <si>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</si>
  <si>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</si>
  <si>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</si>
  <si>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</si>
  <si>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</si>
  <si>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</si>
  <si>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</si>
  <si>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</si>
  <si>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</si>
  <si>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</si>
  <si>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</si>
  <si>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</si>
  <si>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</si>
  <si>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</si>
  <si>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</si>
  <si>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</si>
  <si>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</si>
  <si>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</si>
  <si>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</si>
  <si>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</si>
  <si>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</si>
  <si>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</si>
  <si>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</si>
  <si>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</si>
  <si>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</si>
  <si>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</si>
  <si>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</si>
  <si>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</si>
  <si>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</si>
  <si>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</si>
  <si>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</si>
  <si>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</si>
  <si>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</si>
  <si>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</si>
  <si>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</si>
  <si>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</si>
  <si>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</si>
  <si>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</si>
  <si>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</si>
  <si>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</si>
  <si>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</si>
  <si>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</si>
  <si>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</si>
  <si>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</si>
  <si>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</si>
  <si>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</si>
  <si>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</si>
  <si>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</si>
  <si>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</si>
  <si>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</si>
  <si>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</si>
  <si>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</si>
  <si>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</si>
  <si>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</si>
  <si>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</si>
  <si>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</si>
  <si>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</si>
  <si>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</si>
  <si>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</si>
  <si>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</si>
  <si>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</si>
  <si>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</si>
  <si>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</si>
  <si>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</si>
  <si>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</si>
  <si>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</si>
  <si>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</si>
  <si>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</si>
  <si>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</si>
  <si>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</si>
  <si>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</si>
  <si>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</si>
  <si>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</si>
  <si>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</si>
  <si>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</si>
  <si>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</si>
  <si>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</si>
  <si>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</si>
  <si>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</si>
  <si>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</si>
  <si>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</si>
  <si>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</si>
  <si>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</si>
  <si>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</si>
  <si>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</si>
  <si>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</si>
  <si>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</si>
  <si>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</si>
  <si>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</si>
  <si>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</si>
  <si>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</si>
  <si>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</si>
  <si>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</si>
  <si>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</si>
  <si>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</si>
  <si>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</si>
  <si>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</si>
  <si>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</si>
  <si>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</si>
  <si>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</si>
  <si>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</si>
  <si>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</si>
  <si>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</si>
  <si>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</si>
  <si>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</si>
  <si>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</si>
  <si>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</si>
  <si>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</si>
  <si>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</si>
  <si>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</si>
  <si>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</si>
  <si>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</si>
  <si>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</si>
  <si>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</si>
  <si>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</si>
  <si>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</si>
  <si>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</si>
  <si>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</si>
  <si>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</si>
  <si>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</si>
  <si>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</si>
  <si>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</si>
  <si>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</si>
  <si>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</si>
  <si>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</si>
  <si>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</si>
  <si>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</si>
  <si>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</si>
  <si>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</si>
  <si>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</si>
  <si>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</si>
  <si>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</si>
  <si>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</si>
  <si>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</si>
  <si>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</si>
  <si>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</si>
  <si>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</si>
  <si>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</si>
  <si>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</si>
  <si>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</si>
  <si>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</si>
  <si>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</si>
  <si>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</si>
  <si>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</si>
  <si>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</si>
  <si>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</si>
  <si>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</si>
  <si>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</si>
  <si>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</si>
  <si>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</si>
  <si>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</si>
  <si>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</si>
  <si>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</si>
  <si>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</si>
  <si>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</si>
  <si>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</si>
  <si>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</si>
  <si>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</si>
  <si>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</si>
  <si>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</si>
  <si>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</si>
  <si>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</si>
  <si>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</si>
  <si>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</si>
  <si>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</si>
  <si>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</si>
  <si>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</si>
  <si>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</si>
  <si>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</si>
  <si>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</si>
  <si>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</si>
  <si>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</si>
  <si>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</si>
  <si>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</si>
  <si>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</si>
  <si>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</si>
  <si>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</si>
  <si>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</si>
  <si>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</si>
  <si>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</si>
  <si>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</si>
  <si>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</si>
  <si>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</si>
  <si>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</si>
  <si>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</si>
  <si>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</si>
  <si>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</si>
  <si>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</si>
  <si>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</si>
  <si>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</si>
  <si>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</si>
  <si>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</si>
  <si>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</si>
  <si>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</si>
  <si>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</si>
  <si>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</si>
  <si>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</si>
  <si>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</si>
  <si>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</si>
  <si>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</si>
  <si>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</si>
  <si>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</si>
  <si>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</si>
  <si>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</si>
  <si>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</si>
  <si>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</si>
  <si>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</si>
  <si>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</si>
  <si>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</si>
  <si>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</si>
  <si>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</si>
  <si>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</si>
  <si>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</si>
  <si>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</si>
  <si>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</si>
  <si>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</si>
  <si>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</si>
  <si>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</si>
  <si>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</si>
  <si>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</si>
  <si>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</si>
  <si>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</si>
  <si>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</si>
  <si>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</si>
  <si>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</si>
  <si>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</si>
  <si>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</si>
  <si>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</si>
  <si>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</si>
  <si>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</si>
  <si>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</si>
  <si>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</si>
  <si>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</si>
  <si>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</si>
  <si>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</si>
  <si>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</si>
  <si>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</si>
  <si>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</si>
  <si>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</si>
  <si>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</si>
  <si>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</si>
  <si>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</si>
  <si>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</si>
  <si>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</si>
  <si>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</si>
  <si>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</si>
  <si>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</si>
  <si>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</si>
  <si>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</si>
  <si>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</si>
  <si>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</si>
  <si>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</si>
  <si>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</si>
  <si>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</si>
  <si>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</si>
  <si>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</si>
  <si>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</si>
  <si>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</si>
  <si>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</si>
  <si>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</si>
  <si>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</si>
  <si>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</si>
  <si>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</si>
  <si>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</si>
  <si>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</si>
  <si>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</si>
  <si>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</si>
  <si>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</si>
  <si>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</si>
  <si>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</si>
  <si>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</si>
  <si>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</si>
  <si>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</si>
  <si>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</si>
  <si>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</si>
  <si>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</si>
  <si>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</si>
  <si>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</si>
  <si>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</si>
  <si>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</si>
  <si>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</si>
  <si>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</si>
  <si>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</si>
  <si>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</si>
  <si>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</si>
  <si>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</si>
  <si>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</si>
  <si>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</si>
  <si>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</si>
  <si>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</si>
  <si>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</si>
  <si>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</si>
  <si>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</si>
  <si>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</si>
  <si>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</si>
  <si>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</si>
  <si>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</si>
  <si>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</si>
  <si>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</si>
  <si>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</si>
  <si>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</si>
  <si>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</si>
  <si>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</si>
  <si>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</si>
  <si>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</si>
  <si>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</si>
  <si>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</si>
  <si>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</si>
  <si>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</si>
  <si>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</si>
  <si>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</si>
  <si>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</si>
  <si>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</si>
  <si>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</si>
  <si>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</si>
  <si>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</si>
  <si>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</si>
  <si>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</si>
  <si>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</si>
  <si>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</si>
  <si>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</si>
  <si>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</si>
  <si>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</si>
  <si>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</si>
  <si>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</si>
  <si>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</si>
  <si>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</si>
  <si>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</si>
  <si>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</si>
  <si>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</si>
  <si>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</si>
  <si>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</si>
  <si>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</si>
  <si>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</si>
  <si>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</si>
  <si>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</si>
  <si>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</si>
  <si>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</si>
  <si>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</si>
  <si>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</si>
  <si>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</si>
  <si>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</si>
  <si>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</si>
  <si>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</si>
  <si>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</si>
  <si>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</si>
  <si>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</si>
  <si>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</si>
  <si>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</si>
  <si>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</si>
  <si>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</si>
  <si>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</si>
  <si>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</si>
  <si>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</si>
  <si>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</si>
  <si>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</si>
  <si>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</si>
  <si>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</si>
  <si>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</si>
  <si>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</si>
  <si>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</si>
  <si>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</si>
  <si>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</si>
  <si>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</si>
  <si>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</si>
  <si>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</si>
  <si>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</si>
  <si>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</si>
  <si>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</si>
  <si>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</si>
  <si>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</si>
  <si>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</si>
  <si>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</si>
  <si>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</si>
  <si>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</si>
  <si>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</si>
  <si>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</si>
  <si>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</si>
  <si>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</si>
  <si>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</si>
  <si>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</si>
  <si>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</si>
  <si>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</si>
  <si>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</si>
  <si>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</si>
  <si>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</si>
  <si>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</si>
  <si>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</si>
  <si>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</si>
  <si>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</si>
  <si>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</si>
  <si>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</si>
  <si>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</si>
  <si>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</si>
  <si>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</si>
  <si>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</si>
  <si>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</si>
  <si>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</si>
  <si>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</si>
  <si>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</si>
  <si>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</si>
  <si>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</si>
  <si>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</si>
  <si>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</si>
  <si>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</si>
  <si>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</si>
  <si>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</si>
  <si>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</si>
  <si>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</si>
  <si>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</si>
  <si>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</si>
  <si>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</si>
  <si>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</si>
  <si>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</si>
  <si>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</si>
  <si>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</si>
  <si>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</si>
  <si>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</si>
  <si>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</si>
  <si>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</si>
  <si>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</si>
  <si>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</si>
  <si>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</si>
  <si>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</si>
  <si>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</si>
  <si>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</si>
  <si>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</si>
  <si>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</si>
  <si>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</si>
  <si>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</si>
  <si>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</si>
  <si>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</si>
  <si>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</si>
  <si>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</si>
  <si>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</si>
  <si>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</si>
  <si>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</si>
  <si>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</si>
  <si>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</si>
  <si>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</si>
  <si>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</si>
  <si>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</si>
  <si>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</si>
  <si>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</si>
  <si>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2023-1</t>
    <phoneticPr fontId="5" type="noConversion"/>
  </si>
  <si>
    <t>2022-4</t>
    <phoneticPr fontId="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</si>
  <si>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</si>
  <si>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</si>
  <si>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</si>
  <si>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</si>
  <si>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</si>
  <si>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</si>
  <si>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t>公示增长率-非中心城区</t>
    <phoneticPr fontId="144"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</si>
  <si>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</si>
  <si>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</si>
  <si>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</si>
  <si>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</si>
  <si>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</si>
  <si>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</si>
  <si>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</si>
  <si>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</si>
  <si>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</si>
  <si>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</si>
  <si>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</si>
  <si>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</si>
  <si>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</si>
  <si>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公示增长率-中心城区</t>
    <phoneticPr fontId="144"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</si>
  <si>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</si>
  <si>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</si>
  <si>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</si>
  <si>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</si>
  <si>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</si>
  <si>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</si>
  <si>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</si>
  <si>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</si>
  <si>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</si>
  <si>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</si>
  <si>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</si>
  <si>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</si>
  <si>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</si>
  <si>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</si>
  <si>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</si>
  <si>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</si>
  <si>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</si>
  <si>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</si>
  <si>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</si>
  <si>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</si>
  <si>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</si>
  <si>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</si>
  <si>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</si>
  <si>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</si>
  <si>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</si>
  <si>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</si>
  <si>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</si>
  <si>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</si>
  <si>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</si>
  <si>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</si>
  <si>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</si>
  <si>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</si>
  <si>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</si>
  <si>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</si>
  <si>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</si>
  <si>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</si>
  <si>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</si>
  <si>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</si>
  <si>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</si>
  <si>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</si>
  <si>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</si>
  <si>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</si>
  <si>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</si>
  <si>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</si>
  <si>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</si>
  <si>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</si>
  <si>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</si>
  <si>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</si>
  <si>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</si>
  <si>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</si>
  <si>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</si>
  <si>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</si>
  <si>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</si>
  <si>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</si>
  <si>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</si>
  <si>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</si>
  <si>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</si>
  <si>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</si>
  <si>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</si>
  <si>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</si>
  <si>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</si>
  <si>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</si>
  <si>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</si>
  <si>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</si>
  <si>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</si>
  <si>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</si>
  <si>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</si>
  <si>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</si>
  <si>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</si>
  <si>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</si>
  <si>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</si>
  <si>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</si>
  <si>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</si>
  <si>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</si>
  <si>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</si>
  <si>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</si>
  <si>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</si>
  <si>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</si>
  <si>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</si>
  <si>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</si>
  <si>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</si>
  <si>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</si>
  <si>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</si>
  <si>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</si>
  <si>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</si>
  <si>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</si>
  <si>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</si>
  <si>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</si>
  <si>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</si>
  <si>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</si>
  <si>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</si>
  <si>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</si>
  <si>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</si>
  <si>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</si>
  <si>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</si>
  <si>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</si>
  <si>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</si>
  <si>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</si>
  <si>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</si>
  <si>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</si>
  <si>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</si>
  <si>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</si>
  <si>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</si>
  <si>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</si>
  <si>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</si>
  <si>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</si>
  <si>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</si>
  <si>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</si>
  <si>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</si>
  <si>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</si>
  <si>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</si>
  <si>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</si>
  <si>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</si>
  <si>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</si>
  <si>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</si>
  <si>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</si>
  <si>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</si>
  <si>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</si>
  <si>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</si>
  <si>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</si>
  <si>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</si>
  <si>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</si>
  <si>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</si>
  <si>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</si>
  <si>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</si>
  <si>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</si>
  <si>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</si>
  <si>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</si>
  <si>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</si>
  <si>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</si>
  <si>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</si>
  <si>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</si>
  <si>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</si>
  <si>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</si>
  <si>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</si>
  <si>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</si>
  <si>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</si>
  <si>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</si>
  <si>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</si>
  <si>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</si>
  <si>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</si>
  <si>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</si>
  <si>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</si>
  <si>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</si>
  <si>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</si>
  <si>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</si>
  <si>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</si>
  <si>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</si>
  <si>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</si>
  <si>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</si>
  <si>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</si>
  <si>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</si>
  <si>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</si>
  <si>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</si>
  <si>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</si>
  <si>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</si>
  <si>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</si>
  <si>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</si>
  <si>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</si>
  <si>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</si>
  <si>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</si>
  <si>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</si>
  <si>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</si>
  <si>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</si>
  <si>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</si>
  <si>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</si>
  <si>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</si>
  <si>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</si>
  <si>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</si>
  <si>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</si>
  <si>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</si>
  <si>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</si>
  <si>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</si>
  <si>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</si>
  <si>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</si>
  <si>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</si>
  <si>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</si>
  <si>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</si>
  <si>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</si>
  <si>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</si>
  <si>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</si>
  <si>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</si>
  <si>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</si>
  <si>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</si>
  <si>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</si>
  <si>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</si>
  <si>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</si>
  <si>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</si>
  <si>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</si>
  <si>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</si>
  <si>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</si>
  <si>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</si>
  <si>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</si>
  <si>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</si>
  <si>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</si>
  <si>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</si>
  <si>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</si>
  <si>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</si>
  <si>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</si>
  <si>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</si>
  <si>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</si>
  <si>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</si>
  <si>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</si>
  <si>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</si>
  <si>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</si>
  <si>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</si>
  <si>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</si>
  <si>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</si>
  <si>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</si>
  <si>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</si>
  <si>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</si>
  <si>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</si>
  <si>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</si>
  <si>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</si>
  <si>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</si>
  <si>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</si>
  <si>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</si>
  <si>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</si>
  <si>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</si>
  <si>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</si>
  <si>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</si>
  <si>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</si>
  <si>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</si>
  <si>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</si>
  <si>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</si>
  <si>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</si>
  <si>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</si>
  <si>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</si>
  <si>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</si>
  <si>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</si>
  <si>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</si>
  <si>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</si>
  <si>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</si>
  <si>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</si>
  <si>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</si>
  <si>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</si>
  <si>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</si>
  <si>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</si>
  <si>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</si>
  <si>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</si>
  <si>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</si>
  <si>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</si>
  <si>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</si>
  <si>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</si>
  <si>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</si>
  <si>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</si>
  <si>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</si>
  <si>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</si>
  <si>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</si>
  <si>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</si>
  <si>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</si>
  <si>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</si>
  <si>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</si>
  <si>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</si>
  <si>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</si>
  <si>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</si>
  <si>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</si>
  <si>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</si>
  <si>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</si>
  <si>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</si>
  <si>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</si>
  <si>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</si>
  <si>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</si>
  <si>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</si>
  <si>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</si>
  <si>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</si>
  <si>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</si>
  <si>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</si>
  <si>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</si>
  <si>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</si>
  <si>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</si>
  <si>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</si>
  <si>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</si>
  <si>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</si>
  <si>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</si>
  <si>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</si>
  <si>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</si>
  <si>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</si>
  <si>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</si>
  <si>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</si>
  <si>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</si>
  <si>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</si>
  <si>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</si>
  <si>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</si>
  <si>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</si>
  <si>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</si>
  <si>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</si>
  <si>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</si>
  <si>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</si>
  <si>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</si>
  <si>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</si>
  <si>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</si>
  <si>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</si>
  <si>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</si>
  <si>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</si>
  <si>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</si>
  <si>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</si>
  <si>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</si>
  <si>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</si>
  <si>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</si>
  <si>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</si>
  <si>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</si>
  <si>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</si>
  <si>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</si>
  <si>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</si>
  <si>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</si>
  <si>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</si>
  <si>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</si>
  <si>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</si>
  <si>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</si>
  <si>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</si>
  <si>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</si>
  <si>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</si>
  <si>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</si>
  <si>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</si>
  <si>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</si>
  <si>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</si>
  <si>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</si>
  <si>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</si>
  <si>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</si>
  <si>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</si>
  <si>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</si>
  <si>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</si>
  <si>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</si>
  <si>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</si>
  <si>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</si>
  <si>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</si>
  <si>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</si>
  <si>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</si>
  <si>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</si>
  <si>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</si>
  <si>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</si>
  <si>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</si>
  <si>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</si>
  <si>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</si>
  <si>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</si>
  <si>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</si>
  <si>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</si>
  <si>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</si>
  <si>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</si>
  <si>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</si>
  <si>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</si>
  <si>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</si>
  <si>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</si>
  <si>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</si>
  <si>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</si>
  <si>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</si>
  <si>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</si>
  <si>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</si>
  <si>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</si>
  <si>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</si>
  <si>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</si>
  <si>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</si>
  <si>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</si>
  <si>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</si>
  <si>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</si>
  <si>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</si>
  <si>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</si>
  <si>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</si>
  <si>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</si>
  <si>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</si>
  <si>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</si>
  <si>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</si>
  <si>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</si>
  <si>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</si>
  <si>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</si>
  <si>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</si>
  <si>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</si>
  <si>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</si>
  <si>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</si>
  <si>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</si>
  <si>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</si>
  <si>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</si>
  <si>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</si>
  <si>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</si>
  <si>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</si>
  <si>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</si>
  <si>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</si>
  <si>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</si>
  <si>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</si>
  <si>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</si>
  <si>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</si>
  <si>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</si>
  <si>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</si>
  <si>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</si>
  <si>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</si>
  <si>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</si>
  <si>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</si>
  <si>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</si>
  <si>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</si>
  <si>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</si>
  <si>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</si>
  <si>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</si>
  <si>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</si>
  <si>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</si>
  <si>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</si>
  <si>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</si>
  <si>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</si>
  <si>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</si>
  <si>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</si>
  <si>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</si>
  <si>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</si>
  <si>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</si>
  <si>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</si>
  <si>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</si>
  <si>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</si>
  <si>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</si>
  <si>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</si>
  <si>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</si>
  <si>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</si>
  <si>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</si>
  <si>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</si>
  <si>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</si>
  <si>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</si>
  <si>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</si>
  <si>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</si>
  <si>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</si>
  <si>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</si>
  <si>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</si>
  <si>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</si>
  <si>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</si>
  <si>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</si>
  <si>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</si>
  <si>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</si>
  <si>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</si>
  <si>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</si>
  <si>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</si>
  <si>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</si>
  <si>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</si>
  <si>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</si>
  <si>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</si>
  <si>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</si>
  <si>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</si>
  <si>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</si>
  <si>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</si>
  <si>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</si>
  <si>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</si>
  <si>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</si>
  <si>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</si>
  <si>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</si>
  <si>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</si>
  <si>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</si>
  <si>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</si>
  <si>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</si>
  <si>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</si>
  <si>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</si>
  <si>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</si>
  <si>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</si>
  <si>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</si>
  <si>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</si>
  <si>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</si>
  <si>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</si>
  <si>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</si>
  <si>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</si>
  <si>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</si>
  <si>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</si>
  <si>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</si>
  <si>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</si>
  <si>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</si>
  <si>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</si>
  <si>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</si>
  <si>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</si>
  <si>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</si>
  <si>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</si>
  <si>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</si>
  <si>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</si>
  <si>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</si>
  <si>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</si>
  <si>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</si>
  <si>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</si>
  <si>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</si>
  <si>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</si>
  <si>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</si>
  <si>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</si>
  <si>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</si>
  <si>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</si>
  <si>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</si>
  <si>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</si>
  <si>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</si>
  <si>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</si>
  <si>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</si>
  <si>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</si>
  <si>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</si>
  <si>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</si>
  <si>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</si>
  <si>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</si>
  <si>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</si>
  <si>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</si>
  <si>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</si>
  <si>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</si>
  <si>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</si>
  <si>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</si>
  <si>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</si>
  <si>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</si>
  <si>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</si>
  <si>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</si>
  <si>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</si>
  <si>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</si>
  <si>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</si>
  <si>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</si>
  <si>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</si>
  <si>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</si>
  <si>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</si>
  <si>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</si>
  <si>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</si>
  <si>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</si>
  <si>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</si>
  <si>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</si>
  <si>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</si>
  <si>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</si>
  <si>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</si>
  <si>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</si>
  <si>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</si>
  <si>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</si>
  <si>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</si>
  <si>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</si>
  <si>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</si>
  <si>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</si>
  <si>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</si>
  <si>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</si>
  <si>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</si>
  <si>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</si>
  <si>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</si>
  <si>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</si>
  <si>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</si>
  <si>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</si>
  <si>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2022-4</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</si>
  <si>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</si>
  <si>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</si>
  <si>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</si>
  <si>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2023-2</t>
  </si>
  <si>
    <t>2023-4</t>
  </si>
  <si>
    <t>2023-3</t>
  </si>
  <si>
    <t>序号</t>
  </si>
  <si>
    <t>幢号</t>
  </si>
  <si>
    <t>室号部位</t>
  </si>
  <si>
    <t>建筑面积</t>
  </si>
  <si>
    <t>房屋类型</t>
  </si>
  <si>
    <t>总层数</t>
  </si>
  <si>
    <t>竣工日期</t>
  </si>
  <si>
    <t>土地权利性质</t>
  </si>
  <si>
    <t>权利人</t>
  </si>
  <si>
    <t>749号</t>
  </si>
  <si>
    <t>1-2层</t>
  </si>
  <si>
    <t>商场</t>
  </si>
  <si>
    <t>2014年</t>
  </si>
  <si>
    <t>上海朝成萃企业管理有限公司</t>
  </si>
  <si>
    <t>房屋性质</t>
  </si>
  <si>
    <t>套数</t>
  </si>
  <si>
    <t>739号</t>
  </si>
  <si>
    <t>1层</t>
  </si>
  <si>
    <t>店铺</t>
  </si>
  <si>
    <t>729号</t>
  </si>
  <si>
    <t>办公楼</t>
  </si>
  <si>
    <t>上海朝成和企业管理有限公司</t>
  </si>
  <si>
    <t>车位</t>
  </si>
  <si>
    <t>合计</t>
  </si>
  <si>
    <t>所属宗地土地面积</t>
  </si>
  <si>
    <t>商办容积率</t>
  </si>
  <si>
    <t>地上建筑面积</t>
  </si>
  <si>
    <t>分摊土地面积</t>
  </si>
  <si>
    <t>上海朝成畅企业管理有限公司</t>
  </si>
  <si>
    <t>地下建筑面积</t>
  </si>
  <si>
    <t>上海朝成瀚企业管理有限公司</t>
  </si>
  <si>
    <t>上海朝成星企业管理有限公司</t>
  </si>
  <si>
    <t>749-2号</t>
  </si>
  <si>
    <t>地下1层车位1</t>
  </si>
  <si>
    <t>其他</t>
  </si>
  <si>
    <t>2015年</t>
  </si>
  <si>
    <t>地下1层车位2</t>
  </si>
  <si>
    <t>地下1层车位3</t>
  </si>
  <si>
    <t>地下1层车位4</t>
  </si>
  <si>
    <t>729-2号</t>
  </si>
  <si>
    <t>地下1层车位5</t>
  </si>
  <si>
    <t>地下1层车位6</t>
  </si>
  <si>
    <t>地下1层车位7</t>
  </si>
  <si>
    <t>地下1层车位8</t>
  </si>
  <si>
    <t>地下1层车位9</t>
  </si>
  <si>
    <t>地下1层车位10</t>
  </si>
  <si>
    <t>地下1层车位11</t>
  </si>
  <si>
    <t>地下1层车位12</t>
  </si>
  <si>
    <t>地下1层车位13</t>
  </si>
  <si>
    <t>地下1层车位20</t>
  </si>
  <si>
    <t>地下1层车位21</t>
  </si>
  <si>
    <t>地下1层车位22</t>
  </si>
  <si>
    <t>地下1层车位23</t>
  </si>
  <si>
    <t>地下1层车位24</t>
  </si>
  <si>
    <t>地下1层车位25</t>
  </si>
  <si>
    <t>地下1层车位26</t>
  </si>
  <si>
    <t>地下1层车位27</t>
  </si>
  <si>
    <t>地下1层车位28</t>
  </si>
  <si>
    <r>
      <t>地下1层车位29</t>
    </r>
    <r>
      <rPr>
        <sz val="11"/>
        <color theme="1"/>
        <rFont val="宋体"/>
        <family val="2"/>
        <charset val="134"/>
        <scheme val="minor"/>
      </rPr>
      <t/>
    </r>
  </si>
  <si>
    <r>
      <t>地下1层车位30</t>
    </r>
    <r>
      <rPr>
        <sz val="11"/>
        <color theme="1"/>
        <rFont val="宋体"/>
        <family val="2"/>
        <charset val="134"/>
        <scheme val="minor"/>
      </rPr>
      <t/>
    </r>
  </si>
  <si>
    <r>
      <t>地下1层车位31</t>
    </r>
    <r>
      <rPr>
        <sz val="11"/>
        <color theme="1"/>
        <rFont val="宋体"/>
        <family val="2"/>
        <charset val="134"/>
        <scheme val="minor"/>
      </rPr>
      <t/>
    </r>
  </si>
  <si>
    <r>
      <t>地下1层车位32</t>
    </r>
    <r>
      <rPr>
        <sz val="11"/>
        <color theme="1"/>
        <rFont val="宋体"/>
        <family val="2"/>
        <charset val="134"/>
        <scheme val="minor"/>
      </rPr>
      <t/>
    </r>
  </si>
  <si>
    <r>
      <t>地下1层车位33</t>
    </r>
    <r>
      <rPr>
        <sz val="11"/>
        <color theme="1"/>
        <rFont val="宋体"/>
        <family val="2"/>
        <charset val="134"/>
        <scheme val="minor"/>
      </rPr>
      <t/>
    </r>
  </si>
  <si>
    <t>地下1层车位35</t>
  </si>
  <si>
    <r>
      <t>地下1层车位36</t>
    </r>
    <r>
      <rPr>
        <sz val="11"/>
        <color theme="1"/>
        <rFont val="宋体"/>
        <family val="2"/>
        <charset val="134"/>
        <scheme val="minor"/>
      </rPr>
      <t/>
    </r>
  </si>
  <si>
    <r>
      <t>地下1层车位37</t>
    </r>
    <r>
      <rPr>
        <sz val="11"/>
        <color theme="1"/>
        <rFont val="宋体"/>
        <family val="2"/>
        <charset val="134"/>
        <scheme val="minor"/>
      </rPr>
      <t/>
    </r>
  </si>
  <si>
    <t>核定资产</t>
  </si>
  <si>
    <t>房地产市场价值</t>
  </si>
  <si>
    <t>其他：</t>
  </si>
  <si>
    <t>企业</t>
  </si>
  <si>
    <t>办公项目</t>
  </si>
  <si>
    <t>现房</t>
  </si>
  <si>
    <t>地上</t>
  </si>
  <si>
    <t>地下</t>
  </si>
  <si>
    <r>
      <t>1</t>
    </r>
    <r>
      <rPr>
        <sz val="10"/>
        <color indexed="8"/>
        <rFont val="宋体"/>
        <family val="3"/>
        <charset val="134"/>
      </rPr>
      <t>层</t>
    </r>
  </si>
  <si>
    <r>
      <t>1-2</t>
    </r>
    <r>
      <rPr>
        <sz val="10"/>
        <color indexed="8"/>
        <rFont val="宋体"/>
        <family val="3"/>
        <charset val="134"/>
      </rPr>
      <t>层</t>
    </r>
  </si>
  <si>
    <r>
      <t>2-9</t>
    </r>
    <r>
      <rPr>
        <sz val="10"/>
        <color indexed="8"/>
        <rFont val="宋体"/>
        <family val="3"/>
        <charset val="134"/>
      </rPr>
      <t>层</t>
    </r>
  </si>
  <si>
    <r>
      <t xml:space="preserve"> -1</t>
    </r>
    <r>
      <rPr>
        <sz val="10"/>
        <color indexed="8"/>
        <rFont val="宋体"/>
        <family val="3"/>
        <charset val="134"/>
      </rPr>
      <t>层</t>
    </r>
  </si>
  <si>
    <t>是</t>
  </si>
  <si>
    <t>底商</t>
  </si>
  <si>
    <t>1层商业</t>
  </si>
  <si>
    <r>
      <t>1-2</t>
    </r>
    <r>
      <rPr>
        <sz val="10"/>
        <color indexed="8"/>
        <rFont val="宋体"/>
        <family val="3"/>
        <charset val="134"/>
      </rPr>
      <t>层商业</t>
    </r>
  </si>
  <si>
    <t>成新度</t>
  </si>
  <si>
    <t>车位在租900一个每月</t>
    <phoneticPr fontId="136" type="noConversion"/>
  </si>
  <si>
    <t>房间号</t>
  </si>
  <si>
    <t>租户</t>
  </si>
  <si>
    <t>现行租金/平米/天</t>
  </si>
  <si>
    <t>现行租金/月</t>
  </si>
  <si>
    <t>租赁面积m²</t>
  </si>
  <si>
    <t>租赁周期</t>
  </si>
  <si>
    <r>
      <rPr>
        <b/>
        <sz val="9"/>
        <color theme="1"/>
        <rFont val="等线"/>
        <family val="3"/>
        <charset val="134"/>
      </rPr>
      <t xml:space="preserve"> </t>
    </r>
    <r>
      <rPr>
        <b/>
        <sz val="9"/>
        <color indexed="8"/>
        <rFont val="等线"/>
        <family val="3"/>
        <charset val="134"/>
      </rPr>
      <t>合同总金额（不含税）</t>
    </r>
  </si>
  <si>
    <t>装修期及免租期</t>
  </si>
  <si>
    <t>备注</t>
  </si>
  <si>
    <t>通北路739号1层</t>
  </si>
  <si>
    <t>上海苏宁便利店有限公司（截止1/15)/便利蜂商贸有限公司(5/16-6/30装修期）已退租（最后租赁日5/31</t>
  </si>
  <si>
    <t>2020年5月16日-2025年6月30日,每两年递增5%
2020/7/1 - 2022/6/30,8.1元/平/天；月租31484元
2022/7/1 - 2024/6/30,8.5元/平/天；月租33039元
2024/7/1 - 2025/6/30,8.925元/平/天；月租34691元</t>
  </si>
  <si>
    <t>2020年5月16日-2020年6月30日</t>
  </si>
  <si>
    <t>2</t>
  </si>
  <si>
    <t>通北路749号1_2层01单元</t>
  </si>
  <si>
    <t>上海市杨浦区江浦路街道社区党群服务中心</t>
  </si>
  <si>
    <t>2022/10/16-2024/10/15,5.9元/平/天；月租37760元</t>
  </si>
  <si>
    <t>2022/10/16-2022/12/15              2024/8/16-2024/10/15</t>
  </si>
  <si>
    <t>通北路749号1_2层-02单元</t>
  </si>
  <si>
    <t>鲍金福</t>
  </si>
  <si>
    <t>2022年2月16日-2030年2月15日,每两年递增5%
2022/2/16 - 2025/2/15,6元/平/天；月租31875元
2025/2/16 - 2028/2/15,6.3元/平/天；月租33469元
2028/2/16 - 2030/2/15,6.62元/平/天；月租35169元</t>
  </si>
  <si>
    <t>装修期：2022/2/16-2022/6/15 免租期：2023/12/1/-2023/12/31 2025/12/1-2025/12/31 2027/12/1-2027/12/31 2029/12/1-2029/12/31</t>
  </si>
  <si>
    <t>通北路749号1_2层-03单元</t>
  </si>
  <si>
    <t>2022年2月16日-2030年2月15日,每两年递增5%
2022/2/16 - 2025/2/15,3.65元/平/天；月租78447元
2025/2/16 - 2028/2/15,3.83元/平/天；月租82316元
2028/2/16 - 2030/2/15,4.02元/平/天；月租86400元</t>
  </si>
  <si>
    <t>装修期：2022/2/16-2022/6/15；免租期：2023/12/1-2023/12/31 2025/12/1-2025/12/31 2027/12/1-2027/12/31 2029/12/1-2029/12/31</t>
  </si>
  <si>
    <t>通北路749号1_2层-04单元</t>
  </si>
  <si>
    <t>通北路749号1_2层-05单元</t>
  </si>
  <si>
    <t>2022年2月16日-2030年2月15日,每两年递增5%
2022/2/16 - 2025/2/15,3.65元/平/天；月租14044元
2025/2/16 - 2028/2/15,3.83元/平/天；月租14737元
2028/2/16 - 2030/2/15,4.02元/平/天；月租15468元</t>
  </si>
  <si>
    <t>装修期：2022/2/16-2022/6/15 免租期：2023/12/1-2023/12/31 2025/12/1-2025/12/31 2027/12/1-2027/12/31 2029/12/1-2029/12/31</t>
  </si>
  <si>
    <t>萃</t>
  </si>
  <si>
    <t>3</t>
  </si>
  <si>
    <t>空租</t>
  </si>
  <si>
    <t>4</t>
  </si>
  <si>
    <t>5</t>
  </si>
  <si>
    <t>6</t>
  </si>
  <si>
    <t>7</t>
  </si>
  <si>
    <t>8</t>
  </si>
  <si>
    <t>9</t>
  </si>
  <si>
    <t>上海巴士悦信物流发展有限公司</t>
  </si>
  <si>
    <r>
      <t xml:space="preserve">2019/3/25-2019/9/24 2020/4/1-2020/9/30 2020/10/1-2021/3/31 2021/4/1-2021/9/30 2021/10/1-2022/3/31  </t>
    </r>
    <r>
      <rPr>
        <sz val="9"/>
        <color rgb="FFFF0000"/>
        <rFont val="宋体"/>
        <family val="3"/>
        <charset val="134"/>
      </rPr>
      <t>2022/6/1-2022/11/30  2022/12/1-2023/5/31</t>
    </r>
  </si>
  <si>
    <t>10</t>
  </si>
  <si>
    <t>上海中原物业顾问有限公司</t>
  </si>
  <si>
    <t>2021/6/30-2021/12/31 2022/1/1-2022/6/30</t>
  </si>
  <si>
    <t>11</t>
  </si>
  <si>
    <r>
      <t xml:space="preserve">2019/3/25-2019/9/24 2020/4/1-2020/9/30 2020/10/1-2021/3/31 2021/4/1-2021/9/30 2021/10/1-2022/3/31 </t>
    </r>
    <r>
      <rPr>
        <sz val="9"/>
        <color rgb="FFFF0000"/>
        <rFont val="宋体"/>
        <family val="3"/>
        <charset val="134"/>
      </rPr>
      <t>2022/6/1-2022/11/30 2022/12/1-2023/5/31</t>
    </r>
  </si>
  <si>
    <t>12</t>
  </si>
  <si>
    <t>和</t>
  </si>
  <si>
    <t>13</t>
  </si>
  <si>
    <t>上海铁士物流有限公司</t>
  </si>
  <si>
    <t>2019/3/1-2022/2/28                   日租5.6元，月租135701元；
2022/3/1-2025/2/28                   日租6元，月租145394元。</t>
  </si>
  <si>
    <t>2019年11月1日-2019年12月31日（2个月）
2020年11月1日-2020年12月31日（2个月）
2021年11月1日-2021年12月31日（2个月）
2022年12月1日-2022年12月31日（1个月）
2023年12月1日-2023年12月31日（1个月）
2024年12月1日-2024年12月31日（1个月）</t>
  </si>
  <si>
    <t>14</t>
  </si>
  <si>
    <t>15</t>
  </si>
  <si>
    <t>16</t>
  </si>
  <si>
    <t>17</t>
  </si>
  <si>
    <t>18</t>
  </si>
  <si>
    <t>2019/3/1-2022/2/28                   日租5.6元，月租72421元；
2022/3/1-2025/2/28                   日租6元，月租77594元。</t>
  </si>
  <si>
    <t>19</t>
  </si>
  <si>
    <t>20</t>
  </si>
  <si>
    <t>21</t>
  </si>
  <si>
    <t>22</t>
  </si>
  <si>
    <t>2022/3/1-2024/2/29                   日租5.5元，月租18810元</t>
  </si>
  <si>
    <t>2022年3月1日-3月31日            2023年3月1日-3月31日</t>
  </si>
  <si>
    <t>23</t>
  </si>
  <si>
    <t>上海蝠莱文化科技发展有限公司</t>
  </si>
  <si>
    <t>2021/8/1-2023/7/31                    日租5.6元  月租18049元</t>
  </si>
  <si>
    <t>2021年12月1日-2021年12月31日
2022年12月1日-2022年12月31日</t>
  </si>
  <si>
    <t>24</t>
  </si>
  <si>
    <t>智参软件科技（上海）有限公司</t>
  </si>
  <si>
    <r>
      <rPr>
        <sz val="9"/>
        <color rgb="FF000000"/>
        <rFont val="宋体"/>
        <family val="3"/>
        <charset val="134"/>
      </rPr>
      <t>2018/10/18-2020/10/17             日租6.1元，月租43818元
2020/10/18-2021/10/17             日租6.59元，月租47337元</t>
    </r>
    <r>
      <rPr>
        <sz val="9"/>
        <color rgb="FFFF0000"/>
        <rFont val="宋体"/>
        <family val="3"/>
        <charset val="134"/>
      </rPr>
      <t>2021/10/18-2023/10/31             日租5.5元，月租39508</t>
    </r>
  </si>
  <si>
    <t>2018年10月18日-2018年12月17日
2019年10月18日-2019年11月17日
2020年10月18日-2020年11月17日
2021年09月18日-2021年10月17日2022年09月01日-2022年10月31日2023年09月01日-2023年10月31日</t>
  </si>
  <si>
    <t>25</t>
  </si>
  <si>
    <t>赵军（截止4/30）/上海鑫颢国际货物运输代理有限公司（6/1起租,2022/9/1换租至1002&amp;1003）</t>
  </si>
  <si>
    <t>2020年6月1日-2022年7月31日 日租6元，月租62437元；
续租：2022年8月1日-2024年7月31日 日租5.7元，月租59315元</t>
  </si>
  <si>
    <t>2020年12月1日-2020年12月31日
2021年12月1日-2021年12月31日2023年6月1日-2023年8月31日2024年6月1日-2024年8月31日</t>
  </si>
  <si>
    <t>26</t>
  </si>
  <si>
    <t>27</t>
  </si>
  <si>
    <t>芬兰阿陆有限公司上海代表处</t>
  </si>
  <si>
    <t xml:space="preserve">2018/10/16-2020/10/15             日租6元，月租20520元；
2020/10/16-2022/10/15             日租6.48元，月租22162元    续租：2022/10/16-2023/10/15日租5.7元，月租19494元 </t>
  </si>
  <si>
    <t>2018年10月16日-2018年12月15日
2019年12月16日-2019年01月15日
2020年12月16日-2021年01月15日
2021年12月16日-2022年01月15日2022年8月16日-2022年10月15日2023年8月16日-2023年10月15日</t>
  </si>
  <si>
    <t>28</t>
  </si>
  <si>
    <t>29</t>
  </si>
  <si>
    <t>30</t>
  </si>
  <si>
    <t>31</t>
  </si>
  <si>
    <r>
      <t xml:space="preserve">2019/3/25-2019/9/24 2019/9/25-2020/3/24 2020/3/25-2020/9/24 2020/9/25-2021/3/24 2021/3/25-2021/9/24 </t>
    </r>
    <r>
      <rPr>
        <sz val="9"/>
        <rFont val="宋体"/>
        <family val="3"/>
        <charset val="134"/>
      </rPr>
      <t xml:space="preserve">2021/9/25-2022/3/24 </t>
    </r>
    <r>
      <rPr>
        <sz val="9"/>
        <color rgb="FFFF0000"/>
        <rFont val="宋体"/>
        <family val="3"/>
        <charset val="134"/>
      </rPr>
      <t>2022/6/1-2022/11/30 2022/12/1-2023/5/31</t>
    </r>
  </si>
  <si>
    <t>32</t>
  </si>
  <si>
    <t>2019/3/25-2019/9/24 2019/9/25-2020/3/24 2020/3/25-2020/9/24 2020/9/25-2021/3/24 2021/3/25-2021/9/24 2021/9/25-2022/3/24 2022/6/1-2022/11/30 2022/12/1-2023/5/31</t>
  </si>
  <si>
    <t>33</t>
  </si>
  <si>
    <t>34</t>
  </si>
  <si>
    <t>2021/8/4-2022/2/3  2022/11/1-2023/4/30</t>
  </si>
  <si>
    <t>35</t>
  </si>
  <si>
    <t>36</t>
  </si>
  <si>
    <t>37</t>
  </si>
  <si>
    <t>38</t>
  </si>
  <si>
    <t>畅</t>
  </si>
  <si>
    <t>39</t>
  </si>
  <si>
    <t>上海契石投资咨询有限公司</t>
  </si>
  <si>
    <r>
      <rPr>
        <sz val="9"/>
        <color theme="1"/>
        <rFont val="宋体"/>
        <family val="3"/>
        <charset val="134"/>
      </rPr>
      <t xml:space="preserve">2018/11/20-2020/11/19             日租6.1元/平/天，每月20862元
续租：2020/11/20-2022/11/19，日租5.5元/平/天，每月18810元           </t>
    </r>
    <r>
      <rPr>
        <sz val="9"/>
        <color rgb="FFFF0000"/>
        <rFont val="宋体"/>
        <family val="3"/>
        <charset val="134"/>
      </rPr>
      <t>续租：2022/11/20-2023/11/19，日租5.5元/平/天，每月18810元</t>
    </r>
  </si>
  <si>
    <t>2018/11/20-2018/12/19
2019/12/1-2019/12/31
2020/10/20-2020/11/19                     2021/11/1-2021/12/31  2022/9/20/-2022/11/19 2023/9/20/-2023/11/19</t>
  </si>
  <si>
    <t>40</t>
  </si>
  <si>
    <t>上海崟厚信息科技有限公司(已退租)/上海中原物业顾问有限公司（已退租，最后租赁日8/31）山东乐舱网国际物流股份有限公司上海分公司</t>
  </si>
  <si>
    <t>2022/10/8-2023/1/15，日租5.8元/平/天，每月18693元</t>
  </si>
  <si>
    <t>41</t>
  </si>
  <si>
    <t>山东乐舱网国际物流股份有限公司上海分公司</t>
  </si>
  <si>
    <t>2022/9/1-2023/1/15</t>
  </si>
  <si>
    <t>42</t>
  </si>
  <si>
    <t>上海栖盟科技有限公司（已退租）</t>
  </si>
  <si>
    <t>2018/9/5-2020/9/4，日租6元/平/天，每月43099.2元</t>
  </si>
  <si>
    <t>2018/9/5-2018/11/4
2019/8/5-2019/9/4
2020/8/5-2020/9/4</t>
  </si>
  <si>
    <t>43</t>
  </si>
  <si>
    <t>严敏</t>
  </si>
  <si>
    <t>2021/8/16-2023/8/15                  日租5.6元/平/天，每月18049元</t>
  </si>
  <si>
    <t>2021/8/16-2021/9/15
2022/8/16-2022/9/15</t>
  </si>
  <si>
    <t>44</t>
  </si>
  <si>
    <t>707-709舶乐蜜电子商务（上海）有限公司（3.31已退租）/710王华（3.31已退租）/上海大音希声新型材料有限公司</t>
  </si>
  <si>
    <t>2020/09/01-2025/09/30              日租5.2元/平/天，每月67248元</t>
  </si>
  <si>
    <t xml:space="preserve">2020/12/01-2020/12/31；2021/12/01-2021/12/31；
2022/12/01-2022/12/31；2023/12/01-2023/12/31；
2024/12/01-2024/12/31；  </t>
  </si>
  <si>
    <t>45</t>
  </si>
  <si>
    <t>46</t>
  </si>
  <si>
    <t>47</t>
  </si>
  <si>
    <t>48</t>
  </si>
  <si>
    <t>49</t>
  </si>
  <si>
    <t>50</t>
  </si>
  <si>
    <t>51</t>
  </si>
  <si>
    <t>52</t>
  </si>
  <si>
    <t>53</t>
  </si>
  <si>
    <t>54</t>
  </si>
  <si>
    <t>55</t>
  </si>
  <si>
    <t>56</t>
  </si>
  <si>
    <t>57</t>
  </si>
  <si>
    <t>58</t>
  </si>
  <si>
    <t>上海中原物业顾问有限公司（合同赠送）</t>
  </si>
  <si>
    <t xml:space="preserve">2018/11/15-2019/5/14 2019/5/15-2019/11/14 2019/11/15-2020/5/14 2020/5/15-2020/11/14      </t>
  </si>
  <si>
    <t>59</t>
  </si>
  <si>
    <t xml:space="preserve"> 上海鑫颢国际货物运输代理有限公司（合同赠送）</t>
  </si>
  <si>
    <t xml:space="preserve">2020/1/25-2020/7/24 2020/7/25-2021/1/24 2021/1/25-2021/10/24  2023/1/1-2023/12/31 </t>
  </si>
  <si>
    <t>60</t>
  </si>
  <si>
    <t>上海意翔国际货运代理有限公司</t>
  </si>
  <si>
    <r>
      <t xml:space="preserve">2018/11/1-2019/4/30
2019/5/1-2019/10/31 2019/11/1-2020/4/30 2020/5/1-2020/10/31 2020/11/1-2021/10/31 </t>
    </r>
    <r>
      <rPr>
        <sz val="9"/>
        <color rgb="FFFF0000"/>
        <rFont val="宋体"/>
        <family val="3"/>
        <charset val="134"/>
      </rPr>
      <t>2021/11/1-2022/12/31 2023/1/1-2023/12/31</t>
    </r>
  </si>
  <si>
    <t>61</t>
  </si>
  <si>
    <r>
      <t xml:space="preserve">2018/11/1-2019/4/30
2019/5/1-2019/10/31 2019/11/1-2020/4/30 2020/5/1-2020/10/31 2020/11/1-2021/10/31 </t>
    </r>
    <r>
      <rPr>
        <sz val="9"/>
        <color rgb="FFFF0000"/>
        <rFont val="宋体"/>
        <family val="3"/>
        <charset val="134"/>
      </rPr>
      <t>2021/11/1-2022/12/31</t>
    </r>
    <r>
      <rPr>
        <sz val="9"/>
        <color theme="1"/>
        <rFont val="宋体"/>
        <family val="3"/>
        <charset val="134"/>
      </rPr>
      <t xml:space="preserve">  2023/1/1-2023/12/31</t>
    </r>
  </si>
  <si>
    <t>62</t>
  </si>
  <si>
    <t>2018/9/13-2019/3/12/
2019/4/9-2019/10/8 2019/10/9-2020/4/8  2020/4/9-2020/10/8</t>
  </si>
  <si>
    <t>63</t>
  </si>
  <si>
    <r>
      <t xml:space="preserve">2018/10/8-2019/4/7 2019/3/25-2019/9/24 2020/3/25-2020/9/24 2020/9/25-2021/3/24 2021/3/25-2021/9/24 2021/9/25-2022/3/24   </t>
    </r>
    <r>
      <rPr>
        <sz val="9"/>
        <color rgb="FFFF0000"/>
        <rFont val="宋体"/>
        <family val="3"/>
        <charset val="134"/>
      </rPr>
      <t>2022/6/1-2022/11/30 2022/12/1-2023/5/31</t>
    </r>
  </si>
  <si>
    <t>64</t>
  </si>
  <si>
    <t>上海栖盟科技有限公司/上海巴士悦信物流发展有限公司</t>
  </si>
  <si>
    <r>
      <t xml:space="preserve">2019/4/8-2019/10/7 2019/10/8-2020/4/7  2020/4/8-2020/10/7 2020/9/16-2021/3/15 2021/3/16-2021/9/15 2021/9/16-2022/3/15 </t>
    </r>
    <r>
      <rPr>
        <sz val="9"/>
        <color rgb="FFFF0000"/>
        <rFont val="宋体"/>
        <family val="3"/>
        <charset val="134"/>
      </rPr>
      <t>2022/6/1-2022/11/30 2022/12/1-2023/5/31</t>
    </r>
  </si>
  <si>
    <t>65</t>
  </si>
  <si>
    <r>
      <t xml:space="preserve">2019/3/25-2019/9/24 2019/9/25-2020/3/24 2020/3/25-2020/9/24 2020/9/25-2021/3/24 2021/4/1-2021/9/30 2021/10/1-2022/3/31 </t>
    </r>
    <r>
      <rPr>
        <sz val="9"/>
        <color rgb="FFFF0000"/>
        <rFont val="宋体"/>
        <family val="3"/>
        <charset val="134"/>
      </rPr>
      <t>2022/6/1-2022/11/30 2022/12/1-2023/5/31</t>
    </r>
  </si>
  <si>
    <t>瀚</t>
  </si>
  <si>
    <t>66</t>
  </si>
  <si>
    <t>舶乐蜜网络科技（上海）有限公司</t>
  </si>
  <si>
    <t>2018/11/15-2020/11/14             日租5.6元，每月208122元
2020/11/15-2021/11/14             日租6元，每月222988元
续租：2021/11/15-2022/11/14 日租5.6元，每月208122元</t>
  </si>
  <si>
    <t>2018年11月15日-2019年2月14日
2020年11月1日-2020年12月31日
2021年9月15日-2021年11月14日
续租免租期：                               2022年9月15日-2022年11月14日</t>
  </si>
  <si>
    <t>67</t>
  </si>
  <si>
    <t>68</t>
  </si>
  <si>
    <t>69</t>
  </si>
  <si>
    <t>70</t>
  </si>
  <si>
    <t>71</t>
  </si>
  <si>
    <t>72</t>
  </si>
  <si>
    <t>73</t>
  </si>
  <si>
    <t>74</t>
  </si>
  <si>
    <t>75</t>
  </si>
  <si>
    <t>山东乐舱网国际物流股份有限公司上海分公司（已退租）/上海意翔国际货运代理有限公司（9/1起租）</t>
  </si>
  <si>
    <t xml:space="preserve">  2022/9/1-2024/8/31       日租：5.7元 月租：40051元</t>
  </si>
  <si>
    <t>2023年7月1日-2023年8月31日   2024年7月1日-2024年8月31日</t>
  </si>
  <si>
    <t>76</t>
  </si>
  <si>
    <t>山东乐舱网国际物流股份有限公司上海分公司（已退租） /上海鑫颢国际货物运输代理有限公司（6/1起租,2022/9/1换租至1002&amp;1003）</t>
  </si>
  <si>
    <t>77</t>
  </si>
  <si>
    <t>78</t>
  </si>
  <si>
    <t>桦功投资管理（上海）有限公司</t>
  </si>
  <si>
    <t>2019年5月15日-2022年5月14日,日租5.9元/平/天，月租61396元续租：2022年5月15日-2023年5月14日                     日租5.7元/平/天，月59315元</t>
  </si>
  <si>
    <t>2023年3月15日-2023年5月14日</t>
  </si>
  <si>
    <t>79</t>
  </si>
  <si>
    <t>80</t>
  </si>
  <si>
    <t>上海博昂供应链管理有限公司</t>
  </si>
  <si>
    <t>2019/11/1-2022/10/31                日租6.1元/平/天，每月56887元</t>
  </si>
  <si>
    <t>2019年11月1日-2019年12月31日
2020年12月1日-2020年12月31日，
2021年12月1日-2021年12月31日，
2022年10月1日-2022年10月31日</t>
  </si>
  <si>
    <t>81</t>
  </si>
  <si>
    <t>82</t>
  </si>
  <si>
    <t>83</t>
  </si>
  <si>
    <t>2021/9/01-2022/3/31                  日租5.5/平/天，每月38646元，该户租金19835.72元 续租2022.4.1-2022.7.31</t>
  </si>
  <si>
    <t>84</t>
  </si>
  <si>
    <r>
      <t xml:space="preserve">2019/4/1-2019/9/30 2019/10/1-2020/3/31 2020/4/1-2020/9/30 2020/10/1-2021/9/30 2021/10/1-2022/3/31 </t>
    </r>
    <r>
      <rPr>
        <sz val="9"/>
        <color rgb="FFFF0000"/>
        <rFont val="宋体"/>
        <family val="3"/>
        <charset val="134"/>
      </rPr>
      <t>2022/6/1-2022/11/30 2022/12/1-2023/5/31</t>
    </r>
  </si>
  <si>
    <t>85</t>
  </si>
  <si>
    <t>地下1层车位29</t>
  </si>
  <si>
    <t>上海润蓓姿生物科技有限公司/上海栖盟科技有限公司/上海大音希声新型材料有限公司</t>
  </si>
  <si>
    <t>2019/5/6-2019/11/5 2019/11/6-2020/5/5
2020/5/7-2020/11/6
大音希声：          2020/9/16-2022/3/15  2022/6/1-2022/11/30 2022/12/1-2023/2/28</t>
  </si>
  <si>
    <t>86</t>
  </si>
  <si>
    <t>地下1层车位30</t>
  </si>
  <si>
    <t>舶乐蜜网络科技（上海）有限公司             （现空租）</t>
  </si>
  <si>
    <t>2018/12/17-2019/6/16 2019/6/17-2019/12/16 2019/12/17-2020/6/16 2020/9/25-2021/3/24 2021/3/25-2021/9/24 2021/9/25-2021/11/24</t>
  </si>
  <si>
    <t>87</t>
  </si>
  <si>
    <t>地下1层车位31</t>
  </si>
  <si>
    <t>舶乐蜜网络科技（上海）有限公司/上海巴士悦信物流发展有限公司</t>
  </si>
  <si>
    <t>2018/12/17-2019/6/16 2019/6/17-2019/12/16
 2020/4/1-2020/9/30 2020/10/1-2021/3/31 2021/4/1-2021/9/30 2021/10/1-2022/3/31 2022/6/1-2022/11/30 2022/12/1-2023/5/31</t>
  </si>
  <si>
    <t>88</t>
  </si>
  <si>
    <t>地下1层车位32</t>
  </si>
  <si>
    <t>89</t>
  </si>
  <si>
    <t>地下1层车位33</t>
  </si>
  <si>
    <t>90</t>
  </si>
  <si>
    <t>2020/1/6-2020/7/5 
2020/9/16-2021/3/15 2021/3/16-2021/9/15 2021/9/16-2022/3/15 2022/6/1-2022/11/30 2022/12/1-2023/5/31</t>
  </si>
  <si>
    <t>91</t>
  </si>
  <si>
    <t>地下1层车位36</t>
  </si>
  <si>
    <t>2019/10/1-2020/3/31 2020/4/3-2020/10/2 2020/10/3-2021/4/2  2021/4/3-2021/10/2  2021/10/3-2022/4/2  2022/6/1-2022/11/30 2022/12/1-2023/5/31</t>
  </si>
  <si>
    <t>92</t>
  </si>
  <si>
    <t>地下1层车位37</t>
  </si>
  <si>
    <t>舶乐蜜网络科技（上海）有限公司/上海大音希声新型材料有限公司</t>
  </si>
  <si>
    <t>2019/8/14-2020/2/13 2020/2/14-2020/8/13
大音希声：          2020/9/16-2022/3/15  2022/6/1-2022/11/30 2022/12/1-2023/2/28</t>
  </si>
  <si>
    <t>星</t>
  </si>
  <si>
    <t>办公平均租金</t>
    <phoneticPr fontId="136" type="noConversion"/>
  </si>
  <si>
    <t>https://sh.58.com/shangpu/53218187085478x.shtml?PGTID=0d00000d-0000-05ae-5186-597c24caf5c2&amp;ClickID=45</t>
  </si>
  <si>
    <t>https://sh.58.com/shangpu/52185185190322x.shtml?PGTID=0d00000d-0000-05ae-5186-597c24caf5c2&amp;ClickID=47</t>
  </si>
  <si>
    <t>商业街店铺</t>
    <phoneticPr fontId="136" type="noConversion"/>
  </si>
  <si>
    <t>https://sh.58.com/shangpu/53274092659988x.shtml?PGTID=0d00000d-0000-05ae-5186-597c24caf5c2&amp;ClickID=52</t>
  </si>
  <si>
    <t>写字楼配套</t>
    <phoneticPr fontId="136" type="noConversion"/>
  </si>
  <si>
    <t>https://sh.58.com/shangpu/51657474598403x.shtml?PGTID=0d00000d-0000-05ae-5186-597c24caf5c2&amp;ClickID=55</t>
  </si>
  <si>
    <t>保利绿地广场</t>
    <phoneticPr fontId="136" type="noConversion"/>
  </si>
  <si>
    <t>临街商业</t>
    <phoneticPr fontId="136" type="noConversion"/>
  </si>
  <si>
    <t>宝地广场</t>
    <phoneticPr fontId="136" type="noConversion"/>
  </si>
  <si>
    <t>荣广商务中心</t>
    <phoneticPr fontId="136" type="noConversion"/>
  </si>
  <si>
    <t>商业</t>
    <phoneticPr fontId="136" type="noConversion"/>
  </si>
  <si>
    <t>办公</t>
    <phoneticPr fontId="136" type="noConversion"/>
  </si>
  <si>
    <r>
      <t>4</t>
    </r>
    <r>
      <rPr>
        <sz val="11"/>
        <color theme="1"/>
        <rFont val="宋体"/>
        <family val="3"/>
        <charset val="134"/>
        <scheme val="minor"/>
      </rPr>
      <t>.5-6</t>
    </r>
    <phoneticPr fontId="136" type="noConversion"/>
  </si>
  <si>
    <t>https://sh.58.com/shangpu/53217770923029x.shtml?PGTID=0d00000d-0000-05ae-5186-597c24caf5c2&amp;ClickID=89</t>
  </si>
  <si>
    <t>光大安石</t>
    <phoneticPr fontId="136" type="noConversion"/>
  </si>
  <si>
    <t>一层</t>
    <phoneticPr fontId="5" type="noConversion"/>
  </si>
  <si>
    <r>
      <t>1-2</t>
    </r>
    <r>
      <rPr>
        <sz val="10"/>
        <color indexed="8"/>
        <rFont val="宋体"/>
        <family val="3"/>
        <charset val="134"/>
      </rPr>
      <t>层</t>
    </r>
    <phoneticPr fontId="5" type="noConversion"/>
  </si>
  <si>
    <t>二层</t>
    <phoneticPr fontId="5" type="noConversion"/>
  </si>
  <si>
    <t>押一</t>
  </si>
  <si>
    <t>钢混</t>
  </si>
  <si>
    <t>非生产用房</t>
  </si>
  <si>
    <t>收益法（1层商业）</t>
  </si>
  <si>
    <t>收益法（1-2层商业）</t>
  </si>
  <si>
    <t>收益法（1-2层商业）</t>
    <phoneticPr fontId="18" type="noConversion"/>
  </si>
  <si>
    <t>收益法（车库）</t>
  </si>
  <si>
    <t>收益法（车库）</t>
    <phoneticPr fontId="18" type="noConversion"/>
  </si>
  <si>
    <t>1-2层商业</t>
  </si>
  <si>
    <t>项目全部</t>
  </si>
  <si>
    <t>总价</t>
  </si>
  <si>
    <t xml:space="preserve">收益法（办公） </t>
  </si>
  <si>
    <t>收益法（汇总）</t>
  </si>
  <si>
    <t>项目模式</t>
  </si>
  <si>
    <t>售价</t>
  </si>
  <si>
    <t>https://sh.58.com/zhaozu/53239220601869x.shtml?PGTID=0d00000d-0000-07c6-785b-1bb6cc22df08&amp;ClickID=16</t>
  </si>
  <si>
    <t>正常</t>
  </si>
  <si>
    <t>办公</t>
    <phoneticPr fontId="33" type="noConversion"/>
  </si>
  <si>
    <t>光大安石</t>
  </si>
  <si>
    <t>碧桂园广场</t>
  </si>
  <si>
    <t>山金保利金融广场</t>
  </si>
  <si>
    <t>序号</t>
    <phoneticPr fontId="249" type="noConversion"/>
  </si>
  <si>
    <t>项目名称</t>
    <phoneticPr fontId="249" type="noConversion"/>
  </si>
  <si>
    <t>地址</t>
    <phoneticPr fontId="2" type="noConversion"/>
  </si>
  <si>
    <t>环线</t>
    <phoneticPr fontId="2" type="noConversion"/>
  </si>
  <si>
    <t>商圈</t>
    <phoneticPr fontId="249" type="noConversion"/>
  </si>
  <si>
    <t>业态</t>
    <phoneticPr fontId="2" type="noConversion"/>
  </si>
  <si>
    <t>买家</t>
    <phoneticPr fontId="249" type="noConversion"/>
  </si>
  <si>
    <t>买家类型</t>
    <phoneticPr fontId="2" type="noConversion"/>
  </si>
  <si>
    <t>卖家</t>
    <phoneticPr fontId="249" type="noConversion"/>
  </si>
  <si>
    <t>卖家类型</t>
    <phoneticPr fontId="2" type="noConversion"/>
  </si>
  <si>
    <t>总建筑面积</t>
    <phoneticPr fontId="2" type="noConversion"/>
  </si>
  <si>
    <t>交易总金额</t>
    <phoneticPr fontId="2" type="noConversion"/>
  </si>
  <si>
    <t>交易单价</t>
    <phoneticPr fontId="2" type="noConversion"/>
  </si>
  <si>
    <t>2017年</t>
    <phoneticPr fontId="249" type="noConversion"/>
  </si>
  <si>
    <t>滨江国际广场1号楼</t>
  </si>
  <si>
    <t>杨树浦路1062号</t>
  </si>
  <si>
    <t>内环内</t>
  </si>
  <si>
    <t>北外滩/大连路</t>
    <phoneticPr fontId="249" type="noConversion"/>
  </si>
  <si>
    <t>综合体</t>
  </si>
  <si>
    <t>阳光城</t>
  </si>
  <si>
    <t>开发商</t>
  </si>
  <si>
    <t>渔人码头集团</t>
  </si>
  <si>
    <t>国企机构</t>
  </si>
  <si>
    <t>浦江国际金融广场（30%股权）</t>
  </si>
  <si>
    <t>东大名路1098号</t>
  </si>
  <si>
    <t>青岛中能/晨鸣纸业</t>
  </si>
  <si>
    <t>民营企业</t>
  </si>
  <si>
    <t>新黄浦</t>
  </si>
  <si>
    <t>保利绿地广场（B1/C1/C2）</t>
  </si>
  <si>
    <t>长阳路654号</t>
  </si>
  <si>
    <t>江苏盐城东方</t>
  </si>
  <si>
    <t>保利绿地</t>
  </si>
  <si>
    <t>保利绿地广场 A1</t>
  </si>
  <si>
    <t>安徽高速</t>
  </si>
  <si>
    <t>绿地滨江中央广场</t>
  </si>
  <si>
    <t>宁国路121号</t>
  </si>
  <si>
    <t>东外滩</t>
    <phoneticPr fontId="249" type="noConversion"/>
  </si>
  <si>
    <t>CLSA里昂证券</t>
  </si>
  <si>
    <t>外资房地产基金</t>
  </si>
  <si>
    <t>绿地集团</t>
  </si>
  <si>
    <t>未知</t>
    <phoneticPr fontId="249" type="noConversion"/>
  </si>
  <si>
    <t>未公开</t>
  </si>
  <si>
    <t>2018年</t>
    <phoneticPr fontId="249" type="noConversion"/>
  </si>
  <si>
    <t>星港国际中心</t>
    <phoneticPr fontId="249" type="noConversion"/>
  </si>
  <si>
    <t>海门路55号地块</t>
    <phoneticPr fontId="249" type="noConversion"/>
  </si>
  <si>
    <t>内环内</t>
    <phoneticPr fontId="249" type="noConversion"/>
  </si>
  <si>
    <t>综合体</t>
    <phoneticPr fontId="249" type="noConversion"/>
  </si>
  <si>
    <t>凯德/GIC</t>
  </si>
  <si>
    <t>外资房地产基金</t>
    <phoneticPr fontId="249" type="noConversion"/>
  </si>
  <si>
    <t>上港集团</t>
  </si>
  <si>
    <t>国企机构</t>
    <phoneticPr fontId="249" type="noConversion"/>
  </si>
  <si>
    <t>虹口提篮桥星乐汇</t>
    <phoneticPr fontId="249" type="noConversion"/>
  </si>
  <si>
    <t>公平路36号</t>
    <phoneticPr fontId="249" type="noConversion"/>
  </si>
  <si>
    <t>金茂</t>
  </si>
  <si>
    <t>开发商</t>
    <phoneticPr fontId="249" type="noConversion"/>
  </si>
  <si>
    <t>绿地北外滩中心</t>
    <phoneticPr fontId="249" type="noConversion"/>
  </si>
  <si>
    <t>东大名路1050号</t>
    <phoneticPr fontId="249" type="noConversion"/>
  </si>
  <si>
    <t>办公</t>
    <phoneticPr fontId="249" type="noConversion"/>
  </si>
  <si>
    <t>冠海资产</t>
  </si>
  <si>
    <t>民营企业</t>
    <phoneticPr fontId="249" type="noConversion"/>
  </si>
  <si>
    <t>N/A</t>
  </si>
  <si>
    <t>外滩188号商铺</t>
    <phoneticPr fontId="249" type="noConversion"/>
  </si>
  <si>
    <t>商业</t>
    <phoneticPr fontId="249" type="noConversion"/>
  </si>
  <si>
    <t>一方大厦</t>
    <phoneticPr fontId="249" type="noConversion"/>
  </si>
  <si>
    <t>东长治路399号</t>
    <phoneticPr fontId="249" type="noConversion"/>
  </si>
  <si>
    <t>吉宝资本（Alpha）</t>
  </si>
  <si>
    <t>一方集团</t>
  </si>
  <si>
    <t>保利绿地广场B2</t>
    <phoneticPr fontId="249" type="noConversion"/>
  </si>
  <si>
    <t>通北路589号</t>
    <phoneticPr fontId="249" type="noConversion"/>
  </si>
  <si>
    <t>盐城国投</t>
  </si>
  <si>
    <t>保利/绿地</t>
  </si>
  <si>
    <t>2019年</t>
    <phoneticPr fontId="249" type="noConversion"/>
  </si>
  <si>
    <t>上海市杨浦区惠民路379号</t>
  </si>
  <si>
    <t>北外滩</t>
  </si>
  <si>
    <t>中国外汇结算中心</t>
  </si>
  <si>
    <t>机构投资者</t>
  </si>
  <si>
    <t>房地产基金</t>
    <phoneticPr fontId="2" type="noConversion"/>
  </si>
  <si>
    <t>滨江国际广场 2号楼</t>
  </si>
  <si>
    <t>上海市杨浦区杨树浦路1062号</t>
  </si>
  <si>
    <t>北外滩</t>
    <phoneticPr fontId="2" type="noConversion"/>
  </si>
  <si>
    <t>利安保险</t>
    <phoneticPr fontId="249" type="noConversion"/>
  </si>
  <si>
    <t>上海东方明珠实业</t>
  </si>
  <si>
    <t>保利绿地广场A1</t>
  </si>
  <si>
    <t>上海市杨浦区通北路589号</t>
    <phoneticPr fontId="249" type="noConversion"/>
  </si>
  <si>
    <t xml:space="preserve">山西华鑫集团 </t>
    <phoneticPr fontId="249" type="noConversion"/>
  </si>
  <si>
    <t>民营企业</t>
    <phoneticPr fontId="2" type="noConversion"/>
  </si>
  <si>
    <t>保利置业，绿地集团</t>
  </si>
  <si>
    <t>2020年</t>
    <phoneticPr fontId="249" type="noConversion"/>
  </si>
  <si>
    <t>绿地外滩中心T2写字楼及地下车库</t>
    <phoneticPr fontId="249" type="noConversion"/>
  </si>
  <si>
    <t>中山南路998号</t>
  </si>
  <si>
    <t>内环内</t>
    <phoneticPr fontId="249" type="noConversion"/>
  </si>
  <si>
    <t>董家渡</t>
  </si>
  <si>
    <t>办公</t>
    <phoneticPr fontId="249" type="noConversion"/>
  </si>
  <si>
    <t>上海银行</t>
    <phoneticPr fontId="249" type="noConversion"/>
  </si>
  <si>
    <t>绿地</t>
    <phoneticPr fontId="249" type="noConversion"/>
  </si>
  <si>
    <t>上海港国际客运中心-外滩588（美特斯邦威大厦）</t>
    <phoneticPr fontId="249" type="noConversion"/>
  </si>
  <si>
    <t>东大名路588</t>
    <phoneticPr fontId="249" type="noConversion"/>
  </si>
  <si>
    <t>北外滩</t>
    <phoneticPr fontId="2" type="noConversion"/>
  </si>
  <si>
    <t>青山控股</t>
    <phoneticPr fontId="249" type="noConversion"/>
  </si>
  <si>
    <t>民营企业</t>
    <phoneticPr fontId="2" type="noConversion"/>
  </si>
  <si>
    <t>美特斯邦威</t>
    <phoneticPr fontId="249" type="noConversion"/>
  </si>
  <si>
    <t>星外滩17号B栋</t>
    <phoneticPr fontId="249" type="noConversion"/>
  </si>
  <si>
    <t>虹口区杨树浦路188号</t>
    <phoneticPr fontId="249" type="noConversion"/>
  </si>
  <si>
    <t>北外滩</t>
    <phoneticPr fontId="249" type="noConversion"/>
  </si>
  <si>
    <t>CFC</t>
    <phoneticPr fontId="249" type="noConversion"/>
  </si>
  <si>
    <t>中航幸福控股</t>
    <phoneticPr fontId="249" type="noConversion"/>
  </si>
  <si>
    <t>绿地外滩中心A1A2</t>
    <phoneticPr fontId="249" type="noConversion"/>
  </si>
  <si>
    <t>中山南路868号</t>
    <phoneticPr fontId="249" type="noConversion"/>
  </si>
  <si>
    <t>董家渡</t>
    <phoneticPr fontId="249" type="noConversion"/>
  </si>
  <si>
    <t>人保</t>
    <phoneticPr fontId="249" type="noConversion"/>
  </si>
  <si>
    <t>绿地/安信</t>
    <phoneticPr fontId="249" type="noConversion"/>
  </si>
  <si>
    <t>绿地外滩中心T4</t>
    <phoneticPr fontId="249" type="noConversion"/>
  </si>
  <si>
    <t>建信人寿</t>
    <phoneticPr fontId="249" type="noConversion"/>
  </si>
  <si>
    <t>碧桂园中心4号楼</t>
    <phoneticPr fontId="249" type="noConversion"/>
  </si>
  <si>
    <t>杨浦区河间路300号</t>
    <phoneticPr fontId="249" type="noConversion"/>
  </si>
  <si>
    <t>大连路</t>
    <phoneticPr fontId="249" type="noConversion"/>
  </si>
  <si>
    <t>欧昊集团</t>
    <phoneticPr fontId="249" type="noConversion"/>
  </si>
  <si>
    <t>碧桂园</t>
    <phoneticPr fontId="249" type="noConversion"/>
  </si>
  <si>
    <t>上海国际航运服务中心2号楼</t>
    <phoneticPr fontId="249" type="noConversion"/>
  </si>
  <si>
    <t>虹口区公平路18-2号</t>
    <phoneticPr fontId="249" type="noConversion"/>
  </si>
  <si>
    <t>鸿商产业控股</t>
    <phoneticPr fontId="249" type="noConversion"/>
  </si>
  <si>
    <t>首创天阅滨江</t>
    <phoneticPr fontId="249" type="noConversion"/>
  </si>
  <si>
    <t>杨浦区景星路500号</t>
    <phoneticPr fontId="249" type="noConversion"/>
  </si>
  <si>
    <t>杨浦滨江</t>
    <phoneticPr fontId="249" type="noConversion"/>
  </si>
  <si>
    <t>合众人寿</t>
    <phoneticPr fontId="249" type="noConversion"/>
  </si>
  <si>
    <t>首创置业</t>
    <phoneticPr fontId="249" type="noConversion"/>
  </si>
  <si>
    <t>星外滩5号楼</t>
    <phoneticPr fontId="249" type="noConversion"/>
  </si>
  <si>
    <t>百年人寿</t>
    <phoneticPr fontId="249" type="noConversion"/>
  </si>
  <si>
    <t>中科招商</t>
    <phoneticPr fontId="249" type="noConversion"/>
  </si>
  <si>
    <t>2021年</t>
    <phoneticPr fontId="249" type="noConversion"/>
  </si>
  <si>
    <t>绿地外滩中心</t>
    <phoneticPr fontId="249" type="noConversion"/>
  </si>
  <si>
    <t>黄浦区中山南路与会馆码头街交叉路口西南侧</t>
    <phoneticPr fontId="249" type="noConversion"/>
  </si>
  <si>
    <t>齐鲁中泰物业（中泰证券子公司）</t>
    <phoneticPr fontId="249" type="noConversion"/>
  </si>
  <si>
    <t>机构投资者</t>
    <phoneticPr fontId="249" type="noConversion"/>
  </si>
  <si>
    <t>绿地集团</t>
    <phoneticPr fontId="249" type="noConversion"/>
  </si>
  <si>
    <t>开发商</t>
    <phoneticPr fontId="249" type="noConversion"/>
  </si>
  <si>
    <t>绿地外滩中心T4</t>
  </si>
  <si>
    <t>黄浦区中山南路与会馆码头街交叉路口西南侧</t>
    <phoneticPr fontId="249" type="noConversion"/>
  </si>
  <si>
    <t>外滩</t>
  </si>
  <si>
    <t>建信人寿</t>
  </si>
  <si>
    <t>保险</t>
    <phoneticPr fontId="249" type="noConversion"/>
  </si>
  <si>
    <t>大连路</t>
  </si>
  <si>
    <t>某科技企业</t>
  </si>
  <si>
    <t>自用买家</t>
    <phoneticPr fontId="249" type="noConversion"/>
  </si>
  <si>
    <t>东外滩</t>
  </si>
  <si>
    <t>火炬电子</t>
  </si>
  <si>
    <t>碧桂园</t>
  </si>
  <si>
    <t>山金保利金融广场</t>
    <phoneticPr fontId="136" type="noConversion"/>
  </si>
  <si>
    <t>杨浦区长阳路</t>
    <phoneticPr fontId="249" type="noConversion"/>
  </si>
  <si>
    <t>罗曼照明</t>
  </si>
  <si>
    <t>山金金控</t>
  </si>
  <si>
    <t>地方招商办</t>
    <phoneticPr fontId="249" type="noConversion"/>
  </si>
  <si>
    <t>武岳峰集团</t>
  </si>
  <si>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</si>
  <si>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</si>
  <si>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</si>
  <si>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</si>
  <si>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</si>
  <si>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</si>
  <si>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</si>
  <si>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</si>
  <si>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</si>
  <si>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</si>
  <si>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</si>
  <si>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</si>
  <si>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</si>
  <si>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上海</t>
  </si>
  <si>
    <t>杨浦区</t>
  </si>
  <si>
    <t>Q1</t>
  </si>
  <si>
    <t>天域生态</t>
  </si>
  <si>
    <t>上海复旦微电子股份集团有限公司</t>
  </si>
  <si>
    <t>境内股权</t>
  </si>
  <si>
    <t>嘉誉天荟A/B座&amp;4号楼</t>
    <phoneticPr fontId="5" type="noConversion"/>
  </si>
  <si>
    <t>公寓</t>
  </si>
  <si>
    <t>Q3</t>
  </si>
  <si>
    <t>富力</t>
  </si>
  <si>
    <t>翰同资本/Brookfield</t>
  </si>
  <si>
    <t>资产交易</t>
  </si>
  <si>
    <t>2022年杨浦区</t>
    <phoneticPr fontId="136" type="noConversion"/>
  </si>
  <si>
    <r>
      <rPr>
        <sz val="10"/>
        <rFont val="宋体"/>
        <family val="3"/>
        <charset val="134"/>
        <scheme val="minor"/>
      </rPr>
      <t>黄兴大楼</t>
    </r>
  </si>
  <si>
    <r>
      <rPr>
        <sz val="10"/>
        <rFont val="宋体"/>
        <family val="3"/>
        <charset val="134"/>
        <scheme val="minor"/>
      </rPr>
      <t>上海</t>
    </r>
  </si>
  <si>
    <r>
      <rPr>
        <sz val="10"/>
        <rFont val="宋体"/>
        <family val="3"/>
        <charset val="134"/>
        <scheme val="minor"/>
      </rPr>
      <t>杨浦区</t>
    </r>
  </si>
  <si>
    <r>
      <rPr>
        <sz val="10"/>
        <rFont val="宋体"/>
        <family val="3"/>
        <charset val="134"/>
        <scheme val="minor"/>
      </rPr>
      <t>公寓</t>
    </r>
  </si>
  <si>
    <r>
      <rPr>
        <sz val="10"/>
        <rFont val="宋体"/>
        <family val="3"/>
        <charset val="134"/>
        <scheme val="minor"/>
      </rPr>
      <t>Q4</t>
    </r>
  </si>
  <si>
    <r>
      <rPr>
        <sz val="10"/>
        <rFont val="宋体"/>
        <family val="3"/>
        <charset val="134"/>
        <scheme val="minor"/>
      </rPr>
      <t>朗诗</t>
    </r>
  </si>
  <si>
    <r>
      <rPr>
        <sz val="10"/>
        <rFont val="宋体"/>
        <family val="3"/>
        <charset val="134"/>
        <scheme val="minor"/>
      </rPr>
      <t>Lasalle</t>
    </r>
  </si>
  <si>
    <r>
      <rPr>
        <sz val="10"/>
        <rFont val="宋体"/>
        <family val="3"/>
        <charset val="134"/>
        <scheme val="minor"/>
      </rPr>
      <t>境内股权</t>
    </r>
  </si>
  <si>
    <t>一般</t>
  </si>
  <si>
    <t>较好</t>
  </si>
  <si>
    <t>五通</t>
  </si>
  <si>
    <t>好</t>
  </si>
  <si>
    <t>比较法-办公</t>
  </si>
  <si>
    <t>此处三个案例为文通大厦同一天成交的三个同楼层案例</t>
    <phoneticPr fontId="136" type="noConversion"/>
  </si>
  <si>
    <t>单价为34000元/平方米</t>
    <phoneticPr fontId="136" type="noConversion"/>
  </si>
  <si>
    <t>此外一手新房近两年还有山金保利金融广场、碧桂园广场，价格如下表图，如需要的话我可以单独截出来</t>
    <phoneticPr fontId="136" type="noConversion"/>
  </si>
  <si>
    <t>区域</t>
  </si>
  <si>
    <t>板块</t>
  </si>
  <si>
    <t>环线</t>
  </si>
  <si>
    <t>楼盘名称</t>
  </si>
  <si>
    <t>地址</t>
  </si>
  <si>
    <t>均价(元)</t>
  </si>
  <si>
    <t>面积</t>
  </si>
  <si>
    <t>总价(万元)</t>
  </si>
  <si>
    <t>签约日期</t>
  </si>
  <si>
    <t>杨浦</t>
  </si>
  <si>
    <t>内环以内</t>
  </si>
  <si>
    <t>杨树浦路1192号</t>
  </si>
  <si>
    <t>商品房</t>
  </si>
  <si>
    <t>杨树浦路1196号</t>
  </si>
  <si>
    <t>宁国路397号</t>
  </si>
  <si>
    <t>内中环间</t>
  </si>
  <si>
    <t>环创商务中心</t>
  </si>
  <si>
    <t>顺平路916号</t>
  </si>
  <si>
    <t>新兴商务中心</t>
  </si>
  <si>
    <t>荆州路3号</t>
  </si>
  <si>
    <t>荆州路29号</t>
  </si>
  <si>
    <t>顺平路910号</t>
  </si>
  <si>
    <t>文通国际广场商办</t>
  </si>
  <si>
    <t>贵阳路398号</t>
  </si>
  <si>
    <t>海尚大厦</t>
  </si>
  <si>
    <t>内江路2_2号</t>
  </si>
  <si>
    <t>文通大厦</t>
  </si>
  <si>
    <t>昆明路739号</t>
  </si>
  <si>
    <t>内江路2_1号</t>
  </si>
  <si>
    <t>通北路699号</t>
  </si>
  <si>
    <t>复旦软件园</t>
  </si>
  <si>
    <t>隆昌路588_3号</t>
  </si>
  <si>
    <t>杨树浦路1196号1层</t>
    <phoneticPr fontId="136" type="noConversion"/>
  </si>
  <si>
    <t>商铺</t>
  </si>
  <si>
    <t>荆州路29号1层</t>
    <phoneticPr fontId="136" type="noConversion"/>
  </si>
  <si>
    <t>荆州路19号1层</t>
    <phoneticPr fontId="136" type="noConversion"/>
  </si>
  <si>
    <t>杨树浦路2855号1层</t>
    <phoneticPr fontId="136" type="noConversion"/>
  </si>
  <si>
    <t>杨树浦路2869号1层</t>
    <phoneticPr fontId="136" type="noConversion"/>
  </si>
  <si>
    <t>杨树浦路2885号1层</t>
    <phoneticPr fontId="136" type="noConversion"/>
  </si>
  <si>
    <t>杨树浦路2865号1层</t>
    <phoneticPr fontId="136" type="noConversion"/>
  </si>
  <si>
    <t>杨树浦路2879号1层</t>
    <phoneticPr fontId="136" type="noConversion"/>
  </si>
  <si>
    <t>杨树浦路1192号1层</t>
    <phoneticPr fontId="136" type="noConversion"/>
  </si>
  <si>
    <t>荆州路7号1_2层</t>
    <phoneticPr fontId="136" type="noConversion"/>
  </si>
  <si>
    <t>紫华佳苑</t>
  </si>
  <si>
    <t>双阳路86号1_2层</t>
    <phoneticPr fontId="136" type="noConversion"/>
  </si>
  <si>
    <t>双阳路80号1_2层</t>
    <phoneticPr fontId="136" type="noConversion"/>
  </si>
  <si>
    <t>双阳路82号1_2层</t>
    <phoneticPr fontId="136" type="noConversion"/>
  </si>
  <si>
    <t>双阳路58号1_2层</t>
    <phoneticPr fontId="136" type="noConversion"/>
  </si>
  <si>
    <t>双阳路84号1_2层</t>
    <phoneticPr fontId="136" type="noConversion"/>
  </si>
  <si>
    <t>双阳路88号1_2层</t>
    <phoneticPr fontId="136" type="noConversion"/>
  </si>
  <si>
    <t>双阳路56号1_2层</t>
    <phoneticPr fontId="136" type="noConversion"/>
  </si>
  <si>
    <t>内江路2_1号204</t>
    <phoneticPr fontId="136" type="noConversion"/>
  </si>
  <si>
    <t>内江路2_1号205</t>
    <phoneticPr fontId="136" type="noConversion"/>
  </si>
  <si>
    <t>内江路2_1号201</t>
    <phoneticPr fontId="136" type="noConversion"/>
  </si>
  <si>
    <t>内江路2_1号206</t>
    <phoneticPr fontId="136" type="noConversion"/>
  </si>
  <si>
    <t>内江路2_1号203</t>
    <phoneticPr fontId="136" type="noConversion"/>
  </si>
  <si>
    <t>内江路2_1号202</t>
    <phoneticPr fontId="136" type="noConversion"/>
  </si>
  <si>
    <t>内江路4号1层</t>
    <phoneticPr fontId="136" type="noConversion"/>
  </si>
  <si>
    <t>昆明路739号3层餐厅</t>
    <phoneticPr fontId="136" type="noConversion"/>
  </si>
  <si>
    <t>商业二手房成交较少，没有太合适的案例</t>
    <phoneticPr fontId="136" type="noConversion"/>
  </si>
  <si>
    <t>独栋</t>
    <phoneticPr fontId="33" type="noConversion"/>
  </si>
  <si>
    <t>办公楼</t>
    <phoneticPr fontId="33" type="noConversion"/>
  </si>
  <si>
    <t>光大安石中心D/F3栋办公</t>
    <phoneticPr fontId="136" type="noConversion"/>
  </si>
  <si>
    <t>5.5-8.5</t>
    <phoneticPr fontId="136" type="noConversion"/>
  </si>
  <si>
    <t>利息：取LPR加浮动点数</t>
  </si>
  <si>
    <t>2023年</t>
    <phoneticPr fontId="136" type="noConversion"/>
  </si>
  <si>
    <t>临港浦江科技广场</t>
    <phoneticPr fontId="136" type="noConversion"/>
  </si>
  <si>
    <t>闵行</t>
    <phoneticPr fontId="136" type="noConversion"/>
  </si>
  <si>
    <t>写字楼</t>
    <phoneticPr fontId="136" type="noConversion"/>
  </si>
  <si>
    <t>交易时间</t>
    <phoneticPr fontId="5" type="noConversion"/>
  </si>
  <si>
    <t>交易类型</t>
    <phoneticPr fontId="5" type="noConversion"/>
  </si>
  <si>
    <t>资产交易</t>
    <phoneticPr fontId="136" type="noConversion"/>
  </si>
  <si>
    <t>交易对价</t>
    <phoneticPr fontId="5" type="noConversion"/>
  </si>
  <si>
    <t>成交单价</t>
    <phoneticPr fontId="136" type="noConversion"/>
  </si>
  <si>
    <t>买家</t>
    <phoneticPr fontId="136" type="noConversion"/>
  </si>
  <si>
    <t>上海凯淳实业股份有限公司</t>
    <phoneticPr fontId="136" type="noConversion"/>
  </si>
  <si>
    <t>尚浦中心</t>
    <phoneticPr fontId="136" type="noConversion"/>
  </si>
  <si>
    <t>杨浦</t>
    <phoneticPr fontId="136" type="noConversion"/>
  </si>
  <si>
    <t>凯德投资</t>
    <phoneticPr fontId="136" type="noConversion"/>
  </si>
  <si>
    <t>上海市杨浦区惠民路379号</t>
    <phoneticPr fontId="249" type="noConversion"/>
  </si>
  <si>
    <t>碧桂园广场</t>
    <phoneticPr fontId="136" type="noConversion"/>
  </si>
  <si>
    <t>绿地创驿大厦A塔楼</t>
    <phoneticPr fontId="5" type="noConversion"/>
  </si>
  <si>
    <t>浦东新区</t>
  </si>
  <si>
    <t>Q2</t>
  </si>
  <si>
    <t>上海地产</t>
  </si>
  <si>
    <t>浙商银行</t>
  </si>
  <si>
    <t>https://baijiahao.baidu.com/s?id=1728801307421002586&amp;wfr=spider&amp;for=pc</t>
    <phoneticPr fontId="136" type="noConversion"/>
  </si>
  <si>
    <t>佳兆业金融中心</t>
    <phoneticPr fontId="5" type="noConversion"/>
  </si>
  <si>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</si>
  <si>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</si>
  <si>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</si>
  <si>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</si>
  <si>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</si>
  <si>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</si>
  <si>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</si>
  <si>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t>https://baijiahao.baidu.com/s?id=1736961932072677250&amp;wfr=spider&amp;for=pc</t>
    <phoneticPr fontId="136" type="noConversion"/>
  </si>
  <si>
    <t>上实中心北外滩</t>
    <phoneticPr fontId="5" type="noConversion"/>
  </si>
  <si>
    <r>
      <rPr>
        <sz val="8"/>
        <rFont val="宋体"/>
        <family val="3"/>
        <charset val="134"/>
        <scheme val="minor"/>
      </rPr>
      <t>虹口区</t>
    </r>
  </si>
  <si>
    <r>
      <rPr>
        <sz val="8"/>
        <rFont val="宋体"/>
        <family val="3"/>
        <charset val="134"/>
        <scheme val="minor"/>
      </rPr>
      <t>Q4</t>
    </r>
  </si>
  <si>
    <r>
      <rPr>
        <sz val="8"/>
        <rFont val="宋体"/>
        <family val="3"/>
        <charset val="134"/>
        <scheme val="minor"/>
      </rPr>
      <t>AIA</t>
    </r>
  </si>
  <si>
    <t>https://baijiahao.baidu.com/s?id=1752653698886018189&amp;wfr=spider&amp;for=pc</t>
  </si>
  <si>
    <t>https://baijiahao.baidu.com/s?id=1759066427201666857&amp;wfr=spider&amp;for=pc</t>
  </si>
  <si>
    <t>上海实业集团</t>
    <phoneticPr fontId="136" type="noConversion"/>
  </si>
  <si>
    <t>https://www.xiaohongshu.com/explore/63a159670000000022038545</t>
    <phoneticPr fontId="136" type="noConversion"/>
  </si>
  <si>
    <t>2层</t>
    <phoneticPr fontId="136" type="noConversion"/>
  </si>
  <si>
    <r>
      <t>3</t>
    </r>
    <r>
      <rPr>
        <sz val="11"/>
        <color theme="1"/>
        <rFont val="宋体"/>
        <family val="3"/>
        <charset val="134"/>
        <scheme val="minor"/>
      </rPr>
      <t>.5-4</t>
    </r>
    <phoneticPr fontId="136" type="noConversion"/>
  </si>
  <si>
    <t>1层</t>
    <phoneticPr fontId="136" type="noConversion"/>
  </si>
  <si>
    <t>5.5-8</t>
    <phoneticPr fontId="136" type="noConversion"/>
  </si>
  <si>
    <t>湾谷科技园12号楼/15号楼部分</t>
    <phoneticPr fontId="136" type="noConversion"/>
  </si>
  <si>
    <t>湾谷科技园</t>
    <phoneticPr fontId="5" type="noConversion"/>
  </si>
  <si>
    <t>临港浦江科技广场</t>
    <phoneticPr fontId="5" type="noConversion"/>
  </si>
  <si>
    <t>君康金融广场</t>
    <phoneticPr fontId="5" type="noConversion"/>
  </si>
  <si>
    <t>钢混</t>
    <phoneticPr fontId="33" type="noConversion"/>
  </si>
  <si>
    <t>砖混</t>
    <phoneticPr fontId="33" type="noConversion"/>
  </si>
  <si>
    <t>精装修</t>
    <phoneticPr fontId="33" type="noConversion"/>
  </si>
  <si>
    <t>普通装修</t>
  </si>
  <si>
    <t>普通装修</t>
    <phoneticPr fontId="33" type="noConversion"/>
  </si>
  <si>
    <t>简单装修</t>
    <phoneticPr fontId="33" type="noConversion"/>
  </si>
  <si>
    <t>正常</t>
    <phoneticPr fontId="33" type="noConversion"/>
  </si>
  <si>
    <t>五通</t>
    <phoneticPr fontId="33" type="noConversion"/>
  </si>
  <si>
    <t>物业公司管理</t>
  </si>
  <si>
    <t>物业公司管理</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</si>
</sst>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_ ;_ * \-#,##0_ ;_ * &quot;-&quot;??_ ;_ @_ "/>
    <numFmt numFmtId="198" formatCode="_(* #,##0_);_(* \(#,##0\);_(* &quot;-&quot;_);_(@_)"/>
  </numFmts>
  <fonts count="29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b/>
      <sz val="9"/>
      <color theme="1"/>
      <name val="等线"/>
      <family val="3"/>
      <charset val="134"/>
    </font>
    <font>
      <b/>
      <sz val="9"/>
      <color indexed="8"/>
      <name val="等线"/>
      <family val="3"/>
      <charset val="134"/>
    </font>
    <font>
      <sz val="9"/>
      <color theme="1"/>
      <name val="等线"/>
      <family val="3"/>
      <charset val="134"/>
    </font>
    <font>
      <sz val="9"/>
      <name val="等线"/>
      <family val="3"/>
      <charset val="134"/>
    </font>
    <font>
      <sz val="9"/>
      <color theme="1"/>
      <name val="宋体"/>
      <family val="3"/>
      <charset val="134"/>
    </font>
    <font>
      <sz val="9"/>
      <color rgb="FFFF0000"/>
      <name val="宋体"/>
      <family val="3"/>
      <charset val="134"/>
    </font>
    <font>
      <sz val="9"/>
      <color rgb="FF000000"/>
      <name val="宋体"/>
      <family val="3"/>
      <charset val="134"/>
    </font>
    <font>
      <b/>
      <sz val="9"/>
      <color rgb="FF000000"/>
      <name val="宋体"/>
      <family val="3"/>
      <charset val="134"/>
    </font>
    <font>
      <b/>
      <sz val="9"/>
      <name val="宋体"/>
      <family val="3"/>
      <charset val="134"/>
    </font>
    <font>
      <sz val="11"/>
      <color theme="1"/>
      <name val="宋体"/>
      <family val="3"/>
      <charset val="134"/>
      <scheme val="minor"/>
    </font>
    <font>
      <b/>
      <sz val="10"/>
      <color theme="1"/>
      <name val="华文细黑"/>
      <family val="3"/>
      <charset val="134"/>
    </font>
    <font>
      <sz val="10"/>
      <color theme="1"/>
      <name val="华文细黑"/>
      <family val="3"/>
      <charset val="134"/>
    </font>
    <font>
      <sz val="10"/>
      <color theme="1"/>
      <name val="等线"/>
      <family val="3"/>
      <charset val="134"/>
    </font>
    <font>
      <sz val="10"/>
      <color indexed="8"/>
      <name val="等线"/>
      <family val="3"/>
      <charset val="134"/>
    </font>
    <font>
      <sz val="10"/>
      <color rgb="FF000000"/>
      <name val="宋体"/>
      <family val="3"/>
      <charset val="134"/>
      <scheme val="minor"/>
    </font>
    <font>
      <sz val="10"/>
      <name val="宋体"/>
      <family val="3"/>
      <charset val="134"/>
      <scheme val="minor"/>
    </font>
    <font>
      <b/>
      <sz val="11"/>
      <name val="微软雅黑"/>
      <family val="2"/>
      <charset val="134"/>
    </font>
    <font>
      <sz val="11"/>
      <name val="宋体"/>
      <family val="2"/>
      <scheme val="minor"/>
    </font>
    <font>
      <sz val="8"/>
      <color rgb="FF000000"/>
      <name val="宋体"/>
      <family val="3"/>
      <charset val="134"/>
      <scheme val="minor"/>
    </font>
    <font>
      <u/>
      <sz val="11"/>
      <color theme="10"/>
      <name val="宋体"/>
      <family val="3"/>
      <charset val="134"/>
      <scheme val="minor"/>
    </font>
    <font>
      <sz val="8"/>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FFFFFF"/>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dashed">
        <color auto="1"/>
      </right>
      <top style="thin">
        <color auto="1"/>
      </top>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thin">
        <color auto="1"/>
      </left>
      <right style="thin">
        <color auto="1"/>
      </right>
      <top style="dashed">
        <color auto="1"/>
      </top>
      <bottom/>
      <diagonal/>
    </border>
    <border>
      <left style="thin">
        <color auto="1"/>
      </left>
      <right style="thin">
        <color auto="1"/>
      </right>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43" fontId="97" fillId="0" borderId="0" applyFont="0" applyFill="0" applyBorder="0" applyAlignment="0" applyProtection="0">
      <alignment vertical="center"/>
    </xf>
    <xf numFmtId="191" fontId="97" fillId="0" borderId="0">
      <alignment vertical="center"/>
    </xf>
    <xf numFmtId="191" fontId="97" fillId="0" borderId="0">
      <alignment vertical="center"/>
    </xf>
    <xf numFmtId="43" fontId="38" fillId="0" borderId="0" applyFont="0" applyFill="0" applyBorder="0" applyAlignment="0" applyProtection="0"/>
    <xf numFmtId="43" fontId="281" fillId="0" borderId="0" applyFont="0" applyFill="0" applyBorder="0" applyAlignment="0" applyProtection="0">
      <alignment vertical="center"/>
    </xf>
    <xf numFmtId="0" fontId="291" fillId="0" borderId="0" applyNumberFormat="0" applyFill="0" applyBorder="0" applyAlignment="0" applyProtection="0">
      <alignment vertical="center"/>
    </xf>
  </cellStyleXfs>
  <cellXfs count="369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0" borderId="0" xfId="10">
      <alignment vertical="center"/>
    </xf>
    <xf numFmtId="0" fontId="109" fillId="0" borderId="0" xfId="10" applyFont="1" applyAlignment="1">
      <alignment horizontal="center" vertical="center"/>
    </xf>
    <xf numFmtId="0" fontId="109" fillId="0" borderId="1" xfId="10" applyFont="1" applyBorder="1" applyAlignment="1">
      <alignment horizontal="center" vertical="center"/>
    </xf>
    <xf numFmtId="0" fontId="271" fillId="5" borderId="1" xfId="10" applyFont="1" applyFill="1" applyBorder="1" applyAlignment="1">
      <alignment horizontal="center" vertical="center"/>
    </xf>
    <xf numFmtId="2" fontId="109" fillId="0" borderId="0" xfId="10" applyNumberFormat="1" applyFont="1" applyAlignment="1">
      <alignment horizontal="center" vertical="center"/>
    </xf>
    <xf numFmtId="0" fontId="46" fillId="0" borderId="24" xfId="10" applyFont="1" applyBorder="1" applyAlignment="1" applyProtection="1">
      <alignment horizontal="center" vertical="center"/>
      <protection locked="0"/>
    </xf>
    <xf numFmtId="0" fontId="49" fillId="0" borderId="1" xfId="10" applyFont="1" applyBorder="1" applyAlignment="1" applyProtection="1">
      <alignment horizontal="center" vertical="center" wrapText="1"/>
      <protection locked="0"/>
    </xf>
    <xf numFmtId="0" fontId="109" fillId="0" borderId="58" xfId="10" applyFont="1" applyBorder="1" applyAlignment="1">
      <alignment horizontal="center" vertical="center"/>
    </xf>
    <xf numFmtId="177" fontId="49" fillId="0" borderId="1" xfId="1" applyNumberFormat="1" applyFont="1" applyBorder="1" applyProtection="1">
      <alignment vertical="center"/>
      <protection locked="0" hidden="1"/>
    </xf>
    <xf numFmtId="177" fontId="79" fillId="0" borderId="1" xfId="1" applyNumberFormat="1" applyFont="1" applyBorder="1" applyProtection="1">
      <alignment vertical="center"/>
      <protection locked="0" hidden="1"/>
    </xf>
    <xf numFmtId="49" fontId="272" fillId="22" borderId="1" xfId="20" applyNumberFormat="1" applyFont="1" applyFill="1" applyBorder="1" applyAlignment="1">
      <alignment horizontal="center" vertical="center"/>
    </xf>
    <xf numFmtId="191" fontId="272" fillId="22" borderId="1" xfId="20" applyFont="1" applyFill="1" applyBorder="1" applyAlignment="1">
      <alignment horizontal="center" vertical="center" wrapText="1"/>
    </xf>
    <xf numFmtId="176" fontId="272" fillId="22" borderId="1" xfId="20" applyNumberFormat="1" applyFont="1" applyFill="1" applyBorder="1" applyAlignment="1">
      <alignment horizontal="center" vertical="center"/>
    </xf>
    <xf numFmtId="43" fontId="272" fillId="22" borderId="1" xfId="22" applyFont="1" applyFill="1" applyBorder="1" applyAlignment="1">
      <alignment horizontal="center" vertical="center" wrapText="1"/>
    </xf>
    <xf numFmtId="191" fontId="272" fillId="22" borderId="1" xfId="20" applyFont="1" applyFill="1" applyBorder="1" applyAlignment="1">
      <alignment horizontal="center" vertical="center"/>
    </xf>
    <xf numFmtId="0" fontId="274" fillId="0" borderId="0" xfId="20" applyNumberFormat="1" applyFont="1">
      <alignment vertical="center"/>
    </xf>
    <xf numFmtId="43" fontId="274" fillId="0" borderId="0" xfId="19" applyFont="1">
      <alignment vertical="center"/>
    </xf>
    <xf numFmtId="191" fontId="274" fillId="0" borderId="0" xfId="20" applyFont="1">
      <alignment vertical="center"/>
    </xf>
    <xf numFmtId="49" fontId="5" fillId="7" borderId="1" xfId="20" applyNumberFormat="1" applyFont="1" applyFill="1" applyBorder="1" applyAlignment="1">
      <alignment horizontal="center" vertical="center"/>
    </xf>
    <xf numFmtId="191" fontId="5" fillId="7" borderId="1" xfId="20" applyFont="1" applyFill="1" applyBorder="1" applyAlignment="1">
      <alignment horizontal="center" vertical="center" wrapText="1"/>
    </xf>
    <xf numFmtId="176" fontId="5" fillId="7" borderId="1" xfId="20" applyNumberFormat="1" applyFont="1" applyFill="1" applyBorder="1" applyAlignment="1">
      <alignment horizontal="center" vertical="center"/>
    </xf>
    <xf numFmtId="196" fontId="5" fillId="7" borderId="1" xfId="20" applyNumberFormat="1" applyFont="1" applyFill="1" applyBorder="1" applyAlignment="1">
      <alignment horizontal="center" vertical="center"/>
    </xf>
    <xf numFmtId="43" fontId="5" fillId="7" borderId="1" xfId="19" applyFont="1" applyFill="1" applyBorder="1" applyAlignment="1">
      <alignment horizontal="center" vertical="center" wrapText="1"/>
    </xf>
    <xf numFmtId="0" fontId="5" fillId="7" borderId="1" xfId="21" applyNumberFormat="1" applyFont="1" applyFill="1" applyBorder="1" applyAlignment="1">
      <alignment horizontal="center" vertical="center" wrapText="1"/>
    </xf>
    <xf numFmtId="191" fontId="275" fillId="0" borderId="1" xfId="20" applyFont="1" applyBorder="1">
      <alignment vertical="center"/>
    </xf>
    <xf numFmtId="0" fontId="275" fillId="0" borderId="0" xfId="20" applyNumberFormat="1" applyFont="1">
      <alignment vertical="center"/>
    </xf>
    <xf numFmtId="43" fontId="275" fillId="0" borderId="0" xfId="19" applyFont="1">
      <alignment vertical="center"/>
    </xf>
    <xf numFmtId="191" fontId="275" fillId="0" borderId="0" xfId="20" applyFont="1">
      <alignment vertical="center"/>
    </xf>
    <xf numFmtId="49" fontId="276" fillId="7" borderId="13" xfId="20" applyNumberFormat="1" applyFont="1" applyFill="1" applyBorder="1" applyAlignment="1">
      <alignment horizontal="center" vertical="center" wrapText="1"/>
    </xf>
    <xf numFmtId="191" fontId="276" fillId="7" borderId="176" xfId="20" applyFont="1" applyFill="1" applyBorder="1" applyAlignment="1">
      <alignment horizontal="center" vertical="center" wrapText="1"/>
    </xf>
    <xf numFmtId="191" fontId="277" fillId="7" borderId="177" xfId="20" applyFont="1" applyFill="1" applyBorder="1" applyAlignment="1">
      <alignment horizontal="center" vertical="center" wrapText="1"/>
    </xf>
    <xf numFmtId="176" fontId="276" fillId="7" borderId="1" xfId="20" applyNumberFormat="1" applyFont="1" applyFill="1" applyBorder="1" applyAlignment="1">
      <alignment horizontal="center" vertical="center"/>
    </xf>
    <xf numFmtId="43" fontId="276" fillId="7" borderId="1" xfId="19" applyFont="1" applyFill="1" applyBorder="1" applyAlignment="1">
      <alignment horizontal="center" vertical="center"/>
    </xf>
    <xf numFmtId="0" fontId="276" fillId="7" borderId="1" xfId="20" applyNumberFormat="1" applyFont="1" applyFill="1" applyBorder="1" applyAlignment="1">
      <alignment horizontal="center" vertical="center" wrapText="1"/>
    </xf>
    <xf numFmtId="43" fontId="276" fillId="7" borderId="1" xfId="19" applyFont="1" applyFill="1" applyBorder="1" applyAlignment="1">
      <alignment horizontal="center" vertical="center" wrapText="1"/>
    </xf>
    <xf numFmtId="191" fontId="276" fillId="7" borderId="1" xfId="20" applyFont="1" applyFill="1" applyBorder="1" applyAlignment="1">
      <alignment horizontal="center" vertical="center" wrapText="1"/>
    </xf>
    <xf numFmtId="191" fontId="274" fillId="5" borderId="1" xfId="20" applyFont="1" applyFill="1" applyBorder="1">
      <alignment vertical="center"/>
    </xf>
    <xf numFmtId="0" fontId="274" fillId="5" borderId="0" xfId="20" applyNumberFormat="1" applyFont="1" applyFill="1">
      <alignment vertical="center"/>
    </xf>
    <xf numFmtId="43" fontId="274" fillId="5" borderId="0" xfId="19" applyFont="1" applyFill="1">
      <alignment vertical="center"/>
    </xf>
    <xf numFmtId="191" fontId="274" fillId="5" borderId="0" xfId="20" applyFont="1" applyFill="1">
      <alignment vertical="center"/>
    </xf>
    <xf numFmtId="49" fontId="276" fillId="7" borderId="15" xfId="20" applyNumberFormat="1" applyFont="1" applyFill="1" applyBorder="1" applyAlignment="1">
      <alignment horizontal="center" vertical="center" wrapText="1"/>
    </xf>
    <xf numFmtId="191" fontId="277" fillId="7" borderId="1" xfId="20" applyFont="1" applyFill="1" applyBorder="1" applyAlignment="1">
      <alignment horizontal="center" vertical="center" wrapText="1"/>
    </xf>
    <xf numFmtId="176" fontId="274" fillId="5" borderId="1" xfId="20" applyNumberFormat="1" applyFont="1" applyFill="1" applyBorder="1">
      <alignment vertical="center"/>
    </xf>
    <xf numFmtId="191" fontId="180" fillId="23" borderId="1" xfId="20" applyFont="1" applyFill="1" applyBorder="1" applyAlignment="1">
      <alignment horizontal="center" vertical="center"/>
    </xf>
    <xf numFmtId="176" fontId="180" fillId="23" borderId="1" xfId="20" applyNumberFormat="1" applyFont="1" applyFill="1" applyBorder="1" applyAlignment="1">
      <alignment horizontal="center" vertical="center"/>
    </xf>
    <xf numFmtId="176" fontId="180" fillId="23" borderId="2" xfId="20" applyNumberFormat="1" applyFont="1" applyFill="1" applyBorder="1" applyAlignment="1">
      <alignment horizontal="center" vertical="center"/>
    </xf>
    <xf numFmtId="0" fontId="180" fillId="23" borderId="178" xfId="20" applyNumberFormat="1" applyFont="1" applyFill="1" applyBorder="1" applyAlignment="1">
      <alignment horizontal="center" vertical="center"/>
    </xf>
    <xf numFmtId="191" fontId="180" fillId="23" borderId="2" xfId="20" applyFont="1" applyFill="1" applyBorder="1" applyAlignment="1">
      <alignment horizontal="center" vertical="center" wrapText="1"/>
    </xf>
    <xf numFmtId="43" fontId="180" fillId="23" borderId="178" xfId="19" applyFont="1" applyFill="1" applyBorder="1" applyAlignment="1">
      <alignment horizontal="center" vertical="center" wrapText="1"/>
    </xf>
    <xf numFmtId="191" fontId="180" fillId="23" borderId="2" xfId="20" applyFont="1" applyFill="1" applyBorder="1" applyAlignment="1">
      <alignment horizontal="center" vertical="center"/>
    </xf>
    <xf numFmtId="191" fontId="274" fillId="23" borderId="1" xfId="20" applyFont="1" applyFill="1" applyBorder="1">
      <alignment vertical="center"/>
    </xf>
    <xf numFmtId="49" fontId="276" fillId="7" borderId="1" xfId="20" applyNumberFormat="1" applyFont="1" applyFill="1" applyBorder="1" applyAlignment="1">
      <alignment horizontal="center" vertical="center"/>
    </xf>
    <xf numFmtId="0" fontId="276" fillId="7" borderId="1" xfId="20" applyNumberFormat="1" applyFont="1" applyFill="1" applyBorder="1" applyAlignment="1">
      <alignment horizontal="center" vertical="center"/>
    </xf>
    <xf numFmtId="191" fontId="277" fillId="7" borderId="1" xfId="20" applyFont="1" applyFill="1" applyBorder="1" applyAlignment="1">
      <alignment horizontal="center" vertical="center"/>
    </xf>
    <xf numFmtId="0" fontId="278" fillId="7" borderId="1" xfId="20" applyNumberFormat="1" applyFont="1" applyFill="1" applyBorder="1" applyAlignment="1">
      <alignment horizontal="center" vertical="center" wrapText="1"/>
    </xf>
    <xf numFmtId="43" fontId="276" fillId="7" borderId="177" xfId="19" applyFont="1" applyFill="1" applyBorder="1" applyAlignment="1">
      <alignment horizontal="center" vertical="center" wrapText="1"/>
    </xf>
    <xf numFmtId="191" fontId="276" fillId="7" borderId="1" xfId="20" applyFont="1" applyFill="1" applyBorder="1" applyAlignment="1">
      <alignment horizontal="center" vertical="center"/>
    </xf>
    <xf numFmtId="191" fontId="274" fillId="0" borderId="1" xfId="20" applyFont="1" applyBorder="1">
      <alignment vertical="center"/>
    </xf>
    <xf numFmtId="191" fontId="276" fillId="7" borderId="13" xfId="20" applyFont="1" applyFill="1" applyBorder="1" applyAlignment="1">
      <alignment horizontal="center" vertical="center" wrapText="1"/>
    </xf>
    <xf numFmtId="176" fontId="276" fillId="7" borderId="13" xfId="20" applyNumberFormat="1" applyFont="1" applyFill="1" applyBorder="1" applyAlignment="1">
      <alignment horizontal="center" vertical="center"/>
    </xf>
    <xf numFmtId="0" fontId="182" fillId="23" borderId="1" xfId="20" applyNumberFormat="1" applyFont="1" applyFill="1" applyBorder="1" applyAlignment="1">
      <alignment horizontal="center" vertical="center" wrapText="1"/>
    </xf>
    <xf numFmtId="191" fontId="180" fillId="23" borderId="1" xfId="20" applyFont="1" applyFill="1" applyBorder="1" applyAlignment="1">
      <alignment horizontal="center" vertical="center" wrapText="1"/>
    </xf>
    <xf numFmtId="43" fontId="180" fillId="23" borderId="177" xfId="19" applyFont="1" applyFill="1" applyBorder="1" applyAlignment="1">
      <alignment horizontal="center" vertical="center" wrapText="1"/>
    </xf>
    <xf numFmtId="191" fontId="278" fillId="7" borderId="1" xfId="20" applyFont="1" applyFill="1" applyBorder="1" applyAlignment="1">
      <alignment horizontal="center" vertical="center" wrapText="1"/>
    </xf>
    <xf numFmtId="43" fontId="276" fillId="7" borderId="177" xfId="19" applyFont="1" applyFill="1" applyBorder="1" applyAlignment="1">
      <alignment horizontal="center" vertical="center"/>
    </xf>
    <xf numFmtId="176" fontId="274" fillId="0" borderId="1" xfId="20" applyNumberFormat="1" applyFont="1" applyBorder="1">
      <alignment vertical="center"/>
    </xf>
    <xf numFmtId="191" fontId="278" fillId="7" borderId="13" xfId="20" applyFont="1" applyFill="1" applyBorder="1" applyAlignment="1">
      <alignment horizontal="center" vertical="center" wrapText="1"/>
    </xf>
    <xf numFmtId="49" fontId="276" fillId="7" borderId="13" xfId="20" applyNumberFormat="1" applyFont="1" applyFill="1" applyBorder="1" applyAlignment="1">
      <alignment horizontal="center" vertical="center"/>
    </xf>
    <xf numFmtId="0" fontId="276" fillId="7" borderId="13" xfId="20" applyNumberFormat="1" applyFont="1" applyFill="1" applyBorder="1" applyAlignment="1">
      <alignment horizontal="center" vertical="center"/>
    </xf>
    <xf numFmtId="0" fontId="278" fillId="7" borderId="13" xfId="20" applyNumberFormat="1" applyFont="1" applyFill="1" applyBorder="1" applyAlignment="1">
      <alignment horizontal="center" vertical="center" wrapText="1"/>
    </xf>
    <xf numFmtId="43" fontId="276" fillId="7" borderId="181" xfId="19" applyFont="1" applyFill="1" applyBorder="1" applyAlignment="1">
      <alignment horizontal="center" vertical="center" wrapText="1"/>
    </xf>
    <xf numFmtId="191" fontId="276" fillId="7" borderId="13" xfId="20" applyFont="1" applyFill="1" applyBorder="1" applyAlignment="1">
      <alignment horizontal="center" vertical="center"/>
    </xf>
    <xf numFmtId="49" fontId="276" fillId="7" borderId="2" xfId="20" applyNumberFormat="1" applyFont="1" applyFill="1" applyBorder="1" applyAlignment="1">
      <alignment horizontal="center" vertical="center"/>
    </xf>
    <xf numFmtId="0" fontId="276" fillId="7" borderId="2" xfId="20" applyNumberFormat="1" applyFont="1" applyFill="1" applyBorder="1" applyAlignment="1">
      <alignment horizontal="center" vertical="center"/>
    </xf>
    <xf numFmtId="191" fontId="278" fillId="7" borderId="15" xfId="20" applyFont="1" applyFill="1" applyBorder="1" applyAlignment="1">
      <alignment horizontal="center" vertical="center" wrapText="1"/>
    </xf>
    <xf numFmtId="176" fontId="276" fillId="7" borderId="2" xfId="20" applyNumberFormat="1" applyFont="1" applyFill="1" applyBorder="1" applyAlignment="1">
      <alignment horizontal="center" vertical="center"/>
    </xf>
    <xf numFmtId="0" fontId="278" fillId="7" borderId="2" xfId="20" applyNumberFormat="1" applyFont="1" applyFill="1" applyBorder="1" applyAlignment="1">
      <alignment horizontal="center" vertical="center" wrapText="1"/>
    </xf>
    <xf numFmtId="43" fontId="276" fillId="7" borderId="178" xfId="19" applyFont="1" applyFill="1" applyBorder="1" applyAlignment="1">
      <alignment horizontal="center" vertical="center" wrapText="1"/>
    </xf>
    <xf numFmtId="191" fontId="276" fillId="7" borderId="2" xfId="20" applyFont="1" applyFill="1" applyBorder="1" applyAlignment="1">
      <alignment horizontal="center" vertical="center"/>
    </xf>
    <xf numFmtId="191" fontId="180" fillId="23" borderId="13" xfId="20" applyFont="1" applyFill="1" applyBorder="1" applyAlignment="1">
      <alignment horizontal="center" vertical="center"/>
    </xf>
    <xf numFmtId="176" fontId="180" fillId="23" borderId="13" xfId="20" applyNumberFormat="1" applyFont="1" applyFill="1" applyBorder="1" applyAlignment="1">
      <alignment horizontal="center" vertical="center"/>
    </xf>
    <xf numFmtId="0" fontId="182" fillId="23" borderId="13" xfId="20" applyNumberFormat="1" applyFont="1" applyFill="1" applyBorder="1" applyAlignment="1">
      <alignment horizontal="center" vertical="center" wrapText="1"/>
    </xf>
    <xf numFmtId="191" fontId="180" fillId="23" borderId="13" xfId="20" applyFont="1" applyFill="1" applyBorder="1" applyAlignment="1">
      <alignment horizontal="center" vertical="center" wrapText="1"/>
    </xf>
    <xf numFmtId="43" fontId="180" fillId="23" borderId="181" xfId="19" applyFont="1" applyFill="1" applyBorder="1" applyAlignment="1">
      <alignment horizontal="center" vertical="center" wrapText="1"/>
    </xf>
    <xf numFmtId="187" fontId="276" fillId="7" borderId="1" xfId="20" applyNumberFormat="1" applyFont="1" applyFill="1" applyBorder="1" applyAlignment="1">
      <alignment horizontal="center" vertical="center"/>
    </xf>
    <xf numFmtId="191" fontId="180" fillId="23" borderId="15" xfId="20" applyFont="1" applyFill="1" applyBorder="1" applyAlignment="1">
      <alignment horizontal="center" vertical="center"/>
    </xf>
    <xf numFmtId="176" fontId="180" fillId="23" borderId="15" xfId="20" applyNumberFormat="1" applyFont="1" applyFill="1" applyBorder="1" applyAlignment="1">
      <alignment horizontal="center" vertical="center"/>
    </xf>
    <xf numFmtId="0" fontId="182" fillId="23" borderId="15" xfId="20" applyNumberFormat="1" applyFont="1" applyFill="1" applyBorder="1" applyAlignment="1">
      <alignment horizontal="center" vertical="center" wrapText="1"/>
    </xf>
    <xf numFmtId="191" fontId="180" fillId="23" borderId="15" xfId="20" applyFont="1" applyFill="1" applyBorder="1" applyAlignment="1">
      <alignment horizontal="center" vertical="center" wrapText="1"/>
    </xf>
    <xf numFmtId="43" fontId="180" fillId="23" borderId="182" xfId="19" applyFont="1" applyFill="1" applyBorder="1" applyAlignment="1">
      <alignment horizontal="center" vertical="center" wrapText="1"/>
    </xf>
    <xf numFmtId="176" fontId="277" fillId="7" borderId="1" xfId="20" applyNumberFormat="1" applyFont="1" applyFill="1" applyBorder="1" applyAlignment="1">
      <alignment horizontal="center" vertical="center"/>
    </xf>
    <xf numFmtId="185" fontId="277" fillId="7" borderId="1" xfId="20" applyNumberFormat="1" applyFont="1" applyFill="1" applyBorder="1" applyAlignment="1">
      <alignment horizontal="center" vertical="center"/>
    </xf>
    <xf numFmtId="0" fontId="277" fillId="7" borderId="1" xfId="20" applyNumberFormat="1" applyFont="1" applyFill="1" applyBorder="1" applyAlignment="1">
      <alignment horizontal="center" vertical="center" wrapText="1"/>
    </xf>
    <xf numFmtId="191" fontId="279" fillId="7" borderId="1" xfId="20" applyFont="1" applyFill="1" applyBorder="1" applyAlignment="1">
      <alignment horizontal="center" vertical="center" wrapText="1"/>
    </xf>
    <xf numFmtId="0" fontId="182" fillId="23" borderId="2" xfId="20" applyNumberFormat="1" applyFont="1" applyFill="1" applyBorder="1" applyAlignment="1">
      <alignment horizontal="center" vertical="center" wrapText="1"/>
    </xf>
    <xf numFmtId="43" fontId="274" fillId="0" borderId="0" xfId="19" applyFont="1" applyAlignment="1">
      <alignment horizontal="center" vertical="center"/>
    </xf>
    <xf numFmtId="43" fontId="274" fillId="0" borderId="0" xfId="19" applyFont="1" applyAlignment="1">
      <alignment horizontal="center" vertical="center" wrapText="1"/>
    </xf>
    <xf numFmtId="0" fontId="274" fillId="0" borderId="0" xfId="19" applyNumberFormat="1" applyFont="1">
      <alignment vertical="center"/>
    </xf>
    <xf numFmtId="191" fontId="274" fillId="0" borderId="0" xfId="20" applyFont="1" applyAlignment="1">
      <alignment horizontal="center" vertical="center"/>
    </xf>
    <xf numFmtId="0" fontId="274" fillId="0" borderId="0" xfId="20" applyNumberFormat="1" applyFont="1" applyAlignment="1">
      <alignment horizontal="center" vertical="center"/>
    </xf>
    <xf numFmtId="0" fontId="274" fillId="0" borderId="0" xfId="20" applyNumberFormat="1" applyFont="1" applyAlignment="1">
      <alignment horizontal="center" vertical="center" wrapText="1"/>
    </xf>
    <xf numFmtId="191" fontId="274" fillId="0" borderId="0" xfId="20" applyFont="1" applyAlignment="1">
      <alignment horizontal="center" vertical="center" wrapText="1"/>
    </xf>
    <xf numFmtId="191" fontId="274" fillId="24" borderId="0" xfId="20" applyFont="1" applyFill="1" applyAlignment="1">
      <alignment horizontal="center" vertical="center"/>
    </xf>
    <xf numFmtId="0" fontId="0" fillId="0" borderId="0" xfId="0" applyAlignment="1">
      <alignment vertical="center" shrinkToFit="1"/>
    </xf>
    <xf numFmtId="0" fontId="97" fillId="0" borderId="0" xfId="0" applyFont="1" applyAlignment="1">
      <alignment vertical="center" shrinkToFit="1"/>
    </xf>
    <xf numFmtId="0" fontId="79" fillId="12" borderId="0" xfId="0" applyFont="1" applyFill="1" applyProtection="1">
      <alignment vertical="center"/>
      <protection locked="0"/>
    </xf>
    <xf numFmtId="0" fontId="130" fillId="0" borderId="51" xfId="0" applyFont="1" applyBorder="1" applyAlignment="1" applyProtection="1">
      <alignment horizontal="center" vertical="center" wrapText="1"/>
      <protection locked="0"/>
    </xf>
    <xf numFmtId="0" fontId="282" fillId="7" borderId="1" xfId="0" applyFont="1" applyFill="1" applyBorder="1" applyAlignment="1">
      <alignment horizontal="center" vertical="center"/>
    </xf>
    <xf numFmtId="0" fontId="282" fillId="7" borderId="1" xfId="0" applyFont="1" applyFill="1" applyBorder="1" applyAlignment="1">
      <alignment horizontal="left" vertical="center"/>
    </xf>
    <xf numFmtId="0" fontId="282" fillId="0" borderId="1" xfId="0" applyFont="1" applyBorder="1" applyAlignment="1">
      <alignment horizontal="left" vertical="center"/>
    </xf>
    <xf numFmtId="0" fontId="282" fillId="0" borderId="1" xfId="0" applyFont="1" applyBorder="1" applyAlignment="1">
      <alignment horizontal="center" vertical="center"/>
    </xf>
    <xf numFmtId="0" fontId="282" fillId="0" borderId="1" xfId="0" applyFont="1" applyBorder="1" applyAlignment="1">
      <alignment horizontal="right" vertical="center"/>
    </xf>
    <xf numFmtId="0" fontId="109" fillId="0" borderId="0" xfId="0" applyFont="1">
      <alignment vertical="center"/>
    </xf>
    <xf numFmtId="0" fontId="283" fillId="0" borderId="1" xfId="0" applyFont="1" applyBorder="1" applyAlignment="1">
      <alignment horizontal="center" vertical="center"/>
    </xf>
    <xf numFmtId="0" fontId="283" fillId="0" borderId="1" xfId="0" applyFont="1" applyBorder="1" applyAlignment="1">
      <alignment horizontal="left" vertical="center"/>
    </xf>
    <xf numFmtId="41" fontId="283" fillId="0" borderId="1" xfId="0" applyNumberFormat="1" applyFont="1" applyBorder="1" applyAlignment="1">
      <alignment horizontal="right" vertical="center"/>
    </xf>
    <xf numFmtId="197" fontId="283" fillId="0" borderId="1" xfId="0" applyNumberFormat="1" applyFont="1" applyBorder="1" applyAlignment="1">
      <alignment horizontal="right" vertical="center"/>
    </xf>
    <xf numFmtId="3" fontId="283" fillId="0" borderId="1" xfId="0" applyNumberFormat="1" applyFont="1" applyBorder="1" applyAlignment="1">
      <alignment horizontal="right" vertical="center"/>
    </xf>
    <xf numFmtId="176" fontId="283" fillId="0" borderId="1" xfId="0" applyNumberFormat="1" applyFont="1" applyBorder="1" applyAlignment="1">
      <alignment horizontal="center" vertical="center"/>
    </xf>
    <xf numFmtId="198" fontId="283" fillId="0" borderId="1" xfId="0" applyNumberFormat="1" applyFont="1" applyBorder="1" applyAlignment="1">
      <alignment horizontal="right" vertical="center"/>
    </xf>
    <xf numFmtId="198" fontId="283" fillId="0" borderId="1" xfId="0" applyNumberFormat="1" applyFont="1" applyBorder="1">
      <alignment vertical="center"/>
    </xf>
    <xf numFmtId="198" fontId="283" fillId="0" borderId="1" xfId="0" applyNumberFormat="1" applyFont="1" applyBorder="1" applyAlignment="1">
      <alignment horizontal="left" vertical="center"/>
    </xf>
    <xf numFmtId="198" fontId="283" fillId="0" borderId="1" xfId="0" applyNumberFormat="1" applyFont="1" applyBorder="1" applyAlignment="1">
      <alignment horizontal="center" vertical="center"/>
    </xf>
    <xf numFmtId="0" fontId="283" fillId="0" borderId="15" xfId="0" applyFont="1" applyBorder="1" applyAlignment="1">
      <alignment horizontal="center" vertical="center"/>
    </xf>
    <xf numFmtId="0" fontId="283" fillId="0" borderId="1" xfId="0" applyFont="1" applyBorder="1" applyAlignment="1">
      <alignment horizontal="center" vertical="center" wrapText="1"/>
    </xf>
    <xf numFmtId="38" fontId="283" fillId="0" borderId="1" xfId="0" applyNumberFormat="1" applyFont="1" applyBorder="1" applyAlignment="1">
      <alignment horizontal="right" vertical="center"/>
    </xf>
    <xf numFmtId="0" fontId="283" fillId="0" borderId="1" xfId="0" applyFont="1" applyBorder="1" applyAlignment="1">
      <alignment horizontal="left" vertical="center" wrapText="1"/>
    </xf>
    <xf numFmtId="0" fontId="114" fillId="0" borderId="5" xfId="0" applyFont="1" applyBorder="1" applyAlignment="1">
      <alignment horizontal="left"/>
    </xf>
    <xf numFmtId="0" fontId="109" fillId="0" borderId="54" xfId="0" applyFont="1" applyBorder="1" applyAlignment="1">
      <alignment horizontal="left"/>
    </xf>
    <xf numFmtId="0" fontId="109" fillId="0" borderId="3" xfId="0" applyFont="1" applyBorder="1" applyAlignment="1">
      <alignment horizontal="left"/>
    </xf>
    <xf numFmtId="0" fontId="284" fillId="7" borderId="2" xfId="0" applyFont="1" applyFill="1" applyBorder="1" applyAlignment="1">
      <alignment horizontal="left" vertical="center"/>
    </xf>
    <xf numFmtId="0" fontId="284" fillId="0" borderId="2" xfId="0" applyFont="1" applyBorder="1" applyAlignment="1">
      <alignment horizontal="center" vertical="center"/>
    </xf>
    <xf numFmtId="0" fontId="284" fillId="0" borderId="2" xfId="0" applyFont="1" applyBorder="1" applyAlignment="1">
      <alignment horizontal="left" vertical="center"/>
    </xf>
    <xf numFmtId="38" fontId="284" fillId="0" borderId="2" xfId="0" applyNumberFormat="1" applyFont="1" applyBorder="1" applyAlignment="1">
      <alignment horizontal="right" vertical="center"/>
    </xf>
    <xf numFmtId="0" fontId="285" fillId="0" borderId="183" xfId="0" applyFont="1" applyBorder="1" applyAlignment="1">
      <alignment horizontal="left" vertical="center" wrapText="1"/>
    </xf>
    <xf numFmtId="0" fontId="284" fillId="0" borderId="1" xfId="0" applyFont="1" applyBorder="1" applyAlignment="1">
      <alignment horizontal="center" vertical="center"/>
    </xf>
    <xf numFmtId="0" fontId="285" fillId="0" borderId="184" xfId="0" applyFont="1" applyBorder="1" applyAlignment="1">
      <alignment horizontal="left" vertical="center" wrapText="1"/>
    </xf>
    <xf numFmtId="0" fontId="285" fillId="0" borderId="184" xfId="0" applyFont="1" applyBorder="1" applyAlignment="1">
      <alignment horizontal="center" vertical="center" wrapText="1"/>
    </xf>
    <xf numFmtId="3" fontId="285" fillId="0" borderId="184" xfId="0" applyNumberFormat="1" applyFont="1" applyBorder="1" applyAlignment="1">
      <alignment horizontal="right" vertical="center" shrinkToFit="1"/>
    </xf>
    <xf numFmtId="0" fontId="283" fillId="5" borderId="1" xfId="0" applyFont="1" applyFill="1" applyBorder="1" applyAlignment="1">
      <alignment horizontal="center" vertical="center"/>
    </xf>
    <xf numFmtId="0" fontId="285" fillId="5" borderId="184" xfId="0" applyFont="1" applyFill="1" applyBorder="1" applyAlignment="1">
      <alignment horizontal="left" vertical="center" wrapText="1"/>
    </xf>
    <xf numFmtId="0" fontId="284" fillId="5" borderId="1" xfId="0" applyFont="1" applyFill="1" applyBorder="1" applyAlignment="1">
      <alignment horizontal="center" vertical="center"/>
    </xf>
    <xf numFmtId="0" fontId="285" fillId="5" borderId="184" xfId="0" applyFont="1" applyFill="1" applyBorder="1" applyAlignment="1">
      <alignment horizontal="center" vertical="center" wrapText="1"/>
    </xf>
    <xf numFmtId="3" fontId="285" fillId="5" borderId="184" xfId="0" applyNumberFormat="1" applyFont="1" applyFill="1" applyBorder="1" applyAlignment="1">
      <alignment horizontal="right" vertical="center" shrinkToFit="1"/>
    </xf>
    <xf numFmtId="38" fontId="283" fillId="5" borderId="1" xfId="0" applyNumberFormat="1" applyFont="1" applyFill="1" applyBorder="1" applyAlignment="1">
      <alignment horizontal="right" vertical="center"/>
    </xf>
    <xf numFmtId="0" fontId="283" fillId="5" borderId="1" xfId="0" applyFont="1" applyFill="1" applyBorder="1" applyAlignment="1">
      <alignment horizontal="left" vertical="center" wrapText="1"/>
    </xf>
    <xf numFmtId="0" fontId="286" fillId="25" borderId="1" xfId="0" applyFont="1" applyFill="1" applyBorder="1" applyAlignment="1">
      <alignment horizontal="left" vertical="center"/>
    </xf>
    <xf numFmtId="43" fontId="286" fillId="25" borderId="1" xfId="23" applyFont="1" applyFill="1" applyBorder="1" applyAlignment="1">
      <alignment horizontal="left" vertical="center"/>
    </xf>
    <xf numFmtId="0" fontId="96" fillId="0" borderId="9" xfId="0" applyFont="1" applyBorder="1" applyAlignment="1" applyProtection="1">
      <alignment horizontal="center" vertical="center" wrapText="1"/>
      <protection locked="0"/>
    </xf>
    <xf numFmtId="3" fontId="46" fillId="0" borderId="3" xfId="0" applyNumberFormat="1" applyFont="1" applyBorder="1" applyAlignment="1" applyProtection="1">
      <alignment horizontal="center" vertical="center" wrapText="1"/>
      <protection locked="0"/>
    </xf>
    <xf numFmtId="3" fontId="46" fillId="0" borderId="23" xfId="0" applyNumberFormat="1" applyFont="1" applyBorder="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0" fontId="116" fillId="0" borderId="0" xfId="12" applyFont="1"/>
    <xf numFmtId="0" fontId="161" fillId="0" borderId="0" xfId="12"/>
    <xf numFmtId="0" fontId="187" fillId="0" borderId="1" xfId="12" applyFont="1" applyBorder="1" applyAlignment="1">
      <alignment horizontal="center" vertical="center" wrapText="1"/>
    </xf>
    <xf numFmtId="0" fontId="96" fillId="0" borderId="1" xfId="12" applyFont="1" applyBorder="1" applyAlignment="1">
      <alignment horizontal="center" vertical="center" wrapText="1"/>
    </xf>
    <xf numFmtId="14" fontId="96" fillId="0" borderId="1" xfId="12" applyNumberFormat="1" applyFont="1" applyBorder="1" applyAlignment="1">
      <alignment horizontal="center" vertical="center" wrapText="1"/>
    </xf>
    <xf numFmtId="0" fontId="82" fillId="0" borderId="1" xfId="12" applyFont="1" applyBorder="1" applyAlignment="1">
      <alignment horizontal="center" vertical="center" wrapText="1"/>
    </xf>
    <xf numFmtId="0" fontId="288" fillId="0" borderId="0" xfId="12" applyFont="1" applyAlignment="1">
      <alignment horizontal="left" vertical="center" wrapText="1"/>
    </xf>
    <xf numFmtId="0" fontId="21" fillId="0" borderId="1" xfId="12" applyFont="1" applyBorder="1" applyAlignment="1">
      <alignment horizontal="center" vertical="center" wrapText="1"/>
    </xf>
    <xf numFmtId="14" fontId="21" fillId="0" borderId="1" xfId="12" applyNumberFormat="1" applyFont="1" applyBorder="1" applyAlignment="1">
      <alignment horizontal="center" vertical="center" wrapText="1"/>
    </xf>
    <xf numFmtId="0" fontId="289" fillId="0" borderId="0" xfId="12" applyFont="1"/>
    <xf numFmtId="9" fontId="274" fillId="0" borderId="0" xfId="17" applyFont="1" applyAlignment="1">
      <alignment horizontal="center" vertical="center" wrapText="1"/>
    </xf>
    <xf numFmtId="14" fontId="109" fillId="0" borderId="0" xfId="0" applyNumberFormat="1" applyFont="1">
      <alignment vertical="center"/>
    </xf>
    <xf numFmtId="0" fontId="290" fillId="25" borderId="1" xfId="0" applyFont="1" applyFill="1" applyBorder="1" applyAlignment="1">
      <alignment horizontal="left" vertical="center"/>
    </xf>
    <xf numFmtId="43" fontId="290" fillId="25" borderId="1" xfId="23" applyFont="1" applyFill="1" applyBorder="1" applyAlignment="1">
      <alignment horizontal="left" vertical="center"/>
    </xf>
    <xf numFmtId="0" fontId="290" fillId="25" borderId="0" xfId="0" applyFont="1" applyFill="1" applyAlignment="1">
      <alignment horizontal="left" vertical="center"/>
    </xf>
    <xf numFmtId="14" fontId="290" fillId="25" borderId="0" xfId="0" applyNumberFormat="1" applyFont="1" applyFill="1" applyAlignment="1">
      <alignment horizontal="left" vertical="center"/>
    </xf>
    <xf numFmtId="0" fontId="291" fillId="25" borderId="0" xfId="24" applyFill="1" applyAlignment="1">
      <alignment horizontal="left" vertical="center"/>
    </xf>
    <xf numFmtId="0" fontId="292" fillId="25" borderId="1" xfId="0" applyFont="1" applyFill="1" applyBorder="1" applyAlignment="1">
      <alignment horizontal="left" vertical="center"/>
    </xf>
    <xf numFmtId="0" fontId="291" fillId="0" borderId="0" xfId="24">
      <alignment vertical="center"/>
    </xf>
    <xf numFmtId="0" fontId="286" fillId="25" borderId="0" xfId="0" applyFont="1" applyFill="1" applyAlignment="1">
      <alignment horizontal="lef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191" fontId="276" fillId="7" borderId="1" xfId="20" applyFont="1" applyFill="1" applyBorder="1" applyAlignment="1">
      <alignment horizontal="center" vertical="center" wrapText="1"/>
    </xf>
    <xf numFmtId="191" fontId="277" fillId="7" borderId="13" xfId="20" applyFont="1" applyFill="1" applyBorder="1" applyAlignment="1">
      <alignment horizontal="center" vertical="center" wrapText="1"/>
    </xf>
    <xf numFmtId="191" fontId="277" fillId="7" borderId="2" xfId="20" applyFont="1" applyFill="1" applyBorder="1" applyAlignment="1">
      <alignment horizontal="center" vertical="center" wrapText="1"/>
    </xf>
    <xf numFmtId="43" fontId="277" fillId="7" borderId="179" xfId="19" applyFont="1" applyFill="1" applyBorder="1" applyAlignment="1">
      <alignment horizontal="center" vertical="center" wrapText="1"/>
    </xf>
    <xf numFmtId="43" fontId="277" fillId="7" borderId="180" xfId="19" applyFont="1" applyFill="1" applyBorder="1" applyAlignment="1">
      <alignment horizontal="center" vertical="center" wrapText="1"/>
    </xf>
    <xf numFmtId="176" fontId="276" fillId="7" borderId="1" xfId="20" applyNumberFormat="1" applyFont="1" applyFill="1" applyBorder="1" applyAlignment="1">
      <alignment horizontal="center" vertical="center"/>
    </xf>
    <xf numFmtId="43" fontId="276" fillId="7" borderId="1" xfId="19" applyFont="1" applyFill="1" applyBorder="1" applyAlignment="1">
      <alignment horizontal="center" vertical="center" wrapText="1"/>
    </xf>
    <xf numFmtId="191" fontId="276" fillId="7" borderId="1" xfId="20" applyFont="1" applyFill="1" applyBorder="1" applyAlignment="1">
      <alignment horizontal="center" vertical="center"/>
    </xf>
    <xf numFmtId="191" fontId="278" fillId="7" borderId="1" xfId="20" applyFont="1" applyFill="1" applyBorder="1" applyAlignment="1">
      <alignment horizontal="center" vertical="center" wrapText="1"/>
    </xf>
    <xf numFmtId="43" fontId="276" fillId="7" borderId="1" xfId="19" applyFont="1" applyFill="1" applyBorder="1" applyAlignment="1">
      <alignment horizontal="center" vertical="center"/>
    </xf>
    <xf numFmtId="176" fontId="276" fillId="7" borderId="13" xfId="20" applyNumberFormat="1" applyFont="1" applyFill="1" applyBorder="1" applyAlignment="1">
      <alignment horizontal="center" vertical="center" wrapText="1"/>
    </xf>
    <xf numFmtId="176" fontId="276" fillId="7" borderId="2" xfId="20" applyNumberFormat="1" applyFont="1" applyFill="1" applyBorder="1" applyAlignment="1">
      <alignment horizontal="center" vertical="center" wrapText="1"/>
    </xf>
    <xf numFmtId="176" fontId="276" fillId="7" borderId="13" xfId="20" applyNumberFormat="1" applyFont="1" applyFill="1" applyBorder="1" applyAlignment="1">
      <alignment horizontal="center" vertical="center"/>
    </xf>
    <xf numFmtId="176" fontId="276" fillId="7" borderId="2" xfId="20" applyNumberFormat="1" applyFont="1" applyFill="1" applyBorder="1" applyAlignment="1">
      <alignment horizontal="center" vertical="center"/>
    </xf>
    <xf numFmtId="191" fontId="278" fillId="7" borderId="13" xfId="20" applyFont="1" applyFill="1" applyBorder="1" applyAlignment="1">
      <alignment horizontal="center" vertical="center" wrapText="1"/>
    </xf>
    <xf numFmtId="191" fontId="278" fillId="7" borderId="2" xfId="20" applyFont="1" applyFill="1" applyBorder="1" applyAlignment="1">
      <alignment horizontal="center" vertical="center" wrapText="1"/>
    </xf>
    <xf numFmtId="43" fontId="5" fillId="7" borderId="179" xfId="19" applyFont="1" applyFill="1" applyBorder="1" applyAlignment="1">
      <alignment horizontal="center" vertical="center" wrapText="1"/>
    </xf>
    <xf numFmtId="43" fontId="5" fillId="7" borderId="180" xfId="19" applyFont="1" applyFill="1" applyBorder="1" applyAlignment="1">
      <alignment horizontal="center" vertical="center" wrapText="1"/>
    </xf>
    <xf numFmtId="191" fontId="277" fillId="7" borderId="1" xfId="20" applyFont="1" applyFill="1" applyBorder="1" applyAlignment="1">
      <alignment horizontal="center" vertical="center" wrapText="1"/>
    </xf>
    <xf numFmtId="191" fontId="276" fillId="7" borderId="13" xfId="20" applyFont="1" applyFill="1" applyBorder="1" applyAlignment="1">
      <alignment horizontal="center" vertical="center" wrapText="1"/>
    </xf>
    <xf numFmtId="191" fontId="276" fillId="7" borderId="15" xfId="20" applyFont="1" applyFill="1" applyBorder="1" applyAlignment="1">
      <alignment horizontal="center" vertical="center" wrapText="1"/>
    </xf>
    <xf numFmtId="191" fontId="276" fillId="7" borderId="2" xfId="20" applyFont="1" applyFill="1" applyBorder="1" applyAlignment="1">
      <alignment horizontal="center" vertical="center" wrapText="1"/>
    </xf>
    <xf numFmtId="43" fontId="276" fillId="7" borderId="179" xfId="19" applyFont="1" applyFill="1" applyBorder="1" applyAlignment="1">
      <alignment horizontal="center" vertical="center" wrapText="1"/>
    </xf>
    <xf numFmtId="43" fontId="276" fillId="7" borderId="15" xfId="19" applyFont="1" applyFill="1" applyBorder="1" applyAlignment="1">
      <alignment horizontal="center" vertical="center" wrapText="1"/>
    </xf>
    <xf numFmtId="43" fontId="276" fillId="7" borderId="180" xfId="19" applyFont="1" applyFill="1" applyBorder="1" applyAlignment="1">
      <alignment horizontal="center" vertical="center" wrapText="1"/>
    </xf>
    <xf numFmtId="191" fontId="274" fillId="0" borderId="13" xfId="20" applyFont="1" applyBorder="1" applyAlignment="1">
      <alignment horizontal="center" vertical="center"/>
    </xf>
    <xf numFmtId="191" fontId="274" fillId="0" borderId="2" xfId="20" applyFont="1" applyBorder="1" applyAlignment="1">
      <alignment horizontal="center" vertical="center"/>
    </xf>
    <xf numFmtId="191" fontId="278" fillId="7" borderId="15" xfId="20" applyFont="1" applyFill="1" applyBorder="1" applyAlignment="1">
      <alignment horizontal="center" vertical="center" wrapText="1"/>
    </xf>
    <xf numFmtId="176" fontId="276" fillId="7" borderId="15" xfId="20" applyNumberFormat="1" applyFont="1" applyFill="1" applyBorder="1" applyAlignment="1">
      <alignment horizontal="center" vertical="center" wrapText="1"/>
    </xf>
    <xf numFmtId="176" fontId="276" fillId="7" borderId="1" xfId="20" applyNumberFormat="1" applyFont="1" applyFill="1" applyBorder="1" applyAlignment="1">
      <alignment horizontal="right" vertical="center"/>
    </xf>
    <xf numFmtId="0" fontId="276" fillId="7" borderId="1" xfId="20" applyNumberFormat="1" applyFont="1" applyFill="1" applyBorder="1" applyAlignment="1">
      <alignment horizontal="center" vertical="center" wrapText="1"/>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82" fillId="7" borderId="5" xfId="0" applyFont="1" applyFill="1" applyBorder="1" applyAlignment="1">
      <alignment horizontal="left" vertical="center"/>
    </xf>
    <xf numFmtId="0" fontId="282" fillId="7" borderId="54" xfId="0" applyFont="1" applyFill="1" applyBorder="1" applyAlignment="1">
      <alignment horizontal="left" vertical="center"/>
    </xf>
    <xf numFmtId="0" fontId="282" fillId="7" borderId="3" xfId="0" applyFont="1" applyFill="1" applyBorder="1" applyAlignment="1">
      <alignment horizontal="left" vertical="center"/>
    </xf>
    <xf numFmtId="0" fontId="282" fillId="0" borderId="5" xfId="0" applyFont="1" applyBorder="1" applyAlignment="1">
      <alignment horizontal="left" vertical="center"/>
    </xf>
    <xf numFmtId="0" fontId="282" fillId="0" borderId="54" xfId="0" applyFont="1" applyBorder="1" applyAlignment="1">
      <alignment horizontal="left" vertical="center"/>
    </xf>
    <xf numFmtId="0" fontId="282" fillId="0" borderId="3" xfId="0" applyFont="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71" fillId="0" borderId="0" xfId="0" applyFont="1">
      <alignment vertical="center"/>
    </xf>
    <xf numFmtId="0" fontId="271" fillId="25" borderId="1" xfId="0" applyFont="1" applyFill="1" applyBorder="1" applyAlignment="1">
      <alignment horizontal="left" vertical="center"/>
    </xf>
    <xf numFmtId="14" fontId="271" fillId="0" borderId="0" xfId="0" applyNumberFormat="1" applyFont="1">
      <alignment vertical="center"/>
    </xf>
    <xf numFmtId="43" fontId="271" fillId="25" borderId="1" xfId="23" applyFont="1" applyFill="1" applyBorder="1" applyAlignment="1">
      <alignment horizontal="left" vertical="center"/>
    </xf>
    <xf numFmtId="0" fontId="130" fillId="0" borderId="44" xfId="0" applyFont="1" applyBorder="1" applyAlignment="1" applyProtection="1">
      <alignment horizontal="center" vertical="center" wrapText="1"/>
      <protection locked="0"/>
    </xf>
    <xf numFmtId="10" fontId="53" fillId="12" borderId="0" xfId="17" applyNumberFormat="1" applyFont="1" applyFill="1" applyAlignment="1" applyProtection="1">
      <alignment horizontal="center" vertical="center"/>
      <protection locked="0"/>
    </xf>
    <xf numFmtId="0" fontId="96" fillId="0" borderId="44" xfId="0" applyFont="1" applyBorder="1" applyAlignment="1" applyProtection="1">
      <alignment horizontal="center" vertical="center" wrapText="1"/>
      <protection locked="0"/>
    </xf>
  </cellXfs>
  <cellStyles count="25">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4 2" xfId="21"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4" builtinId="8"/>
    <cellStyle name="千位分隔" xfId="23" builtinId="3"/>
    <cellStyle name="千位分隔 2" xfId="19" xr:uid="{00000000-0005-0000-0000-000016000000}"/>
    <cellStyle name="千位分隔 3" xfId="22" xr:uid="{00000000-0005-0000-0000-000017000000}"/>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emf"/><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104775</xdr:colOff>
      <xdr:row>25</xdr:row>
      <xdr:rowOff>85725</xdr:rowOff>
    </xdr:from>
    <xdr:to>
      <xdr:col>19</xdr:col>
      <xdr:colOff>523057</xdr:colOff>
      <xdr:row>31</xdr:row>
      <xdr:rowOff>95120</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791575" y="4371975"/>
          <a:ext cx="6542857" cy="1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85725</xdr:colOff>
      <xdr:row>15</xdr:row>
      <xdr:rowOff>69187</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
          <a:ext cx="4781550" cy="2640936"/>
        </a:xfrm>
        <a:prstGeom prst="rect">
          <a:avLst/>
        </a:prstGeom>
      </xdr:spPr>
    </xdr:pic>
    <xdr:clientData/>
  </xdr:twoCellAnchor>
  <xdr:twoCellAnchor editAs="oneCell">
    <xdr:from>
      <xdr:col>6</xdr:col>
      <xdr:colOff>200025</xdr:colOff>
      <xdr:row>0</xdr:row>
      <xdr:rowOff>0</xdr:rowOff>
    </xdr:from>
    <xdr:to>
      <xdr:col>12</xdr:col>
      <xdr:colOff>591720</xdr:colOff>
      <xdr:row>15</xdr:row>
      <xdr:rowOff>38100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895850" y="0"/>
          <a:ext cx="4773195" cy="2609850"/>
        </a:xfrm>
        <a:prstGeom prst="rect">
          <a:avLst/>
        </a:prstGeom>
      </xdr:spPr>
    </xdr:pic>
    <xdr:clientData/>
  </xdr:twoCellAnchor>
  <xdr:twoCellAnchor editAs="oneCell">
    <xdr:from>
      <xdr:col>13</xdr:col>
      <xdr:colOff>19050</xdr:colOff>
      <xdr:row>0</xdr:row>
      <xdr:rowOff>0</xdr:rowOff>
    </xdr:from>
    <xdr:to>
      <xdr:col>19</xdr:col>
      <xdr:colOff>676275</xdr:colOff>
      <xdr:row>15</xdr:row>
      <xdr:rowOff>68897</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9782175" y="0"/>
          <a:ext cx="4772025" cy="26406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12</xdr:row>
      <xdr:rowOff>117177</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4800600" cy="2174577"/>
        </a:xfrm>
        <a:prstGeom prst="rect">
          <a:avLst/>
        </a:prstGeom>
      </xdr:spPr>
    </xdr:pic>
    <xdr:clientData/>
  </xdr:twoCellAnchor>
  <xdr:twoCellAnchor editAs="oneCell">
    <xdr:from>
      <xdr:col>7</xdr:col>
      <xdr:colOff>0</xdr:colOff>
      <xdr:row>0</xdr:row>
      <xdr:rowOff>0</xdr:rowOff>
    </xdr:from>
    <xdr:to>
      <xdr:col>14</xdr:col>
      <xdr:colOff>114300</xdr:colOff>
      <xdr:row>12</xdr:row>
      <xdr:rowOff>133501</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800600" y="0"/>
          <a:ext cx="4914900" cy="2190901"/>
        </a:xfrm>
        <a:prstGeom prst="rect">
          <a:avLst/>
        </a:prstGeom>
      </xdr:spPr>
    </xdr:pic>
    <xdr:clientData/>
  </xdr:twoCellAnchor>
  <xdr:twoCellAnchor editAs="oneCell">
    <xdr:from>
      <xdr:col>0</xdr:col>
      <xdr:colOff>0</xdr:colOff>
      <xdr:row>13</xdr:row>
      <xdr:rowOff>1</xdr:rowOff>
    </xdr:from>
    <xdr:to>
      <xdr:col>7</xdr:col>
      <xdr:colOff>0</xdr:colOff>
      <xdr:row>25</xdr:row>
      <xdr:rowOff>101601</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2352676"/>
          <a:ext cx="4800600" cy="2159000"/>
        </a:xfrm>
        <a:prstGeom prst="rect">
          <a:avLst/>
        </a:prstGeom>
      </xdr:spPr>
    </xdr:pic>
    <xdr:clientData/>
  </xdr:twoCellAnchor>
  <xdr:twoCellAnchor editAs="oneCell">
    <xdr:from>
      <xdr:col>7</xdr:col>
      <xdr:colOff>0</xdr:colOff>
      <xdr:row>13</xdr:row>
      <xdr:rowOff>1</xdr:rowOff>
    </xdr:from>
    <xdr:to>
      <xdr:col>14</xdr:col>
      <xdr:colOff>95250</xdr:colOff>
      <xdr:row>25</xdr:row>
      <xdr:rowOff>143785</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800600" y="2352676"/>
          <a:ext cx="4895850" cy="2201184"/>
        </a:xfrm>
        <a:prstGeom prst="rect">
          <a:avLst/>
        </a:prstGeom>
      </xdr:spPr>
    </xdr:pic>
    <xdr:clientData/>
  </xdr:twoCellAnchor>
  <xdr:twoCellAnchor editAs="oneCell">
    <xdr:from>
      <xdr:col>14</xdr:col>
      <xdr:colOff>152399</xdr:colOff>
      <xdr:row>0</xdr:row>
      <xdr:rowOff>0</xdr:rowOff>
    </xdr:from>
    <xdr:to>
      <xdr:col>21</xdr:col>
      <xdr:colOff>561074</xdr:colOff>
      <xdr:row>13</xdr:row>
      <xdr:rowOff>93274</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9753599" y="0"/>
          <a:ext cx="5209275" cy="2322124"/>
        </a:xfrm>
        <a:prstGeom prst="rect">
          <a:avLst/>
        </a:prstGeom>
      </xdr:spPr>
    </xdr:pic>
    <xdr:clientData/>
  </xdr:twoCellAnchor>
  <xdr:twoCellAnchor editAs="oneCell">
    <xdr:from>
      <xdr:col>0</xdr:col>
      <xdr:colOff>1</xdr:colOff>
      <xdr:row>26</xdr:row>
      <xdr:rowOff>0</xdr:rowOff>
    </xdr:from>
    <xdr:to>
      <xdr:col>7</xdr:col>
      <xdr:colOff>1</xdr:colOff>
      <xdr:row>38</xdr:row>
      <xdr:rowOff>61442</xdr:rowOff>
    </xdr:to>
    <xdr:pic>
      <xdr:nvPicPr>
        <xdr:cNvPr id="7" name="图片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1" y="4705350"/>
          <a:ext cx="4800600" cy="2118842"/>
        </a:xfrm>
        <a:prstGeom prst="rect">
          <a:avLst/>
        </a:prstGeom>
      </xdr:spPr>
    </xdr:pic>
    <xdr:clientData/>
  </xdr:twoCellAnchor>
  <xdr:twoCellAnchor editAs="oneCell">
    <xdr:from>
      <xdr:col>7</xdr:col>
      <xdr:colOff>0</xdr:colOff>
      <xdr:row>26</xdr:row>
      <xdr:rowOff>0</xdr:rowOff>
    </xdr:from>
    <xdr:to>
      <xdr:col>14</xdr:col>
      <xdr:colOff>123825</xdr:colOff>
      <xdr:row>38</xdr:row>
      <xdr:rowOff>134847</xdr:rowOff>
    </xdr:to>
    <xdr:pic>
      <xdr:nvPicPr>
        <xdr:cNvPr id="8" name="图片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4800600" y="4705350"/>
          <a:ext cx="4924425" cy="2192247"/>
        </a:xfrm>
        <a:prstGeom prst="rect">
          <a:avLst/>
        </a:prstGeom>
      </xdr:spPr>
    </xdr:pic>
    <xdr:clientData/>
  </xdr:twoCellAnchor>
  <xdr:twoCellAnchor editAs="oneCell">
    <xdr:from>
      <xdr:col>0</xdr:col>
      <xdr:colOff>1</xdr:colOff>
      <xdr:row>39</xdr:row>
      <xdr:rowOff>0</xdr:rowOff>
    </xdr:from>
    <xdr:to>
      <xdr:col>7</xdr:col>
      <xdr:colOff>1</xdr:colOff>
      <xdr:row>51</xdr:row>
      <xdr:rowOff>109800</xdr:rowOff>
    </xdr:to>
    <xdr:pic>
      <xdr:nvPicPr>
        <xdr:cNvPr id="9" name="图片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8"/>
        <a:stretch>
          <a:fillRect/>
        </a:stretch>
      </xdr:blipFill>
      <xdr:spPr>
        <a:xfrm>
          <a:off x="1" y="7058025"/>
          <a:ext cx="4800600" cy="216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666750</xdr:colOff>
      <xdr:row>14</xdr:row>
      <xdr:rowOff>55313</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5467350" cy="2455613"/>
        </a:xfrm>
        <a:prstGeom prst="rect">
          <a:avLst/>
        </a:prstGeom>
      </xdr:spPr>
    </xdr:pic>
    <xdr:clientData/>
  </xdr:twoCellAnchor>
  <xdr:twoCellAnchor editAs="oneCell">
    <xdr:from>
      <xdr:col>8</xdr:col>
      <xdr:colOff>1</xdr:colOff>
      <xdr:row>0</xdr:row>
      <xdr:rowOff>1</xdr:rowOff>
    </xdr:from>
    <xdr:to>
      <xdr:col>16</xdr:col>
      <xdr:colOff>95251</xdr:colOff>
      <xdr:row>14</xdr:row>
      <xdr:rowOff>92691</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486401" y="1"/>
          <a:ext cx="5581650" cy="24929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151181</xdr:colOff>
      <xdr:row>30</xdr:row>
      <xdr:rowOff>66045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171450"/>
          <a:ext cx="9752381" cy="5038095"/>
        </a:xfrm>
        <a:prstGeom prst="rect">
          <a:avLst/>
        </a:prstGeom>
      </xdr:spPr>
    </xdr:pic>
    <xdr:clientData/>
  </xdr:twoCellAnchor>
  <xdr:twoCellAnchor editAs="oneCell">
    <xdr:from>
      <xdr:col>0</xdr:col>
      <xdr:colOff>0</xdr:colOff>
      <xdr:row>43</xdr:row>
      <xdr:rowOff>171447</xdr:rowOff>
    </xdr:from>
    <xdr:to>
      <xdr:col>7</xdr:col>
      <xdr:colOff>200025</xdr:colOff>
      <xdr:row>65</xdr:row>
      <xdr:rowOff>47624</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0" y="7543797"/>
          <a:ext cx="5000625" cy="3648077"/>
        </a:xfrm>
        <a:prstGeom prst="rect">
          <a:avLst/>
        </a:prstGeom>
      </xdr:spPr>
    </xdr:pic>
    <xdr:clientData/>
  </xdr:twoCellAnchor>
  <xdr:twoCellAnchor editAs="oneCell">
    <xdr:from>
      <xdr:col>0</xdr:col>
      <xdr:colOff>0</xdr:colOff>
      <xdr:row>66</xdr:row>
      <xdr:rowOff>0</xdr:rowOff>
    </xdr:from>
    <xdr:to>
      <xdr:col>7</xdr:col>
      <xdr:colOff>0</xdr:colOff>
      <xdr:row>78</xdr:row>
      <xdr:rowOff>61442</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0" y="11315700"/>
          <a:ext cx="4800600" cy="2118842"/>
        </a:xfrm>
        <a:prstGeom prst="rect">
          <a:avLst/>
        </a:prstGeom>
      </xdr:spPr>
    </xdr:pic>
    <xdr:clientData/>
  </xdr:twoCellAnchor>
  <xdr:twoCellAnchor editAs="oneCell">
    <xdr:from>
      <xdr:col>0</xdr:col>
      <xdr:colOff>0</xdr:colOff>
      <xdr:row>79</xdr:row>
      <xdr:rowOff>0</xdr:rowOff>
    </xdr:from>
    <xdr:to>
      <xdr:col>7</xdr:col>
      <xdr:colOff>0</xdr:colOff>
      <xdr:row>91</xdr:row>
      <xdr:rowOff>117177</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13544550"/>
          <a:ext cx="4800600" cy="2174577"/>
        </a:xfrm>
        <a:prstGeom prst="rect">
          <a:avLst/>
        </a:prstGeom>
      </xdr:spPr>
    </xdr:pic>
    <xdr:clientData/>
  </xdr:twoCellAnchor>
  <xdr:twoCellAnchor editAs="oneCell">
    <xdr:from>
      <xdr:col>7</xdr:col>
      <xdr:colOff>428625</xdr:colOff>
      <xdr:row>43</xdr:row>
      <xdr:rowOff>142876</xdr:rowOff>
    </xdr:from>
    <xdr:to>
      <xdr:col>18</xdr:col>
      <xdr:colOff>417718</xdr:colOff>
      <xdr:row>66</xdr:row>
      <xdr:rowOff>47076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a:stretch>
          <a:fillRect/>
        </a:stretch>
      </xdr:blipFill>
      <xdr:spPr>
        <a:xfrm>
          <a:off x="5229225" y="7515226"/>
          <a:ext cx="7532893" cy="3847550"/>
        </a:xfrm>
        <a:prstGeom prst="rect">
          <a:avLst/>
        </a:prstGeom>
      </xdr:spPr>
    </xdr:pic>
    <xdr:clientData/>
  </xdr:twoCellAnchor>
  <xdr:twoCellAnchor editAs="oneCell">
    <xdr:from>
      <xdr:col>6</xdr:col>
      <xdr:colOff>628650</xdr:colOff>
      <xdr:row>31</xdr:row>
      <xdr:rowOff>76200</xdr:rowOff>
    </xdr:from>
    <xdr:to>
      <xdr:col>11</xdr:col>
      <xdr:colOff>390126</xdr:colOff>
      <xdr:row>37</xdr:row>
      <xdr:rowOff>95119</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6"/>
        <a:stretch>
          <a:fillRect/>
        </a:stretch>
      </xdr:blipFill>
      <xdr:spPr>
        <a:xfrm>
          <a:off x="4743450" y="5391150"/>
          <a:ext cx="3190476" cy="10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8</xdr:col>
      <xdr:colOff>427163</xdr:colOff>
      <xdr:row>17</xdr:row>
      <xdr:rowOff>18259</xdr:rowOff>
    </xdr:to>
    <xdr:pic>
      <xdr:nvPicPr>
        <xdr:cNvPr id="2" name="图片 1">
          <a:extLst>
            <a:ext uri="{FF2B5EF4-FFF2-40B4-BE49-F238E27FC236}">
              <a16:creationId xmlns:a16="http://schemas.microsoft.com/office/drawing/2014/main" id="{3D240F37-A001-CAD8-89C8-881BDB55D978}"/>
            </a:ext>
          </a:extLst>
        </xdr:cNvPr>
        <xdr:cNvPicPr>
          <a:picLocks noChangeAspect="1"/>
        </xdr:cNvPicPr>
      </xdr:nvPicPr>
      <xdr:blipFill>
        <a:blip xmlns:r="http://schemas.openxmlformats.org/officeDocument/2006/relationships" r:embed="rId1"/>
        <a:stretch>
          <a:fillRect/>
        </a:stretch>
      </xdr:blipFill>
      <xdr:spPr>
        <a:xfrm>
          <a:off x="28575" y="0"/>
          <a:ext cx="5884988" cy="2932909"/>
        </a:xfrm>
        <a:prstGeom prst="rect">
          <a:avLst/>
        </a:prstGeom>
      </xdr:spPr>
    </xdr:pic>
    <xdr:clientData/>
  </xdr:twoCellAnchor>
  <xdr:twoCellAnchor editAs="oneCell">
    <xdr:from>
      <xdr:col>8</xdr:col>
      <xdr:colOff>561975</xdr:colOff>
      <xdr:row>0</xdr:row>
      <xdr:rowOff>0</xdr:rowOff>
    </xdr:from>
    <xdr:to>
      <xdr:col>16</xdr:col>
      <xdr:colOff>589093</xdr:colOff>
      <xdr:row>19</xdr:row>
      <xdr:rowOff>44254</xdr:rowOff>
    </xdr:to>
    <xdr:pic>
      <xdr:nvPicPr>
        <xdr:cNvPr id="3" name="图片 2">
          <a:extLst>
            <a:ext uri="{FF2B5EF4-FFF2-40B4-BE49-F238E27FC236}">
              <a16:creationId xmlns:a16="http://schemas.microsoft.com/office/drawing/2014/main" id="{222F0DB5-5316-40A4-DD25-3D48FFC614AD}"/>
            </a:ext>
          </a:extLst>
        </xdr:cNvPr>
        <xdr:cNvPicPr>
          <a:picLocks noChangeAspect="1"/>
        </xdr:cNvPicPr>
      </xdr:nvPicPr>
      <xdr:blipFill>
        <a:blip xmlns:r="http://schemas.openxmlformats.org/officeDocument/2006/relationships" r:embed="rId2"/>
        <a:stretch>
          <a:fillRect/>
        </a:stretch>
      </xdr:blipFill>
      <xdr:spPr>
        <a:xfrm>
          <a:off x="6048375" y="0"/>
          <a:ext cx="5513518" cy="3301804"/>
        </a:xfrm>
        <a:prstGeom prst="rect">
          <a:avLst/>
        </a:prstGeom>
      </xdr:spPr>
    </xdr:pic>
    <xdr:clientData/>
  </xdr:twoCellAnchor>
  <xdr:twoCellAnchor editAs="oneCell">
    <xdr:from>
      <xdr:col>0</xdr:col>
      <xdr:colOff>161924</xdr:colOff>
      <xdr:row>21</xdr:row>
      <xdr:rowOff>73633</xdr:rowOff>
    </xdr:from>
    <xdr:to>
      <xdr:col>10</xdr:col>
      <xdr:colOff>436713</xdr:colOff>
      <xdr:row>46</xdr:row>
      <xdr:rowOff>75337</xdr:rowOff>
    </xdr:to>
    <xdr:pic>
      <xdr:nvPicPr>
        <xdr:cNvPr id="4" name="图片 3">
          <a:extLst>
            <a:ext uri="{FF2B5EF4-FFF2-40B4-BE49-F238E27FC236}">
              <a16:creationId xmlns:a16="http://schemas.microsoft.com/office/drawing/2014/main" id="{EC1383B1-3F32-593E-7B14-17219936489F}"/>
            </a:ext>
          </a:extLst>
        </xdr:cNvPr>
        <xdr:cNvPicPr>
          <a:picLocks noChangeAspect="1"/>
        </xdr:cNvPicPr>
      </xdr:nvPicPr>
      <xdr:blipFill>
        <a:blip xmlns:r="http://schemas.openxmlformats.org/officeDocument/2006/relationships" r:embed="rId3"/>
        <a:stretch>
          <a:fillRect/>
        </a:stretch>
      </xdr:blipFill>
      <xdr:spPr>
        <a:xfrm>
          <a:off x="161924" y="3674083"/>
          <a:ext cx="7132789" cy="4287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15240</xdr:colOff>
      <xdr:row>32</xdr:row>
      <xdr:rowOff>19050</xdr:rowOff>
    </xdr:to>
    <xdr:pic>
      <xdr:nvPicPr>
        <xdr:cNvPr id="2" name="图片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6543675"/>
          <a:ext cx="1524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380999</xdr:colOff>
      <xdr:row>0</xdr:row>
      <xdr:rowOff>171451</xdr:rowOff>
    </xdr:from>
    <xdr:to>
      <xdr:col>28</xdr:col>
      <xdr:colOff>670185</xdr:colOff>
      <xdr:row>26</xdr:row>
      <xdr:rowOff>80292</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0120312" y="171451"/>
          <a:ext cx="10647623" cy="5028529"/>
        </a:xfrm>
        <a:prstGeom prst="rect">
          <a:avLst/>
        </a:prstGeom>
      </xdr:spPr>
    </xdr:pic>
    <xdr:clientData/>
  </xdr:twoCellAnchor>
  <xdr:twoCellAnchor editAs="oneCell">
    <xdr:from>
      <xdr:col>0</xdr:col>
      <xdr:colOff>19050</xdr:colOff>
      <xdr:row>58</xdr:row>
      <xdr:rowOff>19050</xdr:rowOff>
    </xdr:from>
    <xdr:to>
      <xdr:col>11</xdr:col>
      <xdr:colOff>838200</xdr:colOff>
      <xdr:row>64</xdr:row>
      <xdr:rowOff>64789</xdr:rowOff>
    </xdr:to>
    <xdr:pic>
      <xdr:nvPicPr>
        <xdr:cNvPr id="4" name="图片 3">
          <a:extLst>
            <a:ext uri="{FF2B5EF4-FFF2-40B4-BE49-F238E27FC236}">
              <a16:creationId xmlns:a16="http://schemas.microsoft.com/office/drawing/2014/main" id="{6C3E9A83-3E59-B838-8919-6E55F034B9BE}"/>
            </a:ext>
          </a:extLst>
        </xdr:cNvPr>
        <xdr:cNvPicPr>
          <a:picLocks noChangeAspect="1"/>
        </xdr:cNvPicPr>
      </xdr:nvPicPr>
      <xdr:blipFill>
        <a:blip xmlns:r="http://schemas.openxmlformats.org/officeDocument/2006/relationships" r:embed="rId3"/>
        <a:stretch>
          <a:fillRect/>
        </a:stretch>
      </xdr:blipFill>
      <xdr:spPr>
        <a:xfrm>
          <a:off x="19050" y="11220450"/>
          <a:ext cx="8648700" cy="960139"/>
        </a:xfrm>
        <a:prstGeom prst="rect">
          <a:avLst/>
        </a:prstGeom>
      </xdr:spPr>
    </xdr:pic>
    <xdr:clientData/>
  </xdr:twoCellAnchor>
  <xdr:twoCellAnchor editAs="oneCell">
    <xdr:from>
      <xdr:col>11</xdr:col>
      <xdr:colOff>885826</xdr:colOff>
      <xdr:row>58</xdr:row>
      <xdr:rowOff>95250</xdr:rowOff>
    </xdr:from>
    <xdr:to>
      <xdr:col>19</xdr:col>
      <xdr:colOff>238126</xdr:colOff>
      <xdr:row>64</xdr:row>
      <xdr:rowOff>104970</xdr:rowOff>
    </xdr:to>
    <xdr:pic>
      <xdr:nvPicPr>
        <xdr:cNvPr id="5" name="图片 4">
          <a:extLst>
            <a:ext uri="{FF2B5EF4-FFF2-40B4-BE49-F238E27FC236}">
              <a16:creationId xmlns:a16="http://schemas.microsoft.com/office/drawing/2014/main" id="{B4868D60-70DF-5D10-BAAA-619C408C1AE2}"/>
            </a:ext>
          </a:extLst>
        </xdr:cNvPr>
        <xdr:cNvPicPr>
          <a:picLocks noChangeAspect="1"/>
        </xdr:cNvPicPr>
      </xdr:nvPicPr>
      <xdr:blipFill>
        <a:blip xmlns:r="http://schemas.openxmlformats.org/officeDocument/2006/relationships" r:embed="rId4"/>
        <a:stretch>
          <a:fillRect/>
        </a:stretch>
      </xdr:blipFill>
      <xdr:spPr>
        <a:xfrm>
          <a:off x="8715376" y="11296650"/>
          <a:ext cx="5353050" cy="924120"/>
        </a:xfrm>
        <a:prstGeom prst="rect">
          <a:avLst/>
        </a:prstGeom>
      </xdr:spPr>
    </xdr:pic>
    <xdr:clientData/>
  </xdr:twoCellAnchor>
  <xdr:twoCellAnchor editAs="oneCell">
    <xdr:from>
      <xdr:col>0</xdr:col>
      <xdr:colOff>1</xdr:colOff>
      <xdr:row>71</xdr:row>
      <xdr:rowOff>0</xdr:rowOff>
    </xdr:from>
    <xdr:to>
      <xdr:col>13</xdr:col>
      <xdr:colOff>7785</xdr:colOff>
      <xdr:row>73</xdr:row>
      <xdr:rowOff>38100</xdr:rowOff>
    </xdr:to>
    <xdr:pic>
      <xdr:nvPicPr>
        <xdr:cNvPr id="6" name="图片 5">
          <a:extLst>
            <a:ext uri="{FF2B5EF4-FFF2-40B4-BE49-F238E27FC236}">
              <a16:creationId xmlns:a16="http://schemas.microsoft.com/office/drawing/2014/main" id="{0FD1AEAB-A632-F03F-08F4-3A20B98283AB}"/>
            </a:ext>
          </a:extLst>
        </xdr:cNvPr>
        <xdr:cNvPicPr>
          <a:picLocks noChangeAspect="1"/>
        </xdr:cNvPicPr>
      </xdr:nvPicPr>
      <xdr:blipFill>
        <a:blip xmlns:r="http://schemas.openxmlformats.org/officeDocument/2006/relationships" r:embed="rId5"/>
        <a:stretch>
          <a:fillRect/>
        </a:stretch>
      </xdr:blipFill>
      <xdr:spPr>
        <a:xfrm>
          <a:off x="1" y="13296900"/>
          <a:ext cx="9723284" cy="361950"/>
        </a:xfrm>
        <a:prstGeom prst="rect">
          <a:avLst/>
        </a:prstGeom>
      </xdr:spPr>
    </xdr:pic>
    <xdr:clientData/>
  </xdr:twoCellAnchor>
  <xdr:twoCellAnchor editAs="oneCell">
    <xdr:from>
      <xdr:col>12</xdr:col>
      <xdr:colOff>295275</xdr:colOff>
      <xdr:row>71</xdr:row>
      <xdr:rowOff>28575</xdr:rowOff>
    </xdr:from>
    <xdr:to>
      <xdr:col>20</xdr:col>
      <xdr:colOff>238125</xdr:colOff>
      <xdr:row>73</xdr:row>
      <xdr:rowOff>1135</xdr:rowOff>
    </xdr:to>
    <xdr:pic>
      <xdr:nvPicPr>
        <xdr:cNvPr id="7" name="图片 6">
          <a:extLst>
            <a:ext uri="{FF2B5EF4-FFF2-40B4-BE49-F238E27FC236}">
              <a16:creationId xmlns:a16="http://schemas.microsoft.com/office/drawing/2014/main" id="{46E14052-963E-F7AD-F2FA-A6A442C350A5}"/>
            </a:ext>
          </a:extLst>
        </xdr:cNvPr>
        <xdr:cNvPicPr>
          <a:picLocks noChangeAspect="1"/>
        </xdr:cNvPicPr>
      </xdr:nvPicPr>
      <xdr:blipFill>
        <a:blip xmlns:r="http://schemas.openxmlformats.org/officeDocument/2006/relationships" r:embed="rId6"/>
        <a:stretch>
          <a:fillRect/>
        </a:stretch>
      </xdr:blipFill>
      <xdr:spPr>
        <a:xfrm>
          <a:off x="9315450" y="13325475"/>
          <a:ext cx="5438775" cy="296410"/>
        </a:xfrm>
        <a:prstGeom prst="rect">
          <a:avLst/>
        </a:prstGeom>
      </xdr:spPr>
    </xdr:pic>
    <xdr:clientData/>
  </xdr:twoCellAnchor>
  <xdr:twoCellAnchor editAs="oneCell">
    <xdr:from>
      <xdr:col>0</xdr:col>
      <xdr:colOff>0</xdr:colOff>
      <xdr:row>53</xdr:row>
      <xdr:rowOff>66675</xdr:rowOff>
    </xdr:from>
    <xdr:to>
      <xdr:col>14</xdr:col>
      <xdr:colOff>65367</xdr:colOff>
      <xdr:row>57</xdr:row>
      <xdr:rowOff>66599</xdr:rowOff>
    </xdr:to>
    <xdr:pic>
      <xdr:nvPicPr>
        <xdr:cNvPr id="9" name="图片 8">
          <a:extLst>
            <a:ext uri="{FF2B5EF4-FFF2-40B4-BE49-F238E27FC236}">
              <a16:creationId xmlns:a16="http://schemas.microsoft.com/office/drawing/2014/main" id="{9853A0A6-40DE-ECF1-3B6B-B94591426807}"/>
            </a:ext>
          </a:extLst>
        </xdr:cNvPr>
        <xdr:cNvPicPr>
          <a:picLocks noChangeAspect="1"/>
        </xdr:cNvPicPr>
      </xdr:nvPicPr>
      <xdr:blipFill>
        <a:blip xmlns:r="http://schemas.openxmlformats.org/officeDocument/2006/relationships" r:embed="rId7"/>
        <a:stretch>
          <a:fillRect/>
        </a:stretch>
      </xdr:blipFill>
      <xdr:spPr>
        <a:xfrm>
          <a:off x="0" y="10506075"/>
          <a:ext cx="10466667" cy="609524"/>
        </a:xfrm>
        <a:prstGeom prst="rect">
          <a:avLst/>
        </a:prstGeom>
      </xdr:spPr>
    </xdr:pic>
    <xdr:clientData/>
  </xdr:twoCellAnchor>
  <xdr:twoCellAnchor editAs="oneCell">
    <xdr:from>
      <xdr:col>14</xdr:col>
      <xdr:colOff>28575</xdr:colOff>
      <xdr:row>53</xdr:row>
      <xdr:rowOff>95250</xdr:rowOff>
    </xdr:from>
    <xdr:to>
      <xdr:col>20</xdr:col>
      <xdr:colOff>351870</xdr:colOff>
      <xdr:row>57</xdr:row>
      <xdr:rowOff>104698</xdr:rowOff>
    </xdr:to>
    <xdr:pic>
      <xdr:nvPicPr>
        <xdr:cNvPr id="10" name="图片 9">
          <a:extLst>
            <a:ext uri="{FF2B5EF4-FFF2-40B4-BE49-F238E27FC236}">
              <a16:creationId xmlns:a16="http://schemas.microsoft.com/office/drawing/2014/main" id="{BCC54831-B840-73A9-35AD-4B4BB00F9D3C}"/>
            </a:ext>
          </a:extLst>
        </xdr:cNvPr>
        <xdr:cNvPicPr>
          <a:picLocks noChangeAspect="1"/>
        </xdr:cNvPicPr>
      </xdr:nvPicPr>
      <xdr:blipFill>
        <a:blip xmlns:r="http://schemas.openxmlformats.org/officeDocument/2006/relationships" r:embed="rId8"/>
        <a:stretch>
          <a:fillRect/>
        </a:stretch>
      </xdr:blipFill>
      <xdr:spPr>
        <a:xfrm>
          <a:off x="10429875" y="10534650"/>
          <a:ext cx="4438095" cy="619048"/>
        </a:xfrm>
        <a:prstGeom prst="rect">
          <a:avLst/>
        </a:prstGeom>
      </xdr:spPr>
    </xdr:pic>
    <xdr:clientData/>
  </xdr:twoCellAnchor>
  <xdr:twoCellAnchor editAs="oneCell">
    <xdr:from>
      <xdr:col>0</xdr:col>
      <xdr:colOff>428625</xdr:colOff>
      <xdr:row>74</xdr:row>
      <xdr:rowOff>28575</xdr:rowOff>
    </xdr:from>
    <xdr:to>
      <xdr:col>10</xdr:col>
      <xdr:colOff>484887</xdr:colOff>
      <xdr:row>114</xdr:row>
      <xdr:rowOff>84954</xdr:rowOff>
    </xdr:to>
    <xdr:pic>
      <xdr:nvPicPr>
        <xdr:cNvPr id="11" name="图片 10">
          <a:extLst>
            <a:ext uri="{FF2B5EF4-FFF2-40B4-BE49-F238E27FC236}">
              <a16:creationId xmlns:a16="http://schemas.microsoft.com/office/drawing/2014/main" id="{55FE159A-3854-5DA0-FC16-477FB0BB76C5}"/>
            </a:ext>
          </a:extLst>
        </xdr:cNvPr>
        <xdr:cNvPicPr>
          <a:picLocks noChangeAspect="1"/>
        </xdr:cNvPicPr>
      </xdr:nvPicPr>
      <xdr:blipFill>
        <a:blip xmlns:r="http://schemas.openxmlformats.org/officeDocument/2006/relationships" r:embed="rId9"/>
        <a:stretch>
          <a:fillRect/>
        </a:stretch>
      </xdr:blipFill>
      <xdr:spPr>
        <a:xfrm>
          <a:off x="428625" y="13801725"/>
          <a:ext cx="7104762" cy="6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640;&#21644;&#20113;&#23792;/&#20113;&#23792;&#39033;&#30446;&#25151;&#20135;&#31246;/&#39640;&#21644;&#20113;&#23792;&#39033;&#30446;&#25151;&#20135;&#31246;&#32564;&#31246;&#32479;&#35745;&#34920;2021&#24180;4&#23395;&#24230;-twy220106&#26356;&#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房土税汇总表2018年下半年"/>
      <sheetName val="房土税汇总表2019年上半年"/>
      <sheetName val="房产税缴税表2019年上半年"/>
      <sheetName val="房产税缴税表2018年下半年"/>
      <sheetName val="房产税缴税表2017年12月"/>
      <sheetName val="4-购买契税缴税节奏"/>
      <sheetName val="5-购买印花税缴税节奏"/>
      <sheetName val="房产税缴税表2018年上半年"/>
      <sheetName val="印花税2019上半年"/>
      <sheetName val="房土税汇总表2021年2季度0709"/>
      <sheetName val="房土税汇总表2021年1季度"/>
      <sheetName val="房土税汇总表2021年2季度"/>
      <sheetName val="高和云峰-租赁信息&amp;印花税2022上半年（从租计征）"/>
      <sheetName val="房土税汇总表2021年4季度"/>
      <sheetName val="房产税缴税表2021年4季度-twy"/>
      <sheetName val="高和云峰-租赁信息&amp;印花税2021下半年（从租计征）"/>
      <sheetName val="产权过户信息"/>
      <sheetName val="房土税汇总表2021年3季度1018"/>
      <sheetName val="房产税缴税表2021年3季度0923"/>
      <sheetName val="高和云峰-租赁信息&amp;印花税2021上半年（从租计征）"/>
      <sheetName val="房产税缴税表2021年2季度"/>
      <sheetName val="房土税汇总表2021年3季度"/>
      <sheetName val="房产税缴税表2021年3季度"/>
      <sheetName val="房产税缴税表汇总2021年全年"/>
      <sheetName val="房产税缴税表2021年4季度-smy"/>
      <sheetName val="高和云峰-租赁信息&amp;印花税2019上半年（从租计征）"/>
      <sheetName val="房土税汇总表2019年下半年"/>
      <sheetName val="房产税缴税表2019年下半年"/>
      <sheetName val="高和云峰-租赁信息&amp;印花税2019下半年（从租计征）"/>
      <sheetName val="高和云峰-租赁信息&amp;印花税2019上半年（从租计征）-印花税"/>
      <sheetName val="高和云峰-租赁信息&amp;印花税2018下半年（从租计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t="str">
            <v>1层</v>
          </cell>
          <cell r="D5">
            <v>127.79</v>
          </cell>
          <cell r="E5">
            <v>120.81</v>
          </cell>
          <cell r="F5">
            <v>7871864</v>
          </cell>
          <cell r="G5">
            <v>7497013.3300000001</v>
          </cell>
          <cell r="H5">
            <v>374850.67</v>
          </cell>
          <cell r="J5">
            <v>43049</v>
          </cell>
          <cell r="K5" t="str">
            <v>沪（2017）杨字不动产权第020790号</v>
          </cell>
        </row>
        <row r="6">
          <cell r="C6" t="str">
            <v>1_2层</v>
          </cell>
          <cell r="D6">
            <v>1218.17</v>
          </cell>
          <cell r="E6">
            <v>1151.6600000000001</v>
          </cell>
          <cell r="F6">
            <v>54817650</v>
          </cell>
          <cell r="G6">
            <v>52207285.710000001</v>
          </cell>
          <cell r="H6">
            <v>2610364.29</v>
          </cell>
          <cell r="J6">
            <v>43049</v>
          </cell>
          <cell r="K6" t="str">
            <v>沪（2017）杨字不动产权第020790号</v>
          </cell>
        </row>
        <row r="7">
          <cell r="C7">
            <v>203</v>
          </cell>
          <cell r="D7">
            <v>190.34</v>
          </cell>
          <cell r="E7">
            <v>67.709999999999994</v>
          </cell>
          <cell r="F7">
            <v>6057726</v>
          </cell>
          <cell r="G7">
            <v>5769262.8600000003</v>
          </cell>
          <cell r="H7">
            <v>288463.14</v>
          </cell>
          <cell r="J7">
            <v>43049</v>
          </cell>
          <cell r="K7" t="str">
            <v>沪（2017）杨字不动产权第020794号</v>
          </cell>
        </row>
        <row r="8">
          <cell r="C8">
            <v>301</v>
          </cell>
          <cell r="D8">
            <v>409.84</v>
          </cell>
          <cell r="E8">
            <v>222.45</v>
          </cell>
          <cell r="F8">
            <v>15164080</v>
          </cell>
          <cell r="G8">
            <v>14441980.949999999</v>
          </cell>
          <cell r="H8">
            <v>722099.05</v>
          </cell>
          <cell r="J8">
            <v>43049</v>
          </cell>
          <cell r="K8" t="str">
            <v>沪（2017）杨字不动产权第020794号</v>
          </cell>
        </row>
        <row r="9">
          <cell r="C9">
            <v>302</v>
          </cell>
          <cell r="D9">
            <v>262.27999999999997</v>
          </cell>
          <cell r="E9">
            <v>142.35</v>
          </cell>
          <cell r="F9">
            <v>9966640</v>
          </cell>
          <cell r="G9">
            <v>9492038.0999999996</v>
          </cell>
          <cell r="H9">
            <v>474601.9</v>
          </cell>
          <cell r="J9">
            <v>43049</v>
          </cell>
          <cell r="K9" t="str">
            <v>沪（2017）杨字不动产权第020794号</v>
          </cell>
        </row>
        <row r="10">
          <cell r="C10">
            <v>303</v>
          </cell>
          <cell r="D10">
            <v>214.39</v>
          </cell>
          <cell r="E10">
            <v>116.36</v>
          </cell>
          <cell r="F10">
            <v>8146820</v>
          </cell>
          <cell r="G10">
            <v>7758876.1900000004</v>
          </cell>
          <cell r="H10">
            <v>387943.81</v>
          </cell>
          <cell r="J10">
            <v>43049</v>
          </cell>
          <cell r="K10" t="str">
            <v>沪（2017）杨字不动产权第020794号</v>
          </cell>
        </row>
        <row r="11">
          <cell r="C11">
            <v>305</v>
          </cell>
          <cell r="D11">
            <v>110.2</v>
          </cell>
          <cell r="E11">
            <v>59.81</v>
          </cell>
          <cell r="F11">
            <v>4187600</v>
          </cell>
          <cell r="G11">
            <v>3988190.48</v>
          </cell>
          <cell r="H11">
            <v>199409.52</v>
          </cell>
          <cell r="J11">
            <v>43049</v>
          </cell>
          <cell r="K11" t="str">
            <v>沪（2017）杨字不动产权第020794号</v>
          </cell>
        </row>
        <row r="12">
          <cell r="C12">
            <v>306</v>
          </cell>
          <cell r="D12">
            <v>508.42</v>
          </cell>
          <cell r="E12">
            <v>275.95999999999998</v>
          </cell>
          <cell r="F12">
            <v>18811540</v>
          </cell>
          <cell r="G12">
            <v>17915752.379999999</v>
          </cell>
          <cell r="H12">
            <v>895787.62</v>
          </cell>
          <cell r="J12">
            <v>43049</v>
          </cell>
          <cell r="K12" t="str">
            <v>沪（2017）杨字不动产权第020794号</v>
          </cell>
        </row>
        <row r="13">
          <cell r="C13" t="str">
            <v>地下1层车位1</v>
          </cell>
          <cell r="D13">
            <v>49.34</v>
          </cell>
          <cell r="F13">
            <v>300000</v>
          </cell>
          <cell r="G13">
            <v>285714.28999999998</v>
          </cell>
          <cell r="H13">
            <v>14285.71</v>
          </cell>
          <cell r="J13">
            <v>43049</v>
          </cell>
          <cell r="K13" t="str">
            <v>沪（2017）杨字不动产权第020794号</v>
          </cell>
        </row>
        <row r="14">
          <cell r="C14" t="str">
            <v>地下1层车位2</v>
          </cell>
          <cell r="D14">
            <v>49.34</v>
          </cell>
          <cell r="F14">
            <v>300000</v>
          </cell>
          <cell r="G14">
            <v>285714.28999999998</v>
          </cell>
          <cell r="H14">
            <v>14285.71</v>
          </cell>
          <cell r="J14">
            <v>43049</v>
          </cell>
          <cell r="K14" t="str">
            <v>沪（2017）杨字不动产权第020794号</v>
          </cell>
        </row>
        <row r="15">
          <cell r="C15" t="str">
            <v>地下1层车位3</v>
          </cell>
          <cell r="D15">
            <v>49.34</v>
          </cell>
          <cell r="F15">
            <v>300000</v>
          </cell>
          <cell r="G15">
            <v>285714.28999999998</v>
          </cell>
          <cell r="H15">
            <v>14285.71</v>
          </cell>
          <cell r="J15">
            <v>43049</v>
          </cell>
          <cell r="K15" t="str">
            <v>沪（2017）杨字不动产权第020794号</v>
          </cell>
        </row>
        <row r="16">
          <cell r="C16" t="str">
            <v>地下1层车位4</v>
          </cell>
          <cell r="D16">
            <v>49.34</v>
          </cell>
          <cell r="F16">
            <v>300000</v>
          </cell>
          <cell r="G16">
            <v>285714.28999999998</v>
          </cell>
          <cell r="H16">
            <v>14285.71</v>
          </cell>
          <cell r="J16">
            <v>43049</v>
          </cell>
          <cell r="K16" t="str">
            <v>沪（2017）杨字不动产权第020794号</v>
          </cell>
        </row>
        <row r="17">
          <cell r="C17">
            <v>501</v>
          </cell>
          <cell r="D17">
            <v>112.44</v>
          </cell>
          <cell r="E17">
            <v>69.239999999999995</v>
          </cell>
          <cell r="F17">
            <v>4497600</v>
          </cell>
          <cell r="G17">
            <v>4283428.57</v>
          </cell>
          <cell r="H17">
            <v>214171.43</v>
          </cell>
          <cell r="J17">
            <v>43047</v>
          </cell>
          <cell r="K17" t="str">
            <v>沪（2017）杨字不动产权第020627号</v>
          </cell>
        </row>
        <row r="18">
          <cell r="C18">
            <v>502</v>
          </cell>
          <cell r="D18">
            <v>105.96</v>
          </cell>
          <cell r="E18">
            <v>65.25</v>
          </cell>
          <cell r="F18">
            <v>4238400</v>
          </cell>
          <cell r="G18">
            <v>4036571.43</v>
          </cell>
          <cell r="H18">
            <v>201828.57</v>
          </cell>
          <cell r="J18">
            <v>43047</v>
          </cell>
          <cell r="K18" t="str">
            <v>沪（2017）杨字不动产权第020627号</v>
          </cell>
        </row>
        <row r="19">
          <cell r="C19">
            <v>503</v>
          </cell>
          <cell r="D19">
            <v>236.16</v>
          </cell>
          <cell r="E19">
            <v>145.43</v>
          </cell>
          <cell r="F19">
            <v>9446400</v>
          </cell>
          <cell r="G19">
            <v>8996571.4299999997</v>
          </cell>
          <cell r="H19">
            <v>449828.57</v>
          </cell>
          <cell r="J19">
            <v>43047</v>
          </cell>
          <cell r="K19" t="str">
            <v>沪（2017）杨字不动产权第020627号</v>
          </cell>
        </row>
        <row r="20">
          <cell r="C20">
            <v>505</v>
          </cell>
          <cell r="D20">
            <v>236.16</v>
          </cell>
          <cell r="E20">
            <v>145.43</v>
          </cell>
          <cell r="F20">
            <v>9446400</v>
          </cell>
          <cell r="G20">
            <v>8996571.4299999997</v>
          </cell>
          <cell r="H20">
            <v>449828.57</v>
          </cell>
          <cell r="J20">
            <v>43047</v>
          </cell>
          <cell r="K20" t="str">
            <v>沪（2017）杨字不动产权第020627号</v>
          </cell>
        </row>
        <row r="21">
          <cell r="C21">
            <v>506</v>
          </cell>
          <cell r="D21">
            <v>105.96</v>
          </cell>
          <cell r="E21">
            <v>65.25</v>
          </cell>
          <cell r="F21">
            <v>4238400</v>
          </cell>
          <cell r="G21">
            <v>4036571.43</v>
          </cell>
          <cell r="H21">
            <v>201828.57</v>
          </cell>
          <cell r="J21">
            <v>43047</v>
          </cell>
          <cell r="K21" t="str">
            <v>沪（2017）杨字不动产权第020627号</v>
          </cell>
        </row>
        <row r="22">
          <cell r="C22">
            <v>507</v>
          </cell>
          <cell r="D22">
            <v>112.44</v>
          </cell>
          <cell r="E22">
            <v>69.239999999999995</v>
          </cell>
          <cell r="F22">
            <v>4497600</v>
          </cell>
          <cell r="G22">
            <v>4283428.57</v>
          </cell>
          <cell r="H22">
            <v>214171.43</v>
          </cell>
          <cell r="J22">
            <v>43047</v>
          </cell>
          <cell r="K22" t="str">
            <v>沪（2017）杨字不动产权第020627号</v>
          </cell>
        </row>
        <row r="23">
          <cell r="C23">
            <v>508</v>
          </cell>
          <cell r="D23">
            <v>118.57</v>
          </cell>
          <cell r="E23">
            <v>73.010000000000005</v>
          </cell>
          <cell r="F23">
            <v>4742800</v>
          </cell>
          <cell r="G23">
            <v>4516952.38</v>
          </cell>
          <cell r="H23">
            <v>225847.62</v>
          </cell>
          <cell r="J23">
            <v>43047</v>
          </cell>
          <cell r="K23" t="str">
            <v>沪（2017）杨字不动产权第020627号</v>
          </cell>
        </row>
        <row r="24">
          <cell r="C24">
            <v>509</v>
          </cell>
          <cell r="D24">
            <v>75.59</v>
          </cell>
          <cell r="E24">
            <v>46.55</v>
          </cell>
          <cell r="F24">
            <v>3023600</v>
          </cell>
          <cell r="G24">
            <v>2879619.05</v>
          </cell>
          <cell r="H24">
            <v>143980.95000000001</v>
          </cell>
          <cell r="J24">
            <v>43047</v>
          </cell>
          <cell r="K24" t="str">
            <v>沪（2017）杨字不动产权第020627号</v>
          </cell>
        </row>
        <row r="25">
          <cell r="C25">
            <v>510</v>
          </cell>
          <cell r="D25">
            <v>118.57</v>
          </cell>
          <cell r="E25">
            <v>73.010000000000005</v>
          </cell>
          <cell r="F25">
            <v>4742800</v>
          </cell>
          <cell r="G25">
            <v>4516952.38</v>
          </cell>
          <cell r="H25">
            <v>225847.62</v>
          </cell>
          <cell r="J25">
            <v>43047</v>
          </cell>
          <cell r="K25" t="str">
            <v>沪（2017）杨字不动产权第020627号</v>
          </cell>
        </row>
        <row r="26">
          <cell r="C26">
            <v>601</v>
          </cell>
          <cell r="D26">
            <v>112.44</v>
          </cell>
          <cell r="E26">
            <v>69.239999999999995</v>
          </cell>
          <cell r="F26">
            <v>4610040</v>
          </cell>
          <cell r="G26">
            <v>4390514.29</v>
          </cell>
          <cell r="H26">
            <v>219525.71</v>
          </cell>
          <cell r="J26">
            <v>43047</v>
          </cell>
          <cell r="K26" t="str">
            <v>沪（2017）杨字不动产权第020627号</v>
          </cell>
        </row>
        <row r="27">
          <cell r="C27">
            <v>602</v>
          </cell>
          <cell r="D27">
            <v>105.96</v>
          </cell>
          <cell r="E27">
            <v>65.25</v>
          </cell>
          <cell r="F27">
            <v>4344360</v>
          </cell>
          <cell r="G27">
            <v>4137485.71</v>
          </cell>
          <cell r="H27">
            <v>206874.29</v>
          </cell>
          <cell r="J27">
            <v>43047</v>
          </cell>
          <cell r="K27" t="str">
            <v>沪（2017）杨字不动产权第020627号</v>
          </cell>
        </row>
        <row r="28">
          <cell r="C28">
            <v>603</v>
          </cell>
          <cell r="D28">
            <v>236.16</v>
          </cell>
          <cell r="E28">
            <v>145.43</v>
          </cell>
          <cell r="F28">
            <v>9682560</v>
          </cell>
          <cell r="G28">
            <v>9221485.7100000009</v>
          </cell>
          <cell r="H28">
            <v>461074.29</v>
          </cell>
          <cell r="J28">
            <v>43047</v>
          </cell>
          <cell r="K28" t="str">
            <v>沪（2017）杨字不动产权第020627号</v>
          </cell>
        </row>
        <row r="29">
          <cell r="C29">
            <v>605</v>
          </cell>
          <cell r="D29">
            <v>236.16</v>
          </cell>
          <cell r="E29">
            <v>145.43</v>
          </cell>
          <cell r="F29">
            <v>9682560</v>
          </cell>
          <cell r="G29">
            <v>9221485.7100000009</v>
          </cell>
          <cell r="H29">
            <v>461074.29</v>
          </cell>
          <cell r="J29">
            <v>43047</v>
          </cell>
          <cell r="K29" t="str">
            <v>沪（2017）杨字不动产权第020627号</v>
          </cell>
        </row>
        <row r="30">
          <cell r="C30">
            <v>606</v>
          </cell>
          <cell r="D30">
            <v>105.96</v>
          </cell>
          <cell r="E30">
            <v>65.25</v>
          </cell>
          <cell r="F30">
            <v>4344360</v>
          </cell>
          <cell r="G30">
            <v>4137485.71</v>
          </cell>
          <cell r="H30">
            <v>206874.29</v>
          </cell>
          <cell r="J30">
            <v>43047</v>
          </cell>
          <cell r="K30" t="str">
            <v>沪（2017）杨字不动产权第020627号</v>
          </cell>
        </row>
        <row r="31">
          <cell r="C31">
            <v>607</v>
          </cell>
          <cell r="D31">
            <v>112.44</v>
          </cell>
          <cell r="E31">
            <v>69.239999999999995</v>
          </cell>
          <cell r="F31">
            <v>4610040</v>
          </cell>
          <cell r="G31">
            <v>4390514.29</v>
          </cell>
          <cell r="H31">
            <v>219525.71</v>
          </cell>
          <cell r="J31">
            <v>43047</v>
          </cell>
          <cell r="K31" t="str">
            <v>沪（2017）杨字不动产权第020627号</v>
          </cell>
        </row>
        <row r="32">
          <cell r="C32">
            <v>608</v>
          </cell>
          <cell r="D32">
            <v>118.57</v>
          </cell>
          <cell r="E32">
            <v>73.010000000000005</v>
          </cell>
          <cell r="F32">
            <v>4861370</v>
          </cell>
          <cell r="G32">
            <v>4629876.1900000004</v>
          </cell>
          <cell r="H32">
            <v>231493.81</v>
          </cell>
          <cell r="J32">
            <v>43047</v>
          </cell>
          <cell r="K32" t="str">
            <v>沪（2017）杨字不动产权第020627号</v>
          </cell>
        </row>
        <row r="33">
          <cell r="C33">
            <v>609</v>
          </cell>
          <cell r="D33">
            <v>75.59</v>
          </cell>
          <cell r="E33">
            <v>46.55</v>
          </cell>
          <cell r="F33">
            <v>3099190</v>
          </cell>
          <cell r="G33">
            <v>2951609.52</v>
          </cell>
          <cell r="H33">
            <v>147580.48000000001</v>
          </cell>
          <cell r="J33">
            <v>43047</v>
          </cell>
          <cell r="K33" t="str">
            <v>沪（2017）杨字不动产权第020627号</v>
          </cell>
        </row>
        <row r="34">
          <cell r="C34">
            <v>610</v>
          </cell>
          <cell r="D34">
            <v>118.57</v>
          </cell>
          <cell r="E34">
            <v>73.010000000000005</v>
          </cell>
          <cell r="F34">
            <v>4861370</v>
          </cell>
          <cell r="G34">
            <v>4629876.1900000004</v>
          </cell>
          <cell r="H34">
            <v>231493.81</v>
          </cell>
          <cell r="J34">
            <v>43047</v>
          </cell>
          <cell r="K34" t="str">
            <v>沪（2017）杨字不动产权第020627号</v>
          </cell>
        </row>
        <row r="35">
          <cell r="C35" t="str">
            <v>地下1层车位5</v>
          </cell>
          <cell r="D35">
            <v>49.34</v>
          </cell>
          <cell r="F35">
            <v>300000</v>
          </cell>
          <cell r="G35">
            <v>285714.28999999998</v>
          </cell>
          <cell r="H35">
            <v>14285.71</v>
          </cell>
          <cell r="J35">
            <v>43047</v>
          </cell>
          <cell r="K35" t="str">
            <v>沪（2017）杨字不动产权第020627号</v>
          </cell>
        </row>
        <row r="36">
          <cell r="C36" t="str">
            <v>地下1层车位6</v>
          </cell>
          <cell r="D36">
            <v>49.34</v>
          </cell>
          <cell r="F36">
            <v>300000</v>
          </cell>
          <cell r="G36">
            <v>285714.28999999998</v>
          </cell>
          <cell r="H36">
            <v>14285.71</v>
          </cell>
          <cell r="J36">
            <v>43047</v>
          </cell>
          <cell r="K36" t="str">
            <v>沪（2017）杨字不动产权第020627号</v>
          </cell>
        </row>
        <row r="37">
          <cell r="C37" t="str">
            <v>地下1层车位7</v>
          </cell>
          <cell r="D37">
            <v>49.34</v>
          </cell>
          <cell r="F37">
            <v>300000</v>
          </cell>
          <cell r="G37">
            <v>285714.28999999998</v>
          </cell>
          <cell r="H37">
            <v>14285.71</v>
          </cell>
          <cell r="J37">
            <v>43047</v>
          </cell>
          <cell r="K37" t="str">
            <v>沪（2017）杨字不动产权第020627号</v>
          </cell>
        </row>
        <row r="38">
          <cell r="C38" t="str">
            <v>地下1层车位8</v>
          </cell>
          <cell r="D38">
            <v>49.34</v>
          </cell>
          <cell r="F38">
            <v>300000</v>
          </cell>
          <cell r="G38">
            <v>285714.28999999998</v>
          </cell>
          <cell r="H38">
            <v>14285.71</v>
          </cell>
          <cell r="J38">
            <v>43047</v>
          </cell>
          <cell r="K38" t="str">
            <v>沪（2017）杨字不动产权第020627号</v>
          </cell>
        </row>
        <row r="39">
          <cell r="C39" t="str">
            <v>地下1层车位9</v>
          </cell>
          <cell r="D39">
            <v>30.6</v>
          </cell>
          <cell r="F39">
            <v>250000</v>
          </cell>
          <cell r="G39">
            <v>238095.24</v>
          </cell>
          <cell r="H39">
            <v>11904.76</v>
          </cell>
          <cell r="J39">
            <v>43047</v>
          </cell>
          <cell r="K39" t="str">
            <v>沪（2017）杨字不动产权第020627号</v>
          </cell>
        </row>
        <row r="40">
          <cell r="C40" t="str">
            <v>地下1层车位10</v>
          </cell>
          <cell r="D40">
            <v>49.34</v>
          </cell>
          <cell r="F40">
            <v>300000</v>
          </cell>
          <cell r="G40">
            <v>285714.28999999998</v>
          </cell>
          <cell r="H40">
            <v>14285.71</v>
          </cell>
          <cell r="J40">
            <v>43047</v>
          </cell>
          <cell r="K40" t="str">
            <v>沪（2017）杨字不动产权第020627号</v>
          </cell>
        </row>
        <row r="41">
          <cell r="C41" t="str">
            <v>地下1层车位11</v>
          </cell>
          <cell r="D41">
            <v>49.34</v>
          </cell>
          <cell r="F41">
            <v>300000</v>
          </cell>
          <cell r="G41">
            <v>285714.28999999998</v>
          </cell>
          <cell r="H41">
            <v>14285.71</v>
          </cell>
          <cell r="J41">
            <v>43047</v>
          </cell>
          <cell r="K41" t="str">
            <v>沪（2017）杨字不动产权第020627号</v>
          </cell>
        </row>
        <row r="42">
          <cell r="C42" t="str">
            <v>地下1层车位12</v>
          </cell>
          <cell r="D42">
            <v>49.34</v>
          </cell>
          <cell r="F42">
            <v>300000</v>
          </cell>
          <cell r="G42">
            <v>285714.28999999998</v>
          </cell>
          <cell r="H42">
            <v>14285.71</v>
          </cell>
          <cell r="J42">
            <v>43047</v>
          </cell>
          <cell r="K42" t="str">
            <v>沪（2017）杨字不动产权第020627号</v>
          </cell>
        </row>
        <row r="43">
          <cell r="C43">
            <v>701</v>
          </cell>
          <cell r="D43">
            <v>112.44</v>
          </cell>
          <cell r="E43">
            <v>69.239999999999995</v>
          </cell>
          <cell r="F43">
            <v>4722480</v>
          </cell>
          <cell r="G43">
            <v>4497600</v>
          </cell>
          <cell r="H43">
            <v>224880</v>
          </cell>
          <cell r="J43">
            <v>43049</v>
          </cell>
          <cell r="K43" t="str">
            <v>沪（2017）杨字不动产权第020767号</v>
          </cell>
        </row>
        <row r="44">
          <cell r="C44">
            <v>702</v>
          </cell>
          <cell r="D44">
            <v>105.96</v>
          </cell>
          <cell r="E44">
            <v>65.25</v>
          </cell>
          <cell r="F44">
            <v>4450320</v>
          </cell>
          <cell r="G44">
            <v>4238400</v>
          </cell>
          <cell r="H44">
            <v>211920</v>
          </cell>
          <cell r="J44">
            <v>43049</v>
          </cell>
          <cell r="K44" t="str">
            <v>沪（2017）杨字不动产权第020767号</v>
          </cell>
        </row>
        <row r="45">
          <cell r="C45">
            <v>703</v>
          </cell>
          <cell r="D45">
            <v>236.16</v>
          </cell>
          <cell r="E45">
            <v>145.43</v>
          </cell>
          <cell r="F45">
            <v>9918720</v>
          </cell>
          <cell r="G45">
            <v>9446400</v>
          </cell>
          <cell r="H45">
            <v>472320</v>
          </cell>
          <cell r="J45">
            <v>43049</v>
          </cell>
          <cell r="K45" t="str">
            <v>沪（2017）杨字不动产权第020767号</v>
          </cell>
        </row>
        <row r="46">
          <cell r="C46">
            <v>705</v>
          </cell>
          <cell r="D46">
            <v>236.16</v>
          </cell>
          <cell r="E46">
            <v>145.43</v>
          </cell>
          <cell r="F46">
            <v>9918720</v>
          </cell>
          <cell r="G46">
            <v>9446400</v>
          </cell>
          <cell r="H46">
            <v>472320</v>
          </cell>
          <cell r="J46">
            <v>43049</v>
          </cell>
          <cell r="K46" t="str">
            <v>沪（2017）杨字不动产权第020767号</v>
          </cell>
        </row>
        <row r="47">
          <cell r="C47">
            <v>706</v>
          </cell>
          <cell r="D47">
            <v>105.96</v>
          </cell>
          <cell r="E47">
            <v>65.25</v>
          </cell>
          <cell r="F47">
            <v>4450320</v>
          </cell>
          <cell r="G47">
            <v>4238400</v>
          </cell>
          <cell r="H47">
            <v>211920</v>
          </cell>
          <cell r="J47">
            <v>43049</v>
          </cell>
          <cell r="K47" t="str">
            <v>沪（2017）杨字不动产权第020767号</v>
          </cell>
        </row>
        <row r="48">
          <cell r="C48">
            <v>707</v>
          </cell>
          <cell r="D48">
            <v>112.44</v>
          </cell>
          <cell r="E48">
            <v>69.239999999999995</v>
          </cell>
          <cell r="F48">
            <v>4722480</v>
          </cell>
          <cell r="G48">
            <v>4497600</v>
          </cell>
          <cell r="H48">
            <v>224880</v>
          </cell>
          <cell r="J48">
            <v>43049</v>
          </cell>
          <cell r="K48" t="str">
            <v>沪（2017）杨字不动产权第020767号</v>
          </cell>
        </row>
        <row r="49">
          <cell r="C49">
            <v>708</v>
          </cell>
          <cell r="D49">
            <v>118.57</v>
          </cell>
          <cell r="E49">
            <v>73.010000000000005</v>
          </cell>
          <cell r="F49">
            <v>4979940</v>
          </cell>
          <cell r="G49">
            <v>4742800</v>
          </cell>
          <cell r="H49">
            <v>237140</v>
          </cell>
          <cell r="J49">
            <v>43049</v>
          </cell>
          <cell r="K49" t="str">
            <v>沪（2017）杨字不动产权第020767号</v>
          </cell>
        </row>
        <row r="50">
          <cell r="C50">
            <v>709</v>
          </cell>
          <cell r="D50">
            <v>75.59</v>
          </cell>
          <cell r="E50">
            <v>46.55</v>
          </cell>
          <cell r="F50">
            <v>3174780</v>
          </cell>
          <cell r="G50">
            <v>3023600</v>
          </cell>
          <cell r="H50">
            <v>151180</v>
          </cell>
          <cell r="J50">
            <v>43049</v>
          </cell>
          <cell r="K50" t="str">
            <v>沪（2017）杨字不动产权第020767号</v>
          </cell>
        </row>
        <row r="51">
          <cell r="C51">
            <v>710</v>
          </cell>
          <cell r="D51">
            <v>118.57</v>
          </cell>
          <cell r="E51">
            <v>73.010000000000005</v>
          </cell>
          <cell r="F51">
            <v>4979940</v>
          </cell>
          <cell r="G51">
            <v>4742800</v>
          </cell>
          <cell r="H51">
            <v>237140</v>
          </cell>
          <cell r="J51">
            <v>43049</v>
          </cell>
          <cell r="K51" t="str">
            <v>沪（2017）杨字不动产权第020767号</v>
          </cell>
        </row>
        <row r="52">
          <cell r="C52">
            <v>801</v>
          </cell>
          <cell r="D52">
            <v>112.44</v>
          </cell>
          <cell r="E52">
            <v>69.239999999999995</v>
          </cell>
          <cell r="F52">
            <v>4947360</v>
          </cell>
          <cell r="G52">
            <v>4711771.43</v>
          </cell>
          <cell r="H52">
            <v>235588.57</v>
          </cell>
          <cell r="J52">
            <v>43049</v>
          </cell>
          <cell r="K52" t="str">
            <v>沪（2017）杨字不动产权第020767号</v>
          </cell>
        </row>
        <row r="53">
          <cell r="C53">
            <v>802</v>
          </cell>
          <cell r="D53">
            <v>105.96</v>
          </cell>
          <cell r="E53">
            <v>65.25</v>
          </cell>
          <cell r="F53">
            <v>4662240</v>
          </cell>
          <cell r="G53">
            <v>4440228.57</v>
          </cell>
          <cell r="H53">
            <v>222011.43</v>
          </cell>
          <cell r="J53">
            <v>43049</v>
          </cell>
          <cell r="K53" t="str">
            <v>沪（2017）杨字不动产权第020767号</v>
          </cell>
        </row>
        <row r="54">
          <cell r="C54">
            <v>803</v>
          </cell>
          <cell r="D54">
            <v>236.16</v>
          </cell>
          <cell r="E54">
            <v>145.43</v>
          </cell>
          <cell r="F54">
            <v>10391040</v>
          </cell>
          <cell r="G54">
            <v>9896228.5700000003</v>
          </cell>
          <cell r="H54">
            <v>494811.43</v>
          </cell>
          <cell r="J54">
            <v>43049</v>
          </cell>
          <cell r="K54" t="str">
            <v>沪（2017）杨字不动产权第020767号</v>
          </cell>
        </row>
        <row r="55">
          <cell r="C55">
            <v>805</v>
          </cell>
          <cell r="D55">
            <v>236.16</v>
          </cell>
          <cell r="E55">
            <v>145.43</v>
          </cell>
          <cell r="F55">
            <v>10391040</v>
          </cell>
          <cell r="G55">
            <v>9896228.5700000003</v>
          </cell>
          <cell r="H55">
            <v>494811.43</v>
          </cell>
          <cell r="J55">
            <v>43049</v>
          </cell>
          <cell r="K55" t="str">
            <v>沪（2017）杨字不动产权第020767号</v>
          </cell>
        </row>
        <row r="56">
          <cell r="C56">
            <v>806</v>
          </cell>
          <cell r="D56">
            <v>105.96</v>
          </cell>
          <cell r="E56">
            <v>65.25</v>
          </cell>
          <cell r="F56">
            <v>4662240</v>
          </cell>
          <cell r="G56">
            <v>4440228.57</v>
          </cell>
          <cell r="H56">
            <v>222011.43</v>
          </cell>
          <cell r="J56">
            <v>43049</v>
          </cell>
          <cell r="K56" t="str">
            <v>沪（2017）杨字不动产权第020767号</v>
          </cell>
        </row>
        <row r="57">
          <cell r="C57">
            <v>807</v>
          </cell>
          <cell r="D57">
            <v>112.44</v>
          </cell>
          <cell r="E57">
            <v>69.239999999999995</v>
          </cell>
          <cell r="F57">
            <v>4947360</v>
          </cell>
          <cell r="G57">
            <v>4711771.43</v>
          </cell>
          <cell r="H57">
            <v>235588.57</v>
          </cell>
          <cell r="J57">
            <v>43049</v>
          </cell>
          <cell r="K57" t="str">
            <v>沪（2017）杨字不动产权第020767号</v>
          </cell>
        </row>
        <row r="58">
          <cell r="C58">
            <v>808</v>
          </cell>
          <cell r="D58">
            <v>118.57</v>
          </cell>
          <cell r="E58">
            <v>73.010000000000005</v>
          </cell>
          <cell r="F58">
            <v>5217080</v>
          </cell>
          <cell r="G58">
            <v>4968647.62</v>
          </cell>
          <cell r="H58">
            <v>248432.38</v>
          </cell>
          <cell r="J58">
            <v>43049</v>
          </cell>
          <cell r="K58" t="str">
            <v>沪（2017）杨字不动产权第020767号</v>
          </cell>
        </row>
        <row r="59">
          <cell r="C59">
            <v>809</v>
          </cell>
          <cell r="D59">
            <v>75.59</v>
          </cell>
          <cell r="E59">
            <v>46.55</v>
          </cell>
          <cell r="F59">
            <v>3325960</v>
          </cell>
          <cell r="G59">
            <v>3167580.95</v>
          </cell>
          <cell r="H59">
            <v>158379.04999999999</v>
          </cell>
          <cell r="J59">
            <v>43049</v>
          </cell>
          <cell r="K59" t="str">
            <v>沪（2017）杨字不动产权第020767号</v>
          </cell>
        </row>
        <row r="60">
          <cell r="C60">
            <v>810</v>
          </cell>
          <cell r="D60">
            <v>118.57</v>
          </cell>
          <cell r="E60">
            <v>73.010000000000005</v>
          </cell>
          <cell r="F60">
            <v>5217080</v>
          </cell>
          <cell r="G60">
            <v>4968647.62</v>
          </cell>
          <cell r="H60">
            <v>248432.38</v>
          </cell>
          <cell r="J60">
            <v>43049</v>
          </cell>
          <cell r="K60" t="str">
            <v>沪（2017）杨字不动产权第020767号</v>
          </cell>
        </row>
        <row r="61">
          <cell r="C61" t="str">
            <v>地下1层车位13</v>
          </cell>
          <cell r="D61">
            <v>49.34</v>
          </cell>
          <cell r="F61">
            <v>300000</v>
          </cell>
          <cell r="G61">
            <v>285714.28999999998</v>
          </cell>
          <cell r="H61">
            <v>14285.71</v>
          </cell>
          <cell r="J61">
            <v>43049</v>
          </cell>
          <cell r="K61" t="str">
            <v>沪（2017）杨字不动产权第020767号</v>
          </cell>
        </row>
        <row r="62">
          <cell r="C62" t="str">
            <v>地下1层车位20</v>
          </cell>
          <cell r="D62">
            <v>49.34</v>
          </cell>
          <cell r="F62">
            <v>300000</v>
          </cell>
          <cell r="G62">
            <v>285714.28999999998</v>
          </cell>
          <cell r="H62">
            <v>14285.71</v>
          </cell>
          <cell r="J62">
            <v>43049</v>
          </cell>
          <cell r="K62" t="str">
            <v>沪（2017）杨字不动产权第020767号</v>
          </cell>
        </row>
        <row r="63">
          <cell r="C63" t="str">
            <v>地下1层车位21</v>
          </cell>
          <cell r="D63">
            <v>49.34</v>
          </cell>
          <cell r="F63">
            <v>300000</v>
          </cell>
          <cell r="G63">
            <v>285714.28999999998</v>
          </cell>
          <cell r="H63">
            <v>14285.71</v>
          </cell>
          <cell r="J63">
            <v>43049</v>
          </cell>
          <cell r="K63" t="str">
            <v>沪（2017）杨字不动产权第020767号</v>
          </cell>
        </row>
        <row r="64">
          <cell r="C64" t="str">
            <v>地下1层车位22</v>
          </cell>
          <cell r="D64">
            <v>49.34</v>
          </cell>
          <cell r="F64">
            <v>300000</v>
          </cell>
          <cell r="G64">
            <v>285714.28999999998</v>
          </cell>
          <cell r="H64">
            <v>14285.71</v>
          </cell>
          <cell r="J64">
            <v>43049</v>
          </cell>
          <cell r="K64" t="str">
            <v>沪（2017）杨字不动产权第020767号</v>
          </cell>
        </row>
        <row r="65">
          <cell r="C65" t="str">
            <v>地下1层车位23</v>
          </cell>
          <cell r="D65">
            <v>49.34</v>
          </cell>
          <cell r="F65">
            <v>300000</v>
          </cell>
          <cell r="G65">
            <v>285714.28999999998</v>
          </cell>
          <cell r="H65">
            <v>14285.71</v>
          </cell>
          <cell r="J65">
            <v>43049</v>
          </cell>
          <cell r="K65" t="str">
            <v>沪（2017）杨字不动产权第020767号</v>
          </cell>
        </row>
        <row r="66">
          <cell r="C66" t="str">
            <v>地下1层车位24</v>
          </cell>
          <cell r="D66">
            <v>49.34</v>
          </cell>
          <cell r="F66">
            <v>300000</v>
          </cell>
          <cell r="G66">
            <v>285714.28999999998</v>
          </cell>
          <cell r="H66">
            <v>14285.71</v>
          </cell>
          <cell r="J66">
            <v>43049</v>
          </cell>
          <cell r="K66" t="str">
            <v>沪（2017）杨字不动产权第020767号</v>
          </cell>
        </row>
        <row r="67">
          <cell r="C67" t="str">
            <v>地下1层车位25</v>
          </cell>
          <cell r="D67">
            <v>49.34</v>
          </cell>
          <cell r="F67">
            <v>300000</v>
          </cell>
          <cell r="G67">
            <v>285714.28999999998</v>
          </cell>
          <cell r="H67">
            <v>14285.71</v>
          </cell>
          <cell r="J67">
            <v>43049</v>
          </cell>
          <cell r="K67" t="str">
            <v>沪（2017）杨字不动产权第020767号</v>
          </cell>
        </row>
        <row r="68">
          <cell r="C68" t="str">
            <v>地下1层车位26</v>
          </cell>
          <cell r="D68">
            <v>49.34</v>
          </cell>
          <cell r="F68">
            <v>300000</v>
          </cell>
          <cell r="G68">
            <v>285714.28999999998</v>
          </cell>
          <cell r="H68">
            <v>14285.71</v>
          </cell>
          <cell r="J68">
            <v>43049</v>
          </cell>
          <cell r="K68" t="str">
            <v>沪（2017）杨字不动产权第020767号</v>
          </cell>
        </row>
        <row r="69">
          <cell r="C69" t="str">
            <v>地下1层车位27</v>
          </cell>
          <cell r="D69">
            <v>49.34</v>
          </cell>
          <cell r="F69">
            <v>300000</v>
          </cell>
          <cell r="G69">
            <v>285714.28999999998</v>
          </cell>
          <cell r="H69">
            <v>14285.71</v>
          </cell>
          <cell r="J69">
            <v>43049</v>
          </cell>
          <cell r="K69" t="str">
            <v>沪（2017）杨字不动产权第020767号</v>
          </cell>
        </row>
        <row r="70">
          <cell r="C70">
            <v>901</v>
          </cell>
          <cell r="D70">
            <v>112.44</v>
          </cell>
          <cell r="E70">
            <v>69.239999999999995</v>
          </cell>
          <cell r="F70">
            <v>5059800</v>
          </cell>
          <cell r="G70">
            <v>4818857.1399999997</v>
          </cell>
          <cell r="H70">
            <v>240942.86</v>
          </cell>
          <cell r="J70">
            <v>43048</v>
          </cell>
          <cell r="K70" t="str">
            <v>沪（2017）杨字不动产权第020662号</v>
          </cell>
        </row>
        <row r="71">
          <cell r="C71">
            <v>902</v>
          </cell>
          <cell r="D71">
            <v>105.96</v>
          </cell>
          <cell r="E71">
            <v>65.25</v>
          </cell>
          <cell r="F71">
            <v>4768200</v>
          </cell>
          <cell r="G71">
            <v>4541142.8600000003</v>
          </cell>
          <cell r="H71">
            <v>227057.14</v>
          </cell>
          <cell r="J71">
            <v>43048</v>
          </cell>
          <cell r="K71" t="str">
            <v>沪（2017）杨字不动产权第020662号</v>
          </cell>
        </row>
        <row r="72">
          <cell r="C72">
            <v>903</v>
          </cell>
          <cell r="D72">
            <v>236.16</v>
          </cell>
          <cell r="E72">
            <v>145.43</v>
          </cell>
          <cell r="F72">
            <v>10627200</v>
          </cell>
          <cell r="G72">
            <v>10121142.859999999</v>
          </cell>
          <cell r="H72">
            <v>506057.14</v>
          </cell>
          <cell r="J72">
            <v>43048</v>
          </cell>
          <cell r="K72" t="str">
            <v>沪（2017）杨字不动产权第020662号</v>
          </cell>
        </row>
        <row r="73">
          <cell r="C73">
            <v>905</v>
          </cell>
          <cell r="D73">
            <v>236.16</v>
          </cell>
          <cell r="E73">
            <v>145.43</v>
          </cell>
          <cell r="F73">
            <v>10627200</v>
          </cell>
          <cell r="G73">
            <v>10121142.859999999</v>
          </cell>
          <cell r="H73">
            <v>506057.14</v>
          </cell>
          <cell r="J73">
            <v>43048</v>
          </cell>
          <cell r="K73" t="str">
            <v>沪（2017）杨字不动产权第020662号</v>
          </cell>
        </row>
        <row r="74">
          <cell r="C74">
            <v>906</v>
          </cell>
          <cell r="D74">
            <v>105.96</v>
          </cell>
          <cell r="E74">
            <v>65.25</v>
          </cell>
          <cell r="F74">
            <v>4768200</v>
          </cell>
          <cell r="G74">
            <v>4541142.8600000003</v>
          </cell>
          <cell r="H74">
            <v>227057.14</v>
          </cell>
          <cell r="J74">
            <v>43048</v>
          </cell>
          <cell r="K74" t="str">
            <v>沪（2017）杨字不动产权第020662号</v>
          </cell>
        </row>
        <row r="75">
          <cell r="C75">
            <v>907</v>
          </cell>
          <cell r="D75">
            <v>112.44</v>
          </cell>
          <cell r="E75">
            <v>69.239999999999995</v>
          </cell>
          <cell r="F75">
            <v>5059800</v>
          </cell>
          <cell r="G75">
            <v>4818857.1399999997</v>
          </cell>
          <cell r="H75">
            <v>240942.86</v>
          </cell>
          <cell r="J75">
            <v>43048</v>
          </cell>
          <cell r="K75" t="str">
            <v>沪（2017）杨字不动产权第020662号</v>
          </cell>
        </row>
        <row r="76">
          <cell r="C76">
            <v>908</v>
          </cell>
          <cell r="D76">
            <v>118.57</v>
          </cell>
          <cell r="E76">
            <v>73.010000000000005</v>
          </cell>
          <cell r="F76">
            <v>5335650</v>
          </cell>
          <cell r="G76">
            <v>5081571.43</v>
          </cell>
          <cell r="H76">
            <v>254078.57</v>
          </cell>
          <cell r="J76">
            <v>43048</v>
          </cell>
          <cell r="K76" t="str">
            <v>沪（2017）杨字不动产权第020662号</v>
          </cell>
        </row>
        <row r="77">
          <cell r="C77">
            <v>909</v>
          </cell>
          <cell r="D77">
            <v>75.59</v>
          </cell>
          <cell r="E77">
            <v>46.55</v>
          </cell>
          <cell r="F77">
            <v>3401550</v>
          </cell>
          <cell r="G77">
            <v>3239571.43</v>
          </cell>
          <cell r="H77">
            <v>161978.57</v>
          </cell>
          <cell r="J77">
            <v>43048</v>
          </cell>
          <cell r="K77" t="str">
            <v>沪（2017）杨字不动产权第020662号</v>
          </cell>
        </row>
        <row r="78">
          <cell r="C78">
            <v>910</v>
          </cell>
          <cell r="D78">
            <v>118.57</v>
          </cell>
          <cell r="E78">
            <v>73.010000000000005</v>
          </cell>
          <cell r="F78">
            <v>5513505</v>
          </cell>
          <cell r="G78">
            <v>5250957.1399999997</v>
          </cell>
          <cell r="H78">
            <v>262547.86</v>
          </cell>
          <cell r="J78">
            <v>43048</v>
          </cell>
          <cell r="K78" t="str">
            <v>沪（2017）杨字不动产权第020662号</v>
          </cell>
        </row>
        <row r="79">
          <cell r="C79">
            <v>1001</v>
          </cell>
          <cell r="D79">
            <v>112.44</v>
          </cell>
          <cell r="E79">
            <v>69.239999999999995</v>
          </cell>
          <cell r="F79">
            <v>5228460</v>
          </cell>
          <cell r="G79">
            <v>4979485.71</v>
          </cell>
          <cell r="H79">
            <v>248974.29</v>
          </cell>
          <cell r="J79">
            <v>43048</v>
          </cell>
          <cell r="K79" t="str">
            <v>沪（2017）杨字不动产权第020662号</v>
          </cell>
        </row>
        <row r="80">
          <cell r="C80">
            <v>1002</v>
          </cell>
          <cell r="D80">
            <v>105.96</v>
          </cell>
          <cell r="E80">
            <v>65.25</v>
          </cell>
          <cell r="F80">
            <v>4927140</v>
          </cell>
          <cell r="G80">
            <v>4692514.29</v>
          </cell>
          <cell r="H80">
            <v>234625.71</v>
          </cell>
          <cell r="J80">
            <v>43048</v>
          </cell>
          <cell r="K80" t="str">
            <v>沪（2017）杨字不动产权第020662号</v>
          </cell>
        </row>
        <row r="81">
          <cell r="C81">
            <v>1003</v>
          </cell>
          <cell r="D81">
            <v>236.16</v>
          </cell>
          <cell r="E81">
            <v>145.43</v>
          </cell>
          <cell r="F81">
            <v>10981440</v>
          </cell>
          <cell r="G81">
            <v>10458514.289999999</v>
          </cell>
          <cell r="H81">
            <v>522925.71</v>
          </cell>
          <cell r="J81">
            <v>43048</v>
          </cell>
          <cell r="K81" t="str">
            <v>沪（2017）杨字不动产权第020662号</v>
          </cell>
        </row>
        <row r="82">
          <cell r="C82">
            <v>1005</v>
          </cell>
          <cell r="D82">
            <v>236.16</v>
          </cell>
          <cell r="E82">
            <v>145.43</v>
          </cell>
          <cell r="F82">
            <v>10981440</v>
          </cell>
          <cell r="G82">
            <v>10458514.289999999</v>
          </cell>
          <cell r="H82">
            <v>522925.71</v>
          </cell>
          <cell r="J82">
            <v>43048</v>
          </cell>
          <cell r="K82" t="str">
            <v>沪（2017）杨字不动产权第020662号</v>
          </cell>
        </row>
        <row r="83">
          <cell r="C83">
            <v>1006</v>
          </cell>
          <cell r="D83">
            <v>105.96</v>
          </cell>
          <cell r="E83">
            <v>65.25</v>
          </cell>
          <cell r="F83">
            <v>4927140</v>
          </cell>
          <cell r="G83">
            <v>4692514.29</v>
          </cell>
          <cell r="H83">
            <v>234625.71</v>
          </cell>
          <cell r="J83">
            <v>43048</v>
          </cell>
          <cell r="K83" t="str">
            <v>沪（2017）杨字不动产权第020662号</v>
          </cell>
        </row>
        <row r="84">
          <cell r="C84">
            <v>1007</v>
          </cell>
          <cell r="D84">
            <v>112.44</v>
          </cell>
          <cell r="E84">
            <v>69.239999999999995</v>
          </cell>
          <cell r="F84">
            <v>5228460</v>
          </cell>
          <cell r="G84">
            <v>4979485.71</v>
          </cell>
          <cell r="H84">
            <v>248974.29</v>
          </cell>
          <cell r="J84">
            <v>43048</v>
          </cell>
          <cell r="K84" t="str">
            <v>沪（2017）杨字不动产权第020662号</v>
          </cell>
        </row>
        <row r="85">
          <cell r="C85">
            <v>1008</v>
          </cell>
          <cell r="D85">
            <v>118.57</v>
          </cell>
          <cell r="E85">
            <v>73.010000000000005</v>
          </cell>
          <cell r="F85">
            <v>5513505</v>
          </cell>
          <cell r="G85">
            <v>5250957.1399999997</v>
          </cell>
          <cell r="H85">
            <v>262547.86</v>
          </cell>
          <cell r="J85">
            <v>43048</v>
          </cell>
          <cell r="K85" t="str">
            <v>沪（2017）杨字不动产权第020662号</v>
          </cell>
        </row>
        <row r="86">
          <cell r="C86">
            <v>1009</v>
          </cell>
          <cell r="D86">
            <v>75.59</v>
          </cell>
          <cell r="E86">
            <v>46.55</v>
          </cell>
          <cell r="F86">
            <v>3514935</v>
          </cell>
          <cell r="G86">
            <v>3347557.14</v>
          </cell>
          <cell r="H86">
            <v>167377.85999999999</v>
          </cell>
          <cell r="J86">
            <v>43048</v>
          </cell>
          <cell r="K86" t="str">
            <v>沪（2017）杨字不动产权第020662号</v>
          </cell>
        </row>
        <row r="87">
          <cell r="C87">
            <v>1010</v>
          </cell>
          <cell r="D87">
            <v>118.57</v>
          </cell>
          <cell r="E87">
            <v>73.010000000000005</v>
          </cell>
          <cell r="F87">
            <v>5513505</v>
          </cell>
          <cell r="G87">
            <v>5250957.1399999997</v>
          </cell>
          <cell r="H87">
            <v>262547.86</v>
          </cell>
          <cell r="J87">
            <v>43048</v>
          </cell>
          <cell r="K87" t="str">
            <v>沪（2017）杨字不动产权第020662号</v>
          </cell>
        </row>
        <row r="88">
          <cell r="C88" t="str">
            <v>地下1层车位28</v>
          </cell>
          <cell r="D88">
            <v>49.34</v>
          </cell>
          <cell r="F88">
            <v>300000</v>
          </cell>
          <cell r="G88">
            <v>285714.28999999998</v>
          </cell>
          <cell r="H88">
            <v>14285.71</v>
          </cell>
          <cell r="J88">
            <v>43048</v>
          </cell>
          <cell r="K88" t="str">
            <v>沪（2017）杨字不动产权第020662号</v>
          </cell>
        </row>
        <row r="89">
          <cell r="C89" t="str">
            <v>地下1层车位29</v>
          </cell>
          <cell r="D89">
            <v>49.34</v>
          </cell>
          <cell r="F89">
            <v>300000</v>
          </cell>
          <cell r="G89">
            <v>285714.28999999998</v>
          </cell>
          <cell r="H89">
            <v>14285.71</v>
          </cell>
          <cell r="J89">
            <v>43048</v>
          </cell>
          <cell r="K89" t="str">
            <v>沪（2017）杨字不动产权第020662号</v>
          </cell>
        </row>
        <row r="90">
          <cell r="C90" t="str">
            <v>地下1层车位30</v>
          </cell>
          <cell r="D90">
            <v>49.34</v>
          </cell>
          <cell r="F90">
            <v>300000</v>
          </cell>
          <cell r="G90">
            <v>285714.28999999998</v>
          </cell>
          <cell r="H90">
            <v>14285.71</v>
          </cell>
          <cell r="J90">
            <v>43048</v>
          </cell>
          <cell r="K90" t="str">
            <v>沪（2017）杨字不动产权第020662号</v>
          </cell>
        </row>
        <row r="91">
          <cell r="C91" t="str">
            <v>地下1层车位31</v>
          </cell>
          <cell r="D91">
            <v>49.34</v>
          </cell>
          <cell r="F91">
            <v>300000</v>
          </cell>
          <cell r="G91">
            <v>285714.28999999998</v>
          </cell>
          <cell r="H91">
            <v>14285.71</v>
          </cell>
          <cell r="J91">
            <v>43048</v>
          </cell>
          <cell r="K91" t="str">
            <v>沪（2017）杨字不动产权第020662号</v>
          </cell>
        </row>
        <row r="92">
          <cell r="C92" t="str">
            <v>地下1层车位32</v>
          </cell>
          <cell r="D92">
            <v>49.34</v>
          </cell>
          <cell r="F92">
            <v>300000</v>
          </cell>
          <cell r="G92">
            <v>285714.28999999998</v>
          </cell>
          <cell r="H92">
            <v>14285.71</v>
          </cell>
          <cell r="J92">
            <v>43048</v>
          </cell>
          <cell r="K92" t="str">
            <v>沪（2017）杨字不动产权第020662号</v>
          </cell>
        </row>
        <row r="93">
          <cell r="C93" t="str">
            <v>地下1层车位33</v>
          </cell>
          <cell r="D93">
            <v>49.34</v>
          </cell>
          <cell r="F93">
            <v>300000</v>
          </cell>
          <cell r="G93">
            <v>285714.28999999998</v>
          </cell>
          <cell r="H93">
            <v>14285.71</v>
          </cell>
          <cell r="J93">
            <v>43048</v>
          </cell>
          <cell r="K93" t="str">
            <v>沪（2017）杨字不动产权第020662号</v>
          </cell>
        </row>
        <row r="94">
          <cell r="C94" t="str">
            <v>地下1层车位35</v>
          </cell>
          <cell r="D94">
            <v>49.34</v>
          </cell>
          <cell r="F94">
            <v>300000</v>
          </cell>
          <cell r="G94">
            <v>285714.28999999998</v>
          </cell>
          <cell r="H94">
            <v>14285.71</v>
          </cell>
          <cell r="J94">
            <v>43048</v>
          </cell>
          <cell r="K94" t="str">
            <v>沪（2017）杨字不动产权第020662号</v>
          </cell>
        </row>
        <row r="95">
          <cell r="C95" t="str">
            <v>地下1层车位36</v>
          </cell>
          <cell r="D95">
            <v>49.34</v>
          </cell>
          <cell r="F95">
            <v>300000</v>
          </cell>
          <cell r="G95">
            <v>285714.28999999998</v>
          </cell>
          <cell r="H95">
            <v>14285.71</v>
          </cell>
          <cell r="J95">
            <v>43048</v>
          </cell>
          <cell r="K95" t="str">
            <v>沪（2017）杨字不动产权第020662号</v>
          </cell>
        </row>
        <row r="96">
          <cell r="C96" t="str">
            <v>地下1层车位37</v>
          </cell>
          <cell r="D96">
            <v>49.34</v>
          </cell>
          <cell r="F96">
            <v>300000</v>
          </cell>
          <cell r="G96">
            <v>285714.28999999998</v>
          </cell>
          <cell r="H96">
            <v>14285.71</v>
          </cell>
          <cell r="J96">
            <v>43048</v>
          </cell>
          <cell r="K96" t="str">
            <v>沪（2017）杨字不动产权第020662号</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xiaohongshu.com/explore/63a159670000000022038545" TargetMode="External"/><Relationship Id="rId2" Type="http://schemas.openxmlformats.org/officeDocument/2006/relationships/hyperlink" Target="https://baijiahao.baidu.com/s?id=1736961932072677250&amp;wfr=spider&amp;for=pc" TargetMode="External"/><Relationship Id="rId1" Type="http://schemas.openxmlformats.org/officeDocument/2006/relationships/hyperlink" Target="https://baijiahao.baidu.com/s?id=1728801307421002586&amp;wfr=spider&amp;for=pc" TargetMode="External"/><Relationship Id="rId5" Type="http://schemas.openxmlformats.org/officeDocument/2006/relationships/drawing" Target="../drawings/drawing7.xml"/><Relationship Id="rId4" Type="http://schemas.openxmlformats.org/officeDocument/2006/relationships/hyperlink" Target="https://www.xiaohongshu.com/explore/63a159670000000022038545"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房地产市场价值预评估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受贵公司委托，我公司对房地产市场价值进行了预评估。</v>
      </c>
    </row>
    <row r="7" spans="1:2">
      <c r="A7" s="1116" t="s">
        <v>566</v>
      </c>
      <c r="B7" s="1117" t="str">
        <f>'预评函-1'!A7</f>
        <v>估价对象为房地产，为所有。根据《国有土地使用证》[]，估价对象（分摊）出让国有建设用地使用权面积为3457.51平方米，建筑面积为11833.99平方米。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估价对象为房地产,为开发建设的办公项目，该项目尚在开发建设中。根据《国有土地使用证》[]，估价对象（分摊）出让国有建设用地使用权面积为3457.51平方米，规划建筑面积为11833.99平方米。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2023年12月31日</v>
      </c>
    </row>
    <row r="13" spans="1:2">
      <c r="A13" s="1116" t="s">
        <v>529</v>
      </c>
      <c r="B13" s="111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f ca="1">'预评函-2'!D5</f>
        <v>30741</v>
      </c>
    </row>
    <row r="21" spans="1:2">
      <c r="A21" s="1116" t="s">
        <v>537</v>
      </c>
      <c r="B21" s="1117">
        <f ca="1">'预评函-2'!D7</f>
        <v>25977</v>
      </c>
    </row>
    <row r="22" spans="1:2">
      <c r="A22" s="1116" t="s">
        <v>538</v>
      </c>
      <c r="B22" s="1117" t="str">
        <f ca="1">'预评函-2'!D6</f>
        <v>叁亿零柒佰肆拾壹万元整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30741</v>
      </c>
    </row>
    <row r="31" spans="1:2">
      <c r="A31" s="1116" t="s">
        <v>576</v>
      </c>
      <c r="B31" s="1117">
        <f ca="1">'预评函-2'!D15</f>
        <v>25977</v>
      </c>
    </row>
    <row r="32" spans="1:2">
      <c r="A32" s="1116" t="s">
        <v>543</v>
      </c>
      <c r="B32" s="1117" t="str">
        <f ca="1">'预评函-2'!D14</f>
        <v>叁亿零柒佰肆拾壹万元整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房地产</v>
      </c>
    </row>
    <row r="42" spans="1:2">
      <c r="A42" s="1116" t="s">
        <v>590</v>
      </c>
      <c r="B42" s="1117" t="str">
        <f>'预评函-3'!B2</f>
        <v>建筑面积</v>
      </c>
    </row>
    <row r="43" spans="1:2">
      <c r="A43" s="1116" t="s">
        <v>591</v>
      </c>
      <c r="B43" s="1117">
        <f>'预评函-3'!B4</f>
        <v>11833.989999999994</v>
      </c>
    </row>
    <row r="44" spans="1:2">
      <c r="A44" s="1116" t="s">
        <v>575</v>
      </c>
      <c r="B44" s="1117" t="str">
        <f>'预评函-3'!C2</f>
        <v>(分摊)土地面积</v>
      </c>
    </row>
    <row r="45" spans="1:2">
      <c r="A45" s="1116" t="s">
        <v>547</v>
      </c>
      <c r="B45" s="1117">
        <f>'预评函-3'!C4</f>
        <v>3457.51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Q99"/>
  <sheetViews>
    <sheetView topLeftCell="G10" workbookViewId="0">
      <selection activeCell="O20" sqref="O20"/>
    </sheetView>
  </sheetViews>
  <sheetFormatPr defaultRowHeight="13.5"/>
  <cols>
    <col min="10" max="10" width="24" bestFit="1" customWidth="1"/>
    <col min="12" max="12" width="15" bestFit="1" customWidth="1"/>
    <col min="16" max="16" width="11.375" bestFit="1" customWidth="1"/>
  </cols>
  <sheetData>
    <row r="1" spans="2:17">
      <c r="B1" s="3143" t="s">
        <v>3379</v>
      </c>
      <c r="C1" s="3143" t="s">
        <v>3380</v>
      </c>
      <c r="D1" s="3143" t="s">
        <v>3381</v>
      </c>
      <c r="E1" s="3143" t="s">
        <v>3382</v>
      </c>
      <c r="F1" s="3143" t="s">
        <v>3383</v>
      </c>
      <c r="G1" s="3143" t="s">
        <v>3384</v>
      </c>
      <c r="H1" s="3143" t="s">
        <v>3385</v>
      </c>
      <c r="I1" s="3143" t="s">
        <v>3386</v>
      </c>
      <c r="J1" s="3143" t="s">
        <v>3387</v>
      </c>
      <c r="K1" s="3141"/>
      <c r="L1" s="3141"/>
      <c r="M1" s="3141"/>
      <c r="N1" s="3141"/>
      <c r="O1" s="3141"/>
      <c r="P1" s="3141"/>
      <c r="Q1" s="3141"/>
    </row>
    <row r="2" spans="2:17">
      <c r="B2" s="3143">
        <v>1</v>
      </c>
      <c r="C2" s="3143" t="s">
        <v>3388</v>
      </c>
      <c r="D2" s="3143" t="s">
        <v>3389</v>
      </c>
      <c r="E2" s="3143">
        <v>1218.17</v>
      </c>
      <c r="F2" s="3143" t="s">
        <v>3390</v>
      </c>
      <c r="G2" s="3143">
        <v>9</v>
      </c>
      <c r="H2" s="3143" t="s">
        <v>3391</v>
      </c>
      <c r="I2" s="3143" t="s">
        <v>3339</v>
      </c>
      <c r="J2" s="3143" t="s">
        <v>3392</v>
      </c>
      <c r="K2" s="3141"/>
      <c r="L2" s="3143" t="s">
        <v>3393</v>
      </c>
      <c r="M2" s="3143" t="s">
        <v>3382</v>
      </c>
      <c r="N2" s="3143" t="s">
        <v>3394</v>
      </c>
      <c r="O2" s="3141"/>
      <c r="P2" s="3141"/>
      <c r="Q2" s="3141"/>
    </row>
    <row r="3" spans="2:17">
      <c r="B3" s="3143">
        <v>2</v>
      </c>
      <c r="C3" s="3143" t="s">
        <v>3395</v>
      </c>
      <c r="D3" s="3143" t="s">
        <v>3396</v>
      </c>
      <c r="E3" s="3143">
        <v>127.79</v>
      </c>
      <c r="F3" s="3143" t="s">
        <v>3397</v>
      </c>
      <c r="G3" s="3143">
        <v>9</v>
      </c>
      <c r="H3" s="3143" t="s">
        <v>3391</v>
      </c>
      <c r="I3" s="3143" t="s">
        <v>3339</v>
      </c>
      <c r="J3" s="3143" t="s">
        <v>3392</v>
      </c>
      <c r="K3" s="3141"/>
      <c r="L3" s="3143" t="s">
        <v>673</v>
      </c>
      <c r="M3" s="3143">
        <v>1345.96</v>
      </c>
      <c r="N3" s="3143">
        <v>2</v>
      </c>
      <c r="O3" s="3141"/>
      <c r="P3" s="3141"/>
      <c r="Q3" s="3141"/>
    </row>
    <row r="4" spans="2:17">
      <c r="B4" s="3143">
        <v>3</v>
      </c>
      <c r="C4" s="3143" t="s">
        <v>3398</v>
      </c>
      <c r="D4" s="3143">
        <v>203</v>
      </c>
      <c r="E4" s="3143">
        <v>190.34</v>
      </c>
      <c r="F4" s="3143" t="s">
        <v>3399</v>
      </c>
      <c r="G4" s="3143">
        <v>9</v>
      </c>
      <c r="H4" s="3143" t="s">
        <v>3391</v>
      </c>
      <c r="I4" s="3143" t="s">
        <v>3339</v>
      </c>
      <c r="J4" s="3143" t="s">
        <v>3400</v>
      </c>
      <c r="K4" s="3141"/>
      <c r="L4" s="3143" t="s">
        <v>21</v>
      </c>
      <c r="M4" s="3143">
        <v>9026.5699999999961</v>
      </c>
      <c r="N4" s="3143">
        <v>60</v>
      </c>
      <c r="O4" s="3141"/>
      <c r="P4" s="3141"/>
      <c r="Q4" s="3141"/>
    </row>
    <row r="5" spans="2:17">
      <c r="B5" s="3143">
        <v>4</v>
      </c>
      <c r="C5" s="3143" t="s">
        <v>3398</v>
      </c>
      <c r="D5" s="3143">
        <v>301</v>
      </c>
      <c r="E5" s="3143">
        <v>409.84</v>
      </c>
      <c r="F5" s="3143" t="s">
        <v>3399</v>
      </c>
      <c r="G5" s="3143">
        <v>9</v>
      </c>
      <c r="H5" s="3143" t="s">
        <v>3391</v>
      </c>
      <c r="I5" s="3143" t="s">
        <v>3339</v>
      </c>
      <c r="J5" s="3143" t="s">
        <v>3400</v>
      </c>
      <c r="K5" s="3141"/>
      <c r="L5" s="3143" t="s">
        <v>3401</v>
      </c>
      <c r="M5" s="3143">
        <v>1461.4599999999998</v>
      </c>
      <c r="N5" s="3143">
        <v>30</v>
      </c>
      <c r="O5" s="3141"/>
      <c r="P5" s="3141"/>
      <c r="Q5" s="3141"/>
    </row>
    <row r="6" spans="2:17">
      <c r="B6" s="3143">
        <v>5</v>
      </c>
      <c r="C6" s="3143" t="s">
        <v>3398</v>
      </c>
      <c r="D6" s="3143">
        <v>302</v>
      </c>
      <c r="E6" s="3143">
        <v>262.27999999999997</v>
      </c>
      <c r="F6" s="3143" t="s">
        <v>3399</v>
      </c>
      <c r="G6" s="3143">
        <v>9</v>
      </c>
      <c r="H6" s="3143" t="s">
        <v>3391</v>
      </c>
      <c r="I6" s="3143" t="s">
        <v>3339</v>
      </c>
      <c r="J6" s="3143" t="s">
        <v>3400</v>
      </c>
      <c r="K6" s="3141"/>
      <c r="L6" s="3143" t="s">
        <v>3402</v>
      </c>
      <c r="M6" s="3144">
        <v>11833.989999999994</v>
      </c>
      <c r="N6" s="3143">
        <v>92</v>
      </c>
      <c r="O6" s="3141"/>
      <c r="P6" s="3141"/>
      <c r="Q6" s="3141"/>
    </row>
    <row r="7" spans="2:17">
      <c r="B7" s="3143">
        <v>6</v>
      </c>
      <c r="C7" s="3143" t="s">
        <v>3398</v>
      </c>
      <c r="D7" s="3143">
        <v>303</v>
      </c>
      <c r="E7" s="3143">
        <v>214.39</v>
      </c>
      <c r="F7" s="3143" t="s">
        <v>3399</v>
      </c>
      <c r="G7" s="3143">
        <v>9</v>
      </c>
      <c r="H7" s="3143" t="s">
        <v>3391</v>
      </c>
      <c r="I7" s="3143" t="s">
        <v>3339</v>
      </c>
      <c r="J7" s="3143" t="s">
        <v>3400</v>
      </c>
      <c r="K7" s="3141"/>
      <c r="L7" s="3141"/>
      <c r="M7" s="3141"/>
      <c r="N7" s="3141"/>
      <c r="O7" s="3141"/>
      <c r="P7" s="3141"/>
      <c r="Q7" s="3141"/>
    </row>
    <row r="8" spans="2:17">
      <c r="B8" s="3143">
        <v>7</v>
      </c>
      <c r="C8" s="3143" t="s">
        <v>3398</v>
      </c>
      <c r="D8" s="3143">
        <v>305</v>
      </c>
      <c r="E8" s="3143">
        <v>110.2</v>
      </c>
      <c r="F8" s="3143" t="s">
        <v>3399</v>
      </c>
      <c r="G8" s="3143">
        <v>9</v>
      </c>
      <c r="H8" s="3143" t="s">
        <v>3391</v>
      </c>
      <c r="I8" s="3143" t="s">
        <v>3339</v>
      </c>
      <c r="J8" s="3143" t="s">
        <v>3400</v>
      </c>
      <c r="K8" s="3141"/>
      <c r="L8" s="3142" t="s">
        <v>3403</v>
      </c>
      <c r="M8" s="3142">
        <v>15136.5</v>
      </c>
      <c r="N8" s="3142" t="s">
        <v>3404</v>
      </c>
      <c r="O8" s="3142">
        <v>3</v>
      </c>
      <c r="P8" s="3142" t="s">
        <v>3382</v>
      </c>
      <c r="Q8" s="3142">
        <v>45409.5</v>
      </c>
    </row>
    <row r="9" spans="2:17">
      <c r="B9" s="3143">
        <v>8</v>
      </c>
      <c r="C9" s="3143" t="s">
        <v>3398</v>
      </c>
      <c r="D9" s="3143">
        <v>306</v>
      </c>
      <c r="E9" s="3143">
        <v>508.42</v>
      </c>
      <c r="F9" s="3143" t="s">
        <v>3399</v>
      </c>
      <c r="G9" s="3143">
        <v>9</v>
      </c>
      <c r="H9" s="3143" t="s">
        <v>3391</v>
      </c>
      <c r="I9" s="3143" t="s">
        <v>3339</v>
      </c>
      <c r="J9" s="3143" t="s">
        <v>3400</v>
      </c>
      <c r="K9" s="3141"/>
      <c r="L9" s="3142" t="s">
        <v>3405</v>
      </c>
      <c r="M9" s="3142">
        <v>10372.530000000001</v>
      </c>
      <c r="N9" s="3141"/>
      <c r="O9" s="3141"/>
      <c r="P9" s="3142" t="s">
        <v>3406</v>
      </c>
      <c r="Q9" s="3145">
        <v>3457.5099999999984</v>
      </c>
    </row>
    <row r="10" spans="2:17">
      <c r="B10" s="3143">
        <v>9</v>
      </c>
      <c r="C10" s="3143" t="s">
        <v>3398</v>
      </c>
      <c r="D10" s="3143">
        <v>501</v>
      </c>
      <c r="E10" s="3143">
        <v>112.44</v>
      </c>
      <c r="F10" s="3143" t="s">
        <v>3399</v>
      </c>
      <c r="G10" s="3143">
        <v>9</v>
      </c>
      <c r="H10" s="3143" t="s">
        <v>3391</v>
      </c>
      <c r="I10" s="3143" t="s">
        <v>3339</v>
      </c>
      <c r="J10" s="3143" t="s">
        <v>3407</v>
      </c>
      <c r="K10" s="3141"/>
      <c r="L10" s="3142" t="s">
        <v>3408</v>
      </c>
      <c r="M10" s="3142">
        <v>1461.4599999999998</v>
      </c>
      <c r="N10" s="3141"/>
      <c r="O10" s="3141"/>
      <c r="P10" s="3141"/>
      <c r="Q10" s="3141">
        <f>M9/O8</f>
        <v>3457.51</v>
      </c>
    </row>
    <row r="11" spans="2:17">
      <c r="B11" s="3143">
        <v>10</v>
      </c>
      <c r="C11" s="3143" t="s">
        <v>3398</v>
      </c>
      <c r="D11" s="3143">
        <v>502</v>
      </c>
      <c r="E11" s="3143">
        <v>105.96</v>
      </c>
      <c r="F11" s="3143" t="s">
        <v>3399</v>
      </c>
      <c r="G11" s="3143">
        <v>9</v>
      </c>
      <c r="H11" s="3143" t="s">
        <v>3391</v>
      </c>
      <c r="I11" s="3143" t="s">
        <v>3339</v>
      </c>
      <c r="J11" s="3143" t="s">
        <v>3407</v>
      </c>
      <c r="K11" s="3141"/>
      <c r="L11" s="3141"/>
      <c r="M11" s="3141"/>
      <c r="N11" s="3141"/>
      <c r="O11" s="3141"/>
      <c r="P11" s="3141"/>
      <c r="Q11" s="3141"/>
    </row>
    <row r="12" spans="2:17">
      <c r="B12" s="3143">
        <v>11</v>
      </c>
      <c r="C12" s="3143" t="s">
        <v>3398</v>
      </c>
      <c r="D12" s="3143">
        <v>503</v>
      </c>
      <c r="E12" s="3143">
        <v>236.16</v>
      </c>
      <c r="F12" s="3143" t="s">
        <v>3399</v>
      </c>
      <c r="G12" s="3143">
        <v>9</v>
      </c>
      <c r="H12" s="3143" t="s">
        <v>3391</v>
      </c>
      <c r="I12" s="3143" t="s">
        <v>3339</v>
      </c>
      <c r="J12" s="3143" t="s">
        <v>3407</v>
      </c>
      <c r="K12" s="3141"/>
      <c r="L12" s="3141"/>
      <c r="M12" s="3141"/>
      <c r="N12" s="3141"/>
      <c r="O12" s="3141"/>
      <c r="P12" s="3141"/>
      <c r="Q12" s="3141"/>
    </row>
    <row r="13" spans="2:17">
      <c r="B13" s="3143">
        <v>12</v>
      </c>
      <c r="C13" s="3143" t="s">
        <v>3398</v>
      </c>
      <c r="D13" s="3143">
        <v>505</v>
      </c>
      <c r="E13" s="3143">
        <v>236.16</v>
      </c>
      <c r="F13" s="3143" t="s">
        <v>3399</v>
      </c>
      <c r="G13" s="3143">
        <v>9</v>
      </c>
      <c r="H13" s="3143" t="s">
        <v>3391</v>
      </c>
      <c r="I13" s="3143" t="s">
        <v>3339</v>
      </c>
      <c r="J13" s="3143" t="s">
        <v>3407</v>
      </c>
      <c r="K13" s="3141"/>
      <c r="L13" s="3141"/>
      <c r="M13" s="3141">
        <v>15136.5</v>
      </c>
      <c r="N13" s="3141"/>
      <c r="O13" s="3141"/>
      <c r="P13" s="3141"/>
      <c r="Q13" s="3141"/>
    </row>
    <row r="14" spans="2:17">
      <c r="B14" s="3143">
        <v>13</v>
      </c>
      <c r="C14" s="3143" t="s">
        <v>3398</v>
      </c>
      <c r="D14" s="3143">
        <v>506</v>
      </c>
      <c r="E14" s="3143">
        <v>105.96</v>
      </c>
      <c r="F14" s="3143" t="s">
        <v>3399</v>
      </c>
      <c r="G14" s="3143">
        <v>9</v>
      </c>
      <c r="H14" s="3143" t="s">
        <v>3391</v>
      </c>
      <c r="I14" s="3143" t="s">
        <v>3339</v>
      </c>
      <c r="J14" s="3143" t="s">
        <v>3407</v>
      </c>
      <c r="K14" s="3141"/>
      <c r="L14" s="3141"/>
      <c r="M14" s="3141"/>
      <c r="N14" s="3141"/>
      <c r="O14" s="3141"/>
      <c r="P14" s="3141"/>
      <c r="Q14" s="3141"/>
    </row>
    <row r="15" spans="2:17">
      <c r="B15" s="3143">
        <v>14</v>
      </c>
      <c r="C15" s="3143" t="s">
        <v>3398</v>
      </c>
      <c r="D15" s="3143">
        <v>507</v>
      </c>
      <c r="E15" s="3143">
        <v>112.44</v>
      </c>
      <c r="F15" s="3143" t="s">
        <v>3399</v>
      </c>
      <c r="G15" s="3143">
        <v>9</v>
      </c>
      <c r="H15" s="3143" t="s">
        <v>3391</v>
      </c>
      <c r="I15" s="3143" t="s">
        <v>3339</v>
      </c>
      <c r="J15" s="3143" t="s">
        <v>3407</v>
      </c>
      <c r="K15" s="3141"/>
      <c r="L15" s="3141"/>
      <c r="M15" s="3141"/>
      <c r="N15" s="3141"/>
      <c r="O15" s="3141"/>
      <c r="P15" s="3141"/>
      <c r="Q15" s="3141"/>
    </row>
    <row r="16" spans="2:17">
      <c r="B16" s="3143">
        <v>15</v>
      </c>
      <c r="C16" s="3143" t="s">
        <v>3398</v>
      </c>
      <c r="D16" s="3143">
        <v>508</v>
      </c>
      <c r="E16" s="3143">
        <v>118.57</v>
      </c>
      <c r="F16" s="3143" t="s">
        <v>3399</v>
      </c>
      <c r="G16" s="3143">
        <v>9</v>
      </c>
      <c r="H16" s="3143" t="s">
        <v>3391</v>
      </c>
      <c r="I16" s="3143" t="s">
        <v>3339</v>
      </c>
      <c r="J16" s="3143" t="s">
        <v>3407</v>
      </c>
      <c r="K16" s="3141"/>
      <c r="L16" s="3141"/>
      <c r="M16" s="3141"/>
      <c r="N16" s="3141"/>
      <c r="O16" s="3141"/>
      <c r="P16" s="3141"/>
      <c r="Q16" s="3141"/>
    </row>
    <row r="17" spans="2:13">
      <c r="B17" s="3143">
        <v>16</v>
      </c>
      <c r="C17" s="3143" t="s">
        <v>3398</v>
      </c>
      <c r="D17" s="3143">
        <v>509</v>
      </c>
      <c r="E17" s="3143">
        <v>75.59</v>
      </c>
      <c r="F17" s="3143" t="s">
        <v>3399</v>
      </c>
      <c r="G17" s="3143">
        <v>9</v>
      </c>
      <c r="H17" s="3143" t="s">
        <v>3391</v>
      </c>
      <c r="I17" s="3143" t="s">
        <v>3339</v>
      </c>
      <c r="J17" s="3143" t="s">
        <v>3407</v>
      </c>
      <c r="K17" s="3141"/>
      <c r="L17" s="3141"/>
      <c r="M17" s="3141"/>
    </row>
    <row r="18" spans="2:13">
      <c r="B18" s="3143">
        <v>17</v>
      </c>
      <c r="C18" s="3143" t="s">
        <v>3398</v>
      </c>
      <c r="D18" s="3143">
        <v>510</v>
      </c>
      <c r="E18" s="3143">
        <v>118.57</v>
      </c>
      <c r="F18" s="3143" t="s">
        <v>3399</v>
      </c>
      <c r="G18" s="3143">
        <v>9</v>
      </c>
      <c r="H18" s="3143" t="s">
        <v>3391</v>
      </c>
      <c r="I18" s="3143" t="s">
        <v>3339</v>
      </c>
      <c r="J18" s="3143" t="s">
        <v>3407</v>
      </c>
      <c r="K18" s="3141"/>
      <c r="L18" s="3141"/>
      <c r="M18" s="3141"/>
    </row>
    <row r="19" spans="2:13">
      <c r="B19" s="3143">
        <v>18</v>
      </c>
      <c r="C19" s="3143" t="s">
        <v>3398</v>
      </c>
      <c r="D19" s="3143">
        <v>601</v>
      </c>
      <c r="E19" s="3143">
        <v>112.44</v>
      </c>
      <c r="F19" s="3143" t="s">
        <v>3399</v>
      </c>
      <c r="G19" s="3143">
        <v>9</v>
      </c>
      <c r="H19" s="3143" t="s">
        <v>3391</v>
      </c>
      <c r="I19" s="3143" t="s">
        <v>3339</v>
      </c>
      <c r="J19" s="3143" t="s">
        <v>3407</v>
      </c>
      <c r="K19" s="3141"/>
      <c r="L19" s="3141"/>
      <c r="M19" s="3142">
        <v>1345.96</v>
      </c>
    </row>
    <row r="20" spans="2:13">
      <c r="B20" s="3143">
        <v>19</v>
      </c>
      <c r="C20" s="3143" t="s">
        <v>3398</v>
      </c>
      <c r="D20" s="3143">
        <v>602</v>
      </c>
      <c r="E20" s="3143">
        <v>105.96</v>
      </c>
      <c r="F20" s="3143" t="s">
        <v>3399</v>
      </c>
      <c r="G20" s="3143">
        <v>9</v>
      </c>
      <c r="H20" s="3143" t="s">
        <v>3391</v>
      </c>
      <c r="I20" s="3143" t="s">
        <v>3339</v>
      </c>
      <c r="J20" s="3143" t="s">
        <v>3407</v>
      </c>
      <c r="K20" s="3141"/>
      <c r="L20" s="3141"/>
      <c r="M20" s="3142">
        <v>1892.83</v>
      </c>
    </row>
    <row r="21" spans="2:13">
      <c r="B21" s="3143">
        <v>20</v>
      </c>
      <c r="C21" s="3143" t="s">
        <v>3398</v>
      </c>
      <c r="D21" s="3143">
        <v>603</v>
      </c>
      <c r="E21" s="3143">
        <v>236.16</v>
      </c>
      <c r="F21" s="3143" t="s">
        <v>3399</v>
      </c>
      <c r="G21" s="3143">
        <v>9</v>
      </c>
      <c r="H21" s="3143" t="s">
        <v>3391</v>
      </c>
      <c r="I21" s="3143" t="s">
        <v>3339</v>
      </c>
      <c r="J21" s="3143" t="s">
        <v>3407</v>
      </c>
      <c r="K21" s="3141"/>
      <c r="L21" s="3141"/>
      <c r="M21" s="3142">
        <v>2819.68</v>
      </c>
    </row>
    <row r="22" spans="2:13">
      <c r="B22" s="3143">
        <v>21</v>
      </c>
      <c r="C22" s="3143" t="s">
        <v>3398</v>
      </c>
      <c r="D22" s="3143">
        <v>605</v>
      </c>
      <c r="E22" s="3143">
        <v>236.16</v>
      </c>
      <c r="F22" s="3143" t="s">
        <v>3399</v>
      </c>
      <c r="G22" s="3143">
        <v>9</v>
      </c>
      <c r="H22" s="3143" t="s">
        <v>3391</v>
      </c>
      <c r="I22" s="3143" t="s">
        <v>3339</v>
      </c>
      <c r="J22" s="3143" t="s">
        <v>3407</v>
      </c>
      <c r="K22" s="3141"/>
      <c r="L22" s="3141"/>
      <c r="M22" s="3142">
        <v>2887.76</v>
      </c>
    </row>
    <row r="23" spans="2:13">
      <c r="B23" s="3143">
        <v>22</v>
      </c>
      <c r="C23" s="3143" t="s">
        <v>3398</v>
      </c>
      <c r="D23" s="3143">
        <v>606</v>
      </c>
      <c r="E23" s="3143">
        <v>105.96</v>
      </c>
      <c r="F23" s="3143" t="s">
        <v>3399</v>
      </c>
      <c r="G23" s="3143">
        <v>9</v>
      </c>
      <c r="H23" s="3143" t="s">
        <v>3391</v>
      </c>
      <c r="I23" s="3143" t="s">
        <v>3339</v>
      </c>
      <c r="J23" s="3143" t="s">
        <v>3407</v>
      </c>
      <c r="K23" s="3141"/>
      <c r="L23" s="3141"/>
      <c r="M23" s="3142">
        <v>2887.76</v>
      </c>
    </row>
    <row r="24" spans="2:13">
      <c r="B24" s="3143">
        <v>23</v>
      </c>
      <c r="C24" s="3143" t="s">
        <v>3398</v>
      </c>
      <c r="D24" s="3143">
        <v>607</v>
      </c>
      <c r="E24" s="3143">
        <v>112.44</v>
      </c>
      <c r="F24" s="3143" t="s">
        <v>3399</v>
      </c>
      <c r="G24" s="3143">
        <v>9</v>
      </c>
      <c r="H24" s="3143" t="s">
        <v>3391</v>
      </c>
      <c r="I24" s="3143" t="s">
        <v>3339</v>
      </c>
      <c r="J24" s="3143" t="s">
        <v>3407</v>
      </c>
      <c r="K24" s="3141"/>
      <c r="L24" s="3141"/>
      <c r="M24" s="3141">
        <f>SUM(M19:M23)</f>
        <v>11833.99</v>
      </c>
    </row>
    <row r="25" spans="2:13">
      <c r="B25" s="3143">
        <v>24</v>
      </c>
      <c r="C25" s="3143" t="s">
        <v>3398</v>
      </c>
      <c r="D25" s="3143">
        <v>608</v>
      </c>
      <c r="E25" s="3143">
        <v>118.57</v>
      </c>
      <c r="F25" s="3143" t="s">
        <v>3399</v>
      </c>
      <c r="G25" s="3143">
        <v>9</v>
      </c>
      <c r="H25" s="3143" t="s">
        <v>3391</v>
      </c>
      <c r="I25" s="3143" t="s">
        <v>3339</v>
      </c>
      <c r="J25" s="3143" t="s">
        <v>3407</v>
      </c>
      <c r="K25" s="3141"/>
      <c r="L25" s="3141"/>
      <c r="M25" s="3141"/>
    </row>
    <row r="26" spans="2:13">
      <c r="B26" s="3143">
        <v>25</v>
      </c>
      <c r="C26" s="3143" t="s">
        <v>3398</v>
      </c>
      <c r="D26" s="3143">
        <v>609</v>
      </c>
      <c r="E26" s="3143">
        <v>75.59</v>
      </c>
      <c r="F26" s="3143" t="s">
        <v>3399</v>
      </c>
      <c r="G26" s="3143">
        <v>9</v>
      </c>
      <c r="H26" s="3143" t="s">
        <v>3391</v>
      </c>
      <c r="I26" s="3143" t="s">
        <v>3339</v>
      </c>
      <c r="J26" s="3143" t="s">
        <v>3407</v>
      </c>
      <c r="K26" s="3141"/>
      <c r="L26" s="3141"/>
      <c r="M26" s="3141"/>
    </row>
    <row r="27" spans="2:13">
      <c r="B27" s="3143">
        <v>26</v>
      </c>
      <c r="C27" s="3143" t="s">
        <v>3398</v>
      </c>
      <c r="D27" s="3143">
        <v>610</v>
      </c>
      <c r="E27" s="3143">
        <v>118.57</v>
      </c>
      <c r="F27" s="3143" t="s">
        <v>3399</v>
      </c>
      <c r="G27" s="3143">
        <v>9</v>
      </c>
      <c r="H27" s="3143" t="s">
        <v>3391</v>
      </c>
      <c r="I27" s="3143" t="s">
        <v>3339</v>
      </c>
      <c r="J27" s="3143" t="s">
        <v>3407</v>
      </c>
      <c r="K27" s="3141"/>
      <c r="L27" s="3141"/>
      <c r="M27" s="3141"/>
    </row>
    <row r="28" spans="2:13">
      <c r="B28" s="3143">
        <v>27</v>
      </c>
      <c r="C28" s="3143" t="s">
        <v>3398</v>
      </c>
      <c r="D28" s="3143">
        <v>701</v>
      </c>
      <c r="E28" s="3143">
        <v>112.44</v>
      </c>
      <c r="F28" s="3143" t="s">
        <v>3399</v>
      </c>
      <c r="G28" s="3143">
        <v>9</v>
      </c>
      <c r="H28" s="3143" t="s">
        <v>3391</v>
      </c>
      <c r="I28" s="3143" t="s">
        <v>3339</v>
      </c>
      <c r="J28" s="3143" t="s">
        <v>3409</v>
      </c>
      <c r="K28" s="3141"/>
      <c r="L28" s="3141"/>
      <c r="M28" s="3141"/>
    </row>
    <row r="29" spans="2:13">
      <c r="B29" s="3143">
        <v>28</v>
      </c>
      <c r="C29" s="3143" t="s">
        <v>3398</v>
      </c>
      <c r="D29" s="3143">
        <v>702</v>
      </c>
      <c r="E29" s="3143">
        <v>105.96</v>
      </c>
      <c r="F29" s="3143" t="s">
        <v>3399</v>
      </c>
      <c r="G29" s="3143">
        <v>9</v>
      </c>
      <c r="H29" s="3143" t="s">
        <v>3391</v>
      </c>
      <c r="I29" s="3143" t="s">
        <v>3339</v>
      </c>
      <c r="J29" s="3143" t="s">
        <v>3409</v>
      </c>
      <c r="K29" s="3141"/>
      <c r="L29" s="3141"/>
      <c r="M29" s="3141"/>
    </row>
    <row r="30" spans="2:13">
      <c r="B30" s="3143">
        <v>29</v>
      </c>
      <c r="C30" s="3143" t="s">
        <v>3398</v>
      </c>
      <c r="D30" s="3143">
        <v>703</v>
      </c>
      <c r="E30" s="3143">
        <v>236.16</v>
      </c>
      <c r="F30" s="3143" t="s">
        <v>3399</v>
      </c>
      <c r="G30" s="3143">
        <v>9</v>
      </c>
      <c r="H30" s="3143" t="s">
        <v>3391</v>
      </c>
      <c r="I30" s="3143" t="s">
        <v>3339</v>
      </c>
      <c r="J30" s="3143" t="s">
        <v>3409</v>
      </c>
      <c r="K30" s="3141"/>
      <c r="L30" s="3141"/>
      <c r="M30" s="3141"/>
    </row>
    <row r="31" spans="2:13">
      <c r="B31" s="3143">
        <v>30</v>
      </c>
      <c r="C31" s="3143" t="s">
        <v>3398</v>
      </c>
      <c r="D31" s="3143">
        <v>705</v>
      </c>
      <c r="E31" s="3143">
        <v>236.16</v>
      </c>
      <c r="F31" s="3143" t="s">
        <v>3399</v>
      </c>
      <c r="G31" s="3143">
        <v>9</v>
      </c>
      <c r="H31" s="3143" t="s">
        <v>3391</v>
      </c>
      <c r="I31" s="3143" t="s">
        <v>3339</v>
      </c>
      <c r="J31" s="3143" t="s">
        <v>3409</v>
      </c>
      <c r="K31" s="3141"/>
      <c r="L31" s="3141"/>
      <c r="M31" s="3141"/>
    </row>
    <row r="32" spans="2:13">
      <c r="B32" s="3143">
        <v>31</v>
      </c>
      <c r="C32" s="3143" t="s">
        <v>3398</v>
      </c>
      <c r="D32" s="3143">
        <v>706</v>
      </c>
      <c r="E32" s="3143">
        <v>105.96</v>
      </c>
      <c r="F32" s="3143" t="s">
        <v>3399</v>
      </c>
      <c r="G32" s="3143">
        <v>9</v>
      </c>
      <c r="H32" s="3143" t="s">
        <v>3391</v>
      </c>
      <c r="I32" s="3143" t="s">
        <v>3339</v>
      </c>
      <c r="J32" s="3143" t="s">
        <v>3409</v>
      </c>
      <c r="K32" s="3141"/>
      <c r="L32" s="3141"/>
      <c r="M32" s="3141"/>
    </row>
    <row r="33" spans="2:12">
      <c r="B33" s="3143">
        <v>32</v>
      </c>
      <c r="C33" s="3143" t="s">
        <v>3398</v>
      </c>
      <c r="D33" s="3143">
        <v>707</v>
      </c>
      <c r="E33" s="3143">
        <v>112.44</v>
      </c>
      <c r="F33" s="3143" t="s">
        <v>3399</v>
      </c>
      <c r="G33" s="3143">
        <v>9</v>
      </c>
      <c r="H33" s="3143" t="s">
        <v>3391</v>
      </c>
      <c r="I33" s="3143" t="s">
        <v>3339</v>
      </c>
      <c r="J33" s="3143" t="s">
        <v>3409</v>
      </c>
    </row>
    <row r="34" spans="2:12">
      <c r="B34" s="3143">
        <v>33</v>
      </c>
      <c r="C34" s="3143" t="s">
        <v>3398</v>
      </c>
      <c r="D34" s="3143">
        <v>708</v>
      </c>
      <c r="E34" s="3143">
        <v>118.57</v>
      </c>
      <c r="F34" s="3143" t="s">
        <v>3399</v>
      </c>
      <c r="G34" s="3143">
        <v>9</v>
      </c>
      <c r="H34" s="3143" t="s">
        <v>3391</v>
      </c>
      <c r="I34" s="3143" t="s">
        <v>3339</v>
      </c>
      <c r="J34" s="3143" t="s">
        <v>3409</v>
      </c>
      <c r="L34" s="3148" t="s">
        <v>3462</v>
      </c>
    </row>
    <row r="35" spans="2:12">
      <c r="B35" s="3143">
        <v>34</v>
      </c>
      <c r="C35" s="3143" t="s">
        <v>3398</v>
      </c>
      <c r="D35" s="3143">
        <v>709</v>
      </c>
      <c r="E35" s="3143">
        <v>75.59</v>
      </c>
      <c r="F35" s="3143" t="s">
        <v>3399</v>
      </c>
      <c r="G35" s="3143">
        <v>9</v>
      </c>
      <c r="H35" s="3143" t="s">
        <v>3391</v>
      </c>
      <c r="I35" s="3143" t="s">
        <v>3339</v>
      </c>
      <c r="J35" s="3143" t="s">
        <v>3409</v>
      </c>
    </row>
    <row r="36" spans="2:12">
      <c r="B36" s="3143">
        <v>35</v>
      </c>
      <c r="C36" s="3143" t="s">
        <v>3398</v>
      </c>
      <c r="D36" s="3143">
        <v>710</v>
      </c>
      <c r="E36" s="3143">
        <v>118.57</v>
      </c>
      <c r="F36" s="3143" t="s">
        <v>3399</v>
      </c>
      <c r="G36" s="3143">
        <v>9</v>
      </c>
      <c r="H36" s="3143" t="s">
        <v>3391</v>
      </c>
      <c r="I36" s="3143" t="s">
        <v>3339</v>
      </c>
      <c r="J36" s="3143" t="s">
        <v>3409</v>
      </c>
    </row>
    <row r="37" spans="2:12">
      <c r="B37" s="3143">
        <v>36</v>
      </c>
      <c r="C37" s="3143" t="s">
        <v>3398</v>
      </c>
      <c r="D37" s="3143">
        <v>801</v>
      </c>
      <c r="E37" s="3143">
        <v>112.44</v>
      </c>
      <c r="F37" s="3143" t="s">
        <v>3399</v>
      </c>
      <c r="G37" s="3143">
        <v>9</v>
      </c>
      <c r="H37" s="3143" t="s">
        <v>3391</v>
      </c>
      <c r="I37" s="3143" t="s">
        <v>3339</v>
      </c>
      <c r="J37" s="3143" t="s">
        <v>3409</v>
      </c>
    </row>
    <row r="38" spans="2:12">
      <c r="B38" s="3143">
        <v>37</v>
      </c>
      <c r="C38" s="3143" t="s">
        <v>3398</v>
      </c>
      <c r="D38" s="3143">
        <v>802</v>
      </c>
      <c r="E38" s="3143">
        <v>105.96</v>
      </c>
      <c r="F38" s="3143" t="s">
        <v>3399</v>
      </c>
      <c r="G38" s="3143">
        <v>9</v>
      </c>
      <c r="H38" s="3143" t="s">
        <v>3391</v>
      </c>
      <c r="I38" s="3143" t="s">
        <v>3339</v>
      </c>
      <c r="J38" s="3143" t="s">
        <v>3409</v>
      </c>
    </row>
    <row r="39" spans="2:12">
      <c r="B39" s="3143">
        <v>38</v>
      </c>
      <c r="C39" s="3143" t="s">
        <v>3398</v>
      </c>
      <c r="D39" s="3143">
        <v>803</v>
      </c>
      <c r="E39" s="3143">
        <v>236.16</v>
      </c>
      <c r="F39" s="3143" t="s">
        <v>3399</v>
      </c>
      <c r="G39" s="3143">
        <v>9</v>
      </c>
      <c r="H39" s="3143" t="s">
        <v>3391</v>
      </c>
      <c r="I39" s="3143" t="s">
        <v>3339</v>
      </c>
      <c r="J39" s="3143" t="s">
        <v>3409</v>
      </c>
    </row>
    <row r="40" spans="2:12">
      <c r="B40" s="3143">
        <v>39</v>
      </c>
      <c r="C40" s="3143" t="s">
        <v>3398</v>
      </c>
      <c r="D40" s="3143">
        <v>805</v>
      </c>
      <c r="E40" s="3143">
        <v>236.16</v>
      </c>
      <c r="F40" s="3143" t="s">
        <v>3399</v>
      </c>
      <c r="G40" s="3143">
        <v>9</v>
      </c>
      <c r="H40" s="3143" t="s">
        <v>3391</v>
      </c>
      <c r="I40" s="3143" t="s">
        <v>3339</v>
      </c>
      <c r="J40" s="3143" t="s">
        <v>3409</v>
      </c>
    </row>
    <row r="41" spans="2:12">
      <c r="B41" s="3143">
        <v>40</v>
      </c>
      <c r="C41" s="3143" t="s">
        <v>3398</v>
      </c>
      <c r="D41" s="3143">
        <v>806</v>
      </c>
      <c r="E41" s="3143">
        <v>105.96</v>
      </c>
      <c r="F41" s="3143" t="s">
        <v>3399</v>
      </c>
      <c r="G41" s="3143">
        <v>9</v>
      </c>
      <c r="H41" s="3143" t="s">
        <v>3391</v>
      </c>
      <c r="I41" s="3143" t="s">
        <v>3339</v>
      </c>
      <c r="J41" s="3143" t="s">
        <v>3409</v>
      </c>
    </row>
    <row r="42" spans="2:12">
      <c r="B42" s="3143">
        <v>41</v>
      </c>
      <c r="C42" s="3143" t="s">
        <v>3398</v>
      </c>
      <c r="D42" s="3143">
        <v>807</v>
      </c>
      <c r="E42" s="3143">
        <v>112.44</v>
      </c>
      <c r="F42" s="3143" t="s">
        <v>3399</v>
      </c>
      <c r="G42" s="3143">
        <v>9</v>
      </c>
      <c r="H42" s="3143" t="s">
        <v>3391</v>
      </c>
      <c r="I42" s="3143" t="s">
        <v>3339</v>
      </c>
      <c r="J42" s="3143" t="s">
        <v>3409</v>
      </c>
    </row>
    <row r="43" spans="2:12">
      <c r="B43" s="3143">
        <v>42</v>
      </c>
      <c r="C43" s="3143" t="s">
        <v>3398</v>
      </c>
      <c r="D43" s="3143">
        <v>808</v>
      </c>
      <c r="E43" s="3143">
        <v>118.57</v>
      </c>
      <c r="F43" s="3143" t="s">
        <v>3399</v>
      </c>
      <c r="G43" s="3143">
        <v>9</v>
      </c>
      <c r="H43" s="3143" t="s">
        <v>3391</v>
      </c>
      <c r="I43" s="3143" t="s">
        <v>3339</v>
      </c>
      <c r="J43" s="3143" t="s">
        <v>3409</v>
      </c>
    </row>
    <row r="44" spans="2:12">
      <c r="B44" s="3143">
        <v>43</v>
      </c>
      <c r="C44" s="3143" t="s">
        <v>3398</v>
      </c>
      <c r="D44" s="3143">
        <v>809</v>
      </c>
      <c r="E44" s="3143">
        <v>75.59</v>
      </c>
      <c r="F44" s="3143" t="s">
        <v>3399</v>
      </c>
      <c r="G44" s="3143">
        <v>9</v>
      </c>
      <c r="H44" s="3143" t="s">
        <v>3391</v>
      </c>
      <c r="I44" s="3143" t="s">
        <v>3339</v>
      </c>
      <c r="J44" s="3143" t="s">
        <v>3409</v>
      </c>
    </row>
    <row r="45" spans="2:12">
      <c r="B45" s="3143">
        <v>44</v>
      </c>
      <c r="C45" s="3143" t="s">
        <v>3398</v>
      </c>
      <c r="D45" s="3143">
        <v>810</v>
      </c>
      <c r="E45" s="3143">
        <v>118.57</v>
      </c>
      <c r="F45" s="3143" t="s">
        <v>3399</v>
      </c>
      <c r="G45" s="3143">
        <v>9</v>
      </c>
      <c r="H45" s="3143" t="s">
        <v>3391</v>
      </c>
      <c r="I45" s="3143" t="s">
        <v>3339</v>
      </c>
      <c r="J45" s="3143" t="s">
        <v>3409</v>
      </c>
    </row>
    <row r="46" spans="2:12">
      <c r="B46" s="3143">
        <v>45</v>
      </c>
      <c r="C46" s="3143" t="s">
        <v>3398</v>
      </c>
      <c r="D46" s="3143">
        <v>901</v>
      </c>
      <c r="E46" s="3143">
        <v>112.44</v>
      </c>
      <c r="F46" s="3143" t="s">
        <v>3399</v>
      </c>
      <c r="G46" s="3143">
        <v>9</v>
      </c>
      <c r="H46" s="3143" t="s">
        <v>3391</v>
      </c>
      <c r="I46" s="3143" t="s">
        <v>3339</v>
      </c>
      <c r="J46" s="3143" t="s">
        <v>3410</v>
      </c>
    </row>
    <row r="47" spans="2:12">
      <c r="B47" s="3143">
        <v>46</v>
      </c>
      <c r="C47" s="3143" t="s">
        <v>3398</v>
      </c>
      <c r="D47" s="3143">
        <v>902</v>
      </c>
      <c r="E47" s="3143">
        <v>105.96</v>
      </c>
      <c r="F47" s="3143" t="s">
        <v>3399</v>
      </c>
      <c r="G47" s="3143">
        <v>9</v>
      </c>
      <c r="H47" s="3143" t="s">
        <v>3391</v>
      </c>
      <c r="I47" s="3143" t="s">
        <v>3339</v>
      </c>
      <c r="J47" s="3143" t="s">
        <v>3410</v>
      </c>
    </row>
    <row r="48" spans="2:12">
      <c r="B48" s="3143">
        <v>47</v>
      </c>
      <c r="C48" s="3143" t="s">
        <v>3398</v>
      </c>
      <c r="D48" s="3143">
        <v>903</v>
      </c>
      <c r="E48" s="3143">
        <v>236.16</v>
      </c>
      <c r="F48" s="3143" t="s">
        <v>3399</v>
      </c>
      <c r="G48" s="3143">
        <v>9</v>
      </c>
      <c r="H48" s="3143" t="s">
        <v>3391</v>
      </c>
      <c r="I48" s="3143" t="s">
        <v>3339</v>
      </c>
      <c r="J48" s="3143" t="s">
        <v>3410</v>
      </c>
    </row>
    <row r="49" spans="2:10">
      <c r="B49" s="3143">
        <v>48</v>
      </c>
      <c r="C49" s="3143" t="s">
        <v>3398</v>
      </c>
      <c r="D49" s="3143">
        <v>905</v>
      </c>
      <c r="E49" s="3143">
        <v>236.16</v>
      </c>
      <c r="F49" s="3143" t="s">
        <v>3399</v>
      </c>
      <c r="G49" s="3143">
        <v>9</v>
      </c>
      <c r="H49" s="3143" t="s">
        <v>3391</v>
      </c>
      <c r="I49" s="3143" t="s">
        <v>3339</v>
      </c>
      <c r="J49" s="3143" t="s">
        <v>3410</v>
      </c>
    </row>
    <row r="50" spans="2:10">
      <c r="B50" s="3143">
        <v>49</v>
      </c>
      <c r="C50" s="3143" t="s">
        <v>3398</v>
      </c>
      <c r="D50" s="3143">
        <v>906</v>
      </c>
      <c r="E50" s="3143">
        <v>105.96</v>
      </c>
      <c r="F50" s="3143" t="s">
        <v>3399</v>
      </c>
      <c r="G50" s="3143">
        <v>9</v>
      </c>
      <c r="H50" s="3143" t="s">
        <v>3391</v>
      </c>
      <c r="I50" s="3143" t="s">
        <v>3339</v>
      </c>
      <c r="J50" s="3143" t="s">
        <v>3410</v>
      </c>
    </row>
    <row r="51" spans="2:10">
      <c r="B51" s="3143">
        <v>50</v>
      </c>
      <c r="C51" s="3143" t="s">
        <v>3398</v>
      </c>
      <c r="D51" s="3143">
        <v>907</v>
      </c>
      <c r="E51" s="3143">
        <v>112.44</v>
      </c>
      <c r="F51" s="3143" t="s">
        <v>3399</v>
      </c>
      <c r="G51" s="3143">
        <v>9</v>
      </c>
      <c r="H51" s="3143" t="s">
        <v>3391</v>
      </c>
      <c r="I51" s="3143" t="s">
        <v>3339</v>
      </c>
      <c r="J51" s="3143" t="s">
        <v>3410</v>
      </c>
    </row>
    <row r="52" spans="2:10">
      <c r="B52" s="3143">
        <v>51</v>
      </c>
      <c r="C52" s="3143" t="s">
        <v>3398</v>
      </c>
      <c r="D52" s="3143">
        <v>908</v>
      </c>
      <c r="E52" s="3143">
        <v>118.57</v>
      </c>
      <c r="F52" s="3143" t="s">
        <v>3399</v>
      </c>
      <c r="G52" s="3143">
        <v>9</v>
      </c>
      <c r="H52" s="3143" t="s">
        <v>3391</v>
      </c>
      <c r="I52" s="3143" t="s">
        <v>3339</v>
      </c>
      <c r="J52" s="3143" t="s">
        <v>3410</v>
      </c>
    </row>
    <row r="53" spans="2:10">
      <c r="B53" s="3143">
        <v>52</v>
      </c>
      <c r="C53" s="3143" t="s">
        <v>3398</v>
      </c>
      <c r="D53" s="3143">
        <v>909</v>
      </c>
      <c r="E53" s="3143">
        <v>75.59</v>
      </c>
      <c r="F53" s="3143" t="s">
        <v>3399</v>
      </c>
      <c r="G53" s="3143">
        <v>9</v>
      </c>
      <c r="H53" s="3143" t="s">
        <v>3391</v>
      </c>
      <c r="I53" s="3143" t="s">
        <v>3339</v>
      </c>
      <c r="J53" s="3143" t="s">
        <v>3410</v>
      </c>
    </row>
    <row r="54" spans="2:10">
      <c r="B54" s="3143">
        <v>53</v>
      </c>
      <c r="C54" s="3143" t="s">
        <v>3398</v>
      </c>
      <c r="D54" s="3143">
        <v>910</v>
      </c>
      <c r="E54" s="3143">
        <v>118.57</v>
      </c>
      <c r="F54" s="3143" t="s">
        <v>3399</v>
      </c>
      <c r="G54" s="3143">
        <v>9</v>
      </c>
      <c r="H54" s="3143" t="s">
        <v>3391</v>
      </c>
      <c r="I54" s="3143" t="s">
        <v>3339</v>
      </c>
      <c r="J54" s="3143" t="s">
        <v>3410</v>
      </c>
    </row>
    <row r="55" spans="2:10">
      <c r="B55" s="3143">
        <v>54</v>
      </c>
      <c r="C55" s="3143" t="s">
        <v>3398</v>
      </c>
      <c r="D55" s="3143">
        <v>1001</v>
      </c>
      <c r="E55" s="3143">
        <v>112.44</v>
      </c>
      <c r="F55" s="3143" t="s">
        <v>3399</v>
      </c>
      <c r="G55" s="3143">
        <v>9</v>
      </c>
      <c r="H55" s="3143" t="s">
        <v>3391</v>
      </c>
      <c r="I55" s="3143" t="s">
        <v>3339</v>
      </c>
      <c r="J55" s="3143" t="s">
        <v>3410</v>
      </c>
    </row>
    <row r="56" spans="2:10">
      <c r="B56" s="3143">
        <v>55</v>
      </c>
      <c r="C56" s="3143" t="s">
        <v>3398</v>
      </c>
      <c r="D56" s="3143">
        <v>1002</v>
      </c>
      <c r="E56" s="3143">
        <v>105.96</v>
      </c>
      <c r="F56" s="3143" t="s">
        <v>3399</v>
      </c>
      <c r="G56" s="3143">
        <v>9</v>
      </c>
      <c r="H56" s="3143" t="s">
        <v>3391</v>
      </c>
      <c r="I56" s="3143" t="s">
        <v>3339</v>
      </c>
      <c r="J56" s="3143" t="s">
        <v>3410</v>
      </c>
    </row>
    <row r="57" spans="2:10">
      <c r="B57" s="3143">
        <v>56</v>
      </c>
      <c r="C57" s="3143" t="s">
        <v>3398</v>
      </c>
      <c r="D57" s="3143">
        <v>1003</v>
      </c>
      <c r="E57" s="3143">
        <v>236.16</v>
      </c>
      <c r="F57" s="3143" t="s">
        <v>3399</v>
      </c>
      <c r="G57" s="3143">
        <v>9</v>
      </c>
      <c r="H57" s="3143" t="s">
        <v>3391</v>
      </c>
      <c r="I57" s="3143" t="s">
        <v>3339</v>
      </c>
      <c r="J57" s="3143" t="s">
        <v>3410</v>
      </c>
    </row>
    <row r="58" spans="2:10">
      <c r="B58" s="3143">
        <v>57</v>
      </c>
      <c r="C58" s="3143" t="s">
        <v>3398</v>
      </c>
      <c r="D58" s="3143">
        <v>1005</v>
      </c>
      <c r="E58" s="3143">
        <v>236.16</v>
      </c>
      <c r="F58" s="3143" t="s">
        <v>3399</v>
      </c>
      <c r="G58" s="3143">
        <v>9</v>
      </c>
      <c r="H58" s="3143" t="s">
        <v>3391</v>
      </c>
      <c r="I58" s="3143" t="s">
        <v>3339</v>
      </c>
      <c r="J58" s="3143" t="s">
        <v>3410</v>
      </c>
    </row>
    <row r="59" spans="2:10">
      <c r="B59" s="3143">
        <v>58</v>
      </c>
      <c r="C59" s="3143" t="s">
        <v>3398</v>
      </c>
      <c r="D59" s="3143">
        <v>1006</v>
      </c>
      <c r="E59" s="3143">
        <v>105.96</v>
      </c>
      <c r="F59" s="3143" t="s">
        <v>3399</v>
      </c>
      <c r="G59" s="3143">
        <v>9</v>
      </c>
      <c r="H59" s="3143" t="s">
        <v>3391</v>
      </c>
      <c r="I59" s="3143" t="s">
        <v>3339</v>
      </c>
      <c r="J59" s="3143" t="s">
        <v>3410</v>
      </c>
    </row>
    <row r="60" spans="2:10">
      <c r="B60" s="3143">
        <v>59</v>
      </c>
      <c r="C60" s="3143" t="s">
        <v>3398</v>
      </c>
      <c r="D60" s="3143">
        <v>1007</v>
      </c>
      <c r="E60" s="3143">
        <v>112.44</v>
      </c>
      <c r="F60" s="3143" t="s">
        <v>3399</v>
      </c>
      <c r="G60" s="3143">
        <v>9</v>
      </c>
      <c r="H60" s="3143" t="s">
        <v>3391</v>
      </c>
      <c r="I60" s="3143" t="s">
        <v>3339</v>
      </c>
      <c r="J60" s="3143" t="s">
        <v>3410</v>
      </c>
    </row>
    <row r="61" spans="2:10">
      <c r="B61" s="3143">
        <v>60</v>
      </c>
      <c r="C61" s="3143" t="s">
        <v>3398</v>
      </c>
      <c r="D61" s="3143">
        <v>1008</v>
      </c>
      <c r="E61" s="3143">
        <v>118.57</v>
      </c>
      <c r="F61" s="3143" t="s">
        <v>3399</v>
      </c>
      <c r="G61" s="3143">
        <v>9</v>
      </c>
      <c r="H61" s="3143" t="s">
        <v>3391</v>
      </c>
      <c r="I61" s="3143" t="s">
        <v>3339</v>
      </c>
      <c r="J61" s="3143" t="s">
        <v>3410</v>
      </c>
    </row>
    <row r="62" spans="2:10">
      <c r="B62" s="3143">
        <v>61</v>
      </c>
      <c r="C62" s="3143" t="s">
        <v>3398</v>
      </c>
      <c r="D62" s="3143">
        <v>1009</v>
      </c>
      <c r="E62" s="3143">
        <v>75.59</v>
      </c>
      <c r="F62" s="3143" t="s">
        <v>3399</v>
      </c>
      <c r="G62" s="3143">
        <v>9</v>
      </c>
      <c r="H62" s="3143" t="s">
        <v>3391</v>
      </c>
      <c r="I62" s="3143" t="s">
        <v>3339</v>
      </c>
      <c r="J62" s="3143" t="s">
        <v>3410</v>
      </c>
    </row>
    <row r="63" spans="2:10">
      <c r="B63" s="3143">
        <v>62</v>
      </c>
      <c r="C63" s="3143" t="s">
        <v>3398</v>
      </c>
      <c r="D63" s="3143">
        <v>1010</v>
      </c>
      <c r="E63" s="3143">
        <v>118.57</v>
      </c>
      <c r="F63" s="3143" t="s">
        <v>3399</v>
      </c>
      <c r="G63" s="3143">
        <v>9</v>
      </c>
      <c r="H63" s="3143" t="s">
        <v>3391</v>
      </c>
      <c r="I63" s="3143" t="s">
        <v>3339</v>
      </c>
      <c r="J63" s="3143" t="s">
        <v>3410</v>
      </c>
    </row>
    <row r="64" spans="2:10">
      <c r="B64" s="3143">
        <v>63</v>
      </c>
      <c r="C64" s="3143" t="s">
        <v>3411</v>
      </c>
      <c r="D64" s="3143" t="s">
        <v>3412</v>
      </c>
      <c r="E64" s="3143">
        <v>49.34</v>
      </c>
      <c r="F64" s="3143" t="s">
        <v>3413</v>
      </c>
      <c r="G64" s="3143">
        <v>0</v>
      </c>
      <c r="H64" s="3143" t="s">
        <v>3414</v>
      </c>
      <c r="I64" s="3143" t="s">
        <v>3339</v>
      </c>
      <c r="J64" s="3143" t="s">
        <v>3400</v>
      </c>
    </row>
    <row r="65" spans="2:10">
      <c r="B65" s="3143">
        <v>68</v>
      </c>
      <c r="C65" s="3143" t="s">
        <v>3411</v>
      </c>
      <c r="D65" s="3143" t="s">
        <v>3415</v>
      </c>
      <c r="E65" s="3143">
        <v>49.34</v>
      </c>
      <c r="F65" s="3143" t="s">
        <v>3413</v>
      </c>
      <c r="G65" s="3143">
        <v>0</v>
      </c>
      <c r="H65" s="3143" t="s">
        <v>3414</v>
      </c>
      <c r="I65" s="3143" t="s">
        <v>3339</v>
      </c>
      <c r="J65" s="3143" t="s">
        <v>3400</v>
      </c>
    </row>
    <row r="66" spans="2:10">
      <c r="B66" s="3143">
        <v>79</v>
      </c>
      <c r="C66" s="3143" t="s">
        <v>3411</v>
      </c>
      <c r="D66" s="3143" t="s">
        <v>3416</v>
      </c>
      <c r="E66" s="3143">
        <v>49.34</v>
      </c>
      <c r="F66" s="3143" t="s">
        <v>3413</v>
      </c>
      <c r="G66" s="3143">
        <v>0</v>
      </c>
      <c r="H66" s="3143" t="s">
        <v>3414</v>
      </c>
      <c r="I66" s="3143" t="s">
        <v>3339</v>
      </c>
      <c r="J66" s="3143" t="s">
        <v>3400</v>
      </c>
    </row>
    <row r="67" spans="2:10">
      <c r="B67" s="3143">
        <v>87</v>
      </c>
      <c r="C67" s="3143" t="s">
        <v>3411</v>
      </c>
      <c r="D67" s="3143" t="s">
        <v>3417</v>
      </c>
      <c r="E67" s="3143">
        <v>49.34</v>
      </c>
      <c r="F67" s="3143" t="s">
        <v>3413</v>
      </c>
      <c r="G67" s="3143">
        <v>0</v>
      </c>
      <c r="H67" s="3143" t="s">
        <v>3414</v>
      </c>
      <c r="I67" s="3143" t="s">
        <v>3339</v>
      </c>
      <c r="J67" s="3143" t="s">
        <v>3400</v>
      </c>
    </row>
    <row r="68" spans="2:10">
      <c r="B68" s="3143">
        <v>88</v>
      </c>
      <c r="C68" s="3143" t="s">
        <v>3418</v>
      </c>
      <c r="D68" s="3143" t="s">
        <v>3419</v>
      </c>
      <c r="E68" s="3143">
        <v>49.34</v>
      </c>
      <c r="F68" s="3143" t="s">
        <v>3413</v>
      </c>
      <c r="G68" s="3143">
        <v>0</v>
      </c>
      <c r="H68" s="3143" t="s">
        <v>3414</v>
      </c>
      <c r="I68" s="3143" t="s">
        <v>3339</v>
      </c>
      <c r="J68" s="3143" t="s">
        <v>3407</v>
      </c>
    </row>
    <row r="69" spans="2:10">
      <c r="B69" s="3143">
        <v>89</v>
      </c>
      <c r="C69" s="3143" t="s">
        <v>3418</v>
      </c>
      <c r="D69" s="3143" t="s">
        <v>3420</v>
      </c>
      <c r="E69" s="3143">
        <v>49.34</v>
      </c>
      <c r="F69" s="3143" t="s">
        <v>3413</v>
      </c>
      <c r="G69" s="3143">
        <v>0</v>
      </c>
      <c r="H69" s="3143" t="s">
        <v>3414</v>
      </c>
      <c r="I69" s="3143" t="s">
        <v>3339</v>
      </c>
      <c r="J69" s="3143" t="s">
        <v>3407</v>
      </c>
    </row>
    <row r="70" spans="2:10">
      <c r="B70" s="3143">
        <v>90</v>
      </c>
      <c r="C70" s="3143" t="s">
        <v>3418</v>
      </c>
      <c r="D70" s="3143" t="s">
        <v>3421</v>
      </c>
      <c r="E70" s="3143">
        <v>49.34</v>
      </c>
      <c r="F70" s="3143" t="s">
        <v>3413</v>
      </c>
      <c r="G70" s="3143">
        <v>0</v>
      </c>
      <c r="H70" s="3143" t="s">
        <v>3414</v>
      </c>
      <c r="I70" s="3143" t="s">
        <v>3339</v>
      </c>
      <c r="J70" s="3143" t="s">
        <v>3407</v>
      </c>
    </row>
    <row r="71" spans="2:10">
      <c r="B71" s="3143">
        <v>91</v>
      </c>
      <c r="C71" s="3143" t="s">
        <v>3418</v>
      </c>
      <c r="D71" s="3143" t="s">
        <v>3422</v>
      </c>
      <c r="E71" s="3143">
        <v>49.34</v>
      </c>
      <c r="F71" s="3143" t="s">
        <v>3413</v>
      </c>
      <c r="G71" s="3143">
        <v>0</v>
      </c>
      <c r="H71" s="3143" t="s">
        <v>3414</v>
      </c>
      <c r="I71" s="3143" t="s">
        <v>3339</v>
      </c>
      <c r="J71" s="3143" t="s">
        <v>3407</v>
      </c>
    </row>
    <row r="72" spans="2:10">
      <c r="B72" s="3143">
        <v>92</v>
      </c>
      <c r="C72" s="3143" t="s">
        <v>3418</v>
      </c>
      <c r="D72" s="3143" t="s">
        <v>3423</v>
      </c>
      <c r="E72" s="3143">
        <v>30.6</v>
      </c>
      <c r="F72" s="3143" t="s">
        <v>3413</v>
      </c>
      <c r="G72" s="3143">
        <v>0</v>
      </c>
      <c r="H72" s="3143" t="s">
        <v>3414</v>
      </c>
      <c r="I72" s="3143" t="s">
        <v>3339</v>
      </c>
      <c r="J72" s="3143" t="s">
        <v>3407</v>
      </c>
    </row>
    <row r="73" spans="2:10">
      <c r="B73" s="3143">
        <v>64</v>
      </c>
      <c r="C73" s="3143" t="s">
        <v>3418</v>
      </c>
      <c r="D73" s="3143" t="s">
        <v>3424</v>
      </c>
      <c r="E73" s="3143">
        <v>49.34</v>
      </c>
      <c r="F73" s="3143" t="s">
        <v>3413</v>
      </c>
      <c r="G73" s="3143">
        <v>0</v>
      </c>
      <c r="H73" s="3143" t="s">
        <v>3414</v>
      </c>
      <c r="I73" s="3143" t="s">
        <v>3339</v>
      </c>
      <c r="J73" s="3143" t="s">
        <v>3407</v>
      </c>
    </row>
    <row r="74" spans="2:10">
      <c r="B74" s="3143">
        <v>65</v>
      </c>
      <c r="C74" s="3143" t="s">
        <v>3418</v>
      </c>
      <c r="D74" s="3143" t="s">
        <v>3425</v>
      </c>
      <c r="E74" s="3143">
        <v>49.34</v>
      </c>
      <c r="F74" s="3143" t="s">
        <v>3413</v>
      </c>
      <c r="G74" s="3143">
        <v>0</v>
      </c>
      <c r="H74" s="3143" t="s">
        <v>3414</v>
      </c>
      <c r="I74" s="3143" t="s">
        <v>3339</v>
      </c>
      <c r="J74" s="3143" t="s">
        <v>3407</v>
      </c>
    </row>
    <row r="75" spans="2:10">
      <c r="B75" s="3143">
        <v>66</v>
      </c>
      <c r="C75" s="3143" t="s">
        <v>3418</v>
      </c>
      <c r="D75" s="3143" t="s">
        <v>3426</v>
      </c>
      <c r="E75" s="3143">
        <v>49.34</v>
      </c>
      <c r="F75" s="3143" t="s">
        <v>3413</v>
      </c>
      <c r="G75" s="3143">
        <v>0</v>
      </c>
      <c r="H75" s="3143" t="s">
        <v>3414</v>
      </c>
      <c r="I75" s="3143" t="s">
        <v>3339</v>
      </c>
      <c r="J75" s="3143" t="s">
        <v>3407</v>
      </c>
    </row>
    <row r="76" spans="2:10">
      <c r="B76" s="3143">
        <v>67</v>
      </c>
      <c r="C76" s="3143" t="s">
        <v>3411</v>
      </c>
      <c r="D76" s="3143" t="s">
        <v>3427</v>
      </c>
      <c r="E76" s="3143">
        <v>49.34</v>
      </c>
      <c r="F76" s="3143" t="s">
        <v>3413</v>
      </c>
      <c r="G76" s="3143">
        <v>0</v>
      </c>
      <c r="H76" s="3143" t="s">
        <v>3414</v>
      </c>
      <c r="I76" s="3143" t="s">
        <v>3339</v>
      </c>
      <c r="J76" s="3143" t="s">
        <v>3409</v>
      </c>
    </row>
    <row r="77" spans="2:10">
      <c r="B77" s="3143">
        <v>69</v>
      </c>
      <c r="C77" s="3143" t="s">
        <v>3411</v>
      </c>
      <c r="D77" s="3143" t="s">
        <v>3428</v>
      </c>
      <c r="E77" s="3143">
        <v>49.34</v>
      </c>
      <c r="F77" s="3143" t="s">
        <v>3413</v>
      </c>
      <c r="G77" s="3143">
        <v>0</v>
      </c>
      <c r="H77" s="3143" t="s">
        <v>3414</v>
      </c>
      <c r="I77" s="3143" t="s">
        <v>3339</v>
      </c>
      <c r="J77" s="3143" t="s">
        <v>3409</v>
      </c>
    </row>
    <row r="78" spans="2:10">
      <c r="B78" s="3143">
        <v>70</v>
      </c>
      <c r="C78" s="3143" t="s">
        <v>3411</v>
      </c>
      <c r="D78" s="3143" t="s">
        <v>3429</v>
      </c>
      <c r="E78" s="3143">
        <v>49.34</v>
      </c>
      <c r="F78" s="3143" t="s">
        <v>3413</v>
      </c>
      <c r="G78" s="3143">
        <v>0</v>
      </c>
      <c r="H78" s="3143" t="s">
        <v>3414</v>
      </c>
      <c r="I78" s="3143" t="s">
        <v>3339</v>
      </c>
      <c r="J78" s="3143" t="s">
        <v>3409</v>
      </c>
    </row>
    <row r="79" spans="2:10">
      <c r="B79" s="3143">
        <v>71</v>
      </c>
      <c r="C79" s="3143" t="s">
        <v>3411</v>
      </c>
      <c r="D79" s="3143" t="s">
        <v>3430</v>
      </c>
      <c r="E79" s="3143">
        <v>49.34</v>
      </c>
      <c r="F79" s="3143" t="s">
        <v>3413</v>
      </c>
      <c r="G79" s="3143">
        <v>0</v>
      </c>
      <c r="H79" s="3143" t="s">
        <v>3414</v>
      </c>
      <c r="I79" s="3143" t="s">
        <v>3339</v>
      </c>
      <c r="J79" s="3143" t="s">
        <v>3409</v>
      </c>
    </row>
    <row r="80" spans="2:10">
      <c r="B80" s="3143">
        <v>72</v>
      </c>
      <c r="C80" s="3143" t="s">
        <v>3411</v>
      </c>
      <c r="D80" s="3143" t="s">
        <v>3431</v>
      </c>
      <c r="E80" s="3143">
        <v>49.34</v>
      </c>
      <c r="F80" s="3143" t="s">
        <v>3413</v>
      </c>
      <c r="G80" s="3143">
        <v>0</v>
      </c>
      <c r="H80" s="3143" t="s">
        <v>3414</v>
      </c>
      <c r="I80" s="3143" t="s">
        <v>3339</v>
      </c>
      <c r="J80" s="3143" t="s">
        <v>3409</v>
      </c>
    </row>
    <row r="81" spans="2:10">
      <c r="B81" s="3143">
        <v>73</v>
      </c>
      <c r="C81" s="3143" t="s">
        <v>3411</v>
      </c>
      <c r="D81" s="3143" t="s">
        <v>3432</v>
      </c>
      <c r="E81" s="3143">
        <v>49.34</v>
      </c>
      <c r="F81" s="3143" t="s">
        <v>3413</v>
      </c>
      <c r="G81" s="3143">
        <v>0</v>
      </c>
      <c r="H81" s="3143" t="s">
        <v>3414</v>
      </c>
      <c r="I81" s="3143" t="s">
        <v>3339</v>
      </c>
      <c r="J81" s="3143" t="s">
        <v>3409</v>
      </c>
    </row>
    <row r="82" spans="2:10">
      <c r="B82" s="3143">
        <v>74</v>
      </c>
      <c r="C82" s="3143" t="s">
        <v>3411</v>
      </c>
      <c r="D82" s="3143" t="s">
        <v>3433</v>
      </c>
      <c r="E82" s="3143">
        <v>49.34</v>
      </c>
      <c r="F82" s="3143" t="s">
        <v>3413</v>
      </c>
      <c r="G82" s="3143">
        <v>0</v>
      </c>
      <c r="H82" s="3143" t="s">
        <v>3414</v>
      </c>
      <c r="I82" s="3143" t="s">
        <v>3339</v>
      </c>
      <c r="J82" s="3143" t="s">
        <v>3409</v>
      </c>
    </row>
    <row r="83" spans="2:10">
      <c r="B83" s="3143">
        <v>75</v>
      </c>
      <c r="C83" s="3143" t="s">
        <v>3411</v>
      </c>
      <c r="D83" s="3143" t="s">
        <v>3434</v>
      </c>
      <c r="E83" s="3143">
        <v>49.34</v>
      </c>
      <c r="F83" s="3143" t="s">
        <v>3413</v>
      </c>
      <c r="G83" s="3143">
        <v>0</v>
      </c>
      <c r="H83" s="3143" t="s">
        <v>3414</v>
      </c>
      <c r="I83" s="3143" t="s">
        <v>3339</v>
      </c>
      <c r="J83" s="3143" t="s">
        <v>3409</v>
      </c>
    </row>
    <row r="84" spans="2:10">
      <c r="B84" s="3143">
        <v>76</v>
      </c>
      <c r="C84" s="3143" t="s">
        <v>3411</v>
      </c>
      <c r="D84" s="3143" t="s">
        <v>3435</v>
      </c>
      <c r="E84" s="3143">
        <v>49.34</v>
      </c>
      <c r="F84" s="3143" t="s">
        <v>3413</v>
      </c>
      <c r="G84" s="3143">
        <v>0</v>
      </c>
      <c r="H84" s="3143" t="s">
        <v>3414</v>
      </c>
      <c r="I84" s="3143" t="s">
        <v>3339</v>
      </c>
      <c r="J84" s="3143" t="s">
        <v>3409</v>
      </c>
    </row>
    <row r="85" spans="2:10">
      <c r="B85" s="3143">
        <v>77</v>
      </c>
      <c r="C85" s="3143" t="s">
        <v>3411</v>
      </c>
      <c r="D85" s="3143" t="s">
        <v>3436</v>
      </c>
      <c r="E85" s="3143">
        <v>49.34</v>
      </c>
      <c r="F85" s="3143" t="s">
        <v>3413</v>
      </c>
      <c r="G85" s="3143">
        <v>0</v>
      </c>
      <c r="H85" s="3143" t="s">
        <v>3414</v>
      </c>
      <c r="I85" s="3143" t="s">
        <v>3339</v>
      </c>
      <c r="J85" s="3143" t="s">
        <v>3410</v>
      </c>
    </row>
    <row r="86" spans="2:10">
      <c r="B86" s="3143">
        <v>78</v>
      </c>
      <c r="C86" s="3143" t="s">
        <v>3411</v>
      </c>
      <c r="D86" s="3143" t="s">
        <v>3437</v>
      </c>
      <c r="E86" s="3143">
        <v>49.34</v>
      </c>
      <c r="F86" s="3143" t="s">
        <v>3413</v>
      </c>
      <c r="G86" s="3143">
        <v>0</v>
      </c>
      <c r="H86" s="3143" t="s">
        <v>3414</v>
      </c>
      <c r="I86" s="3143" t="s">
        <v>3339</v>
      </c>
      <c r="J86" s="3143" t="s">
        <v>3410</v>
      </c>
    </row>
    <row r="87" spans="2:10">
      <c r="B87" s="3143">
        <v>80</v>
      </c>
      <c r="C87" s="3143" t="s">
        <v>3411</v>
      </c>
      <c r="D87" s="3143" t="s">
        <v>3438</v>
      </c>
      <c r="E87" s="3143">
        <v>49.34</v>
      </c>
      <c r="F87" s="3143" t="s">
        <v>3413</v>
      </c>
      <c r="G87" s="3143">
        <v>0</v>
      </c>
      <c r="H87" s="3143" t="s">
        <v>3414</v>
      </c>
      <c r="I87" s="3143" t="s">
        <v>3339</v>
      </c>
      <c r="J87" s="3143" t="s">
        <v>3410</v>
      </c>
    </row>
    <row r="88" spans="2:10">
      <c r="B88" s="3143">
        <v>81</v>
      </c>
      <c r="C88" s="3143" t="s">
        <v>3411</v>
      </c>
      <c r="D88" s="3143" t="s">
        <v>3439</v>
      </c>
      <c r="E88" s="3143">
        <v>49.34</v>
      </c>
      <c r="F88" s="3143" t="s">
        <v>3413</v>
      </c>
      <c r="G88" s="3143">
        <v>0</v>
      </c>
      <c r="H88" s="3143" t="s">
        <v>3414</v>
      </c>
      <c r="I88" s="3143" t="s">
        <v>3339</v>
      </c>
      <c r="J88" s="3143" t="s">
        <v>3410</v>
      </c>
    </row>
    <row r="89" spans="2:10">
      <c r="B89" s="3143">
        <v>82</v>
      </c>
      <c r="C89" s="3143" t="s">
        <v>3411</v>
      </c>
      <c r="D89" s="3143" t="s">
        <v>3440</v>
      </c>
      <c r="E89" s="3143">
        <v>49.34</v>
      </c>
      <c r="F89" s="3143" t="s">
        <v>3413</v>
      </c>
      <c r="G89" s="3143">
        <v>0</v>
      </c>
      <c r="H89" s="3143" t="s">
        <v>3414</v>
      </c>
      <c r="I89" s="3143" t="s">
        <v>3339</v>
      </c>
      <c r="J89" s="3143" t="s">
        <v>3410</v>
      </c>
    </row>
    <row r="90" spans="2:10">
      <c r="B90" s="3143">
        <v>83</v>
      </c>
      <c r="C90" s="3143" t="s">
        <v>3411</v>
      </c>
      <c r="D90" s="3143" t="s">
        <v>3441</v>
      </c>
      <c r="E90" s="3143">
        <v>49.34</v>
      </c>
      <c r="F90" s="3143" t="s">
        <v>3413</v>
      </c>
      <c r="G90" s="3143">
        <v>0</v>
      </c>
      <c r="H90" s="3143" t="s">
        <v>3414</v>
      </c>
      <c r="I90" s="3143" t="s">
        <v>3339</v>
      </c>
      <c r="J90" s="3143" t="s">
        <v>3410</v>
      </c>
    </row>
    <row r="91" spans="2:10">
      <c r="B91" s="3143">
        <v>84</v>
      </c>
      <c r="C91" s="3143" t="s">
        <v>3411</v>
      </c>
      <c r="D91" s="3143" t="s">
        <v>3442</v>
      </c>
      <c r="E91" s="3143">
        <v>49.34</v>
      </c>
      <c r="F91" s="3143" t="s">
        <v>3413</v>
      </c>
      <c r="G91" s="3143">
        <v>0</v>
      </c>
      <c r="H91" s="3143" t="s">
        <v>3414</v>
      </c>
      <c r="I91" s="3143" t="s">
        <v>3339</v>
      </c>
      <c r="J91" s="3143" t="s">
        <v>3410</v>
      </c>
    </row>
    <row r="92" spans="2:10">
      <c r="B92" s="3143">
        <v>85</v>
      </c>
      <c r="C92" s="3143" t="s">
        <v>3411</v>
      </c>
      <c r="D92" s="3143" t="s">
        <v>3443</v>
      </c>
      <c r="E92" s="3143">
        <v>49.34</v>
      </c>
      <c r="F92" s="3143" t="s">
        <v>3413</v>
      </c>
      <c r="G92" s="3143">
        <v>0</v>
      </c>
      <c r="H92" s="3143" t="s">
        <v>3414</v>
      </c>
      <c r="I92" s="3143" t="s">
        <v>3339</v>
      </c>
      <c r="J92" s="3143" t="s">
        <v>3410</v>
      </c>
    </row>
    <row r="93" spans="2:10">
      <c r="B93" s="3143">
        <v>86</v>
      </c>
      <c r="C93" s="3143" t="s">
        <v>3411</v>
      </c>
      <c r="D93" s="3143" t="s">
        <v>3444</v>
      </c>
      <c r="E93" s="3143">
        <v>49.34</v>
      </c>
      <c r="F93" s="3143" t="s">
        <v>3413</v>
      </c>
      <c r="G93" s="3143">
        <v>0</v>
      </c>
      <c r="H93" s="3143" t="s">
        <v>3414</v>
      </c>
      <c r="I93" s="3143" t="s">
        <v>3339</v>
      </c>
      <c r="J93" s="3143" t="s">
        <v>3410</v>
      </c>
    </row>
    <row r="94" spans="2:10">
      <c r="B94" s="3143" t="s">
        <v>3402</v>
      </c>
      <c r="C94" s="3143"/>
      <c r="D94" s="3143"/>
      <c r="E94" s="3143">
        <v>11833.989999999998</v>
      </c>
      <c r="F94" s="3143"/>
      <c r="G94" s="3143"/>
      <c r="H94" s="3143"/>
      <c r="I94" s="3143"/>
      <c r="J94" s="3143"/>
    </row>
    <row r="95" spans="2:10">
      <c r="B95" s="3141"/>
      <c r="C95" s="3141"/>
      <c r="D95" s="3141"/>
      <c r="E95" s="3142">
        <v>11833.990000000002</v>
      </c>
      <c r="F95" s="3141"/>
      <c r="G95" s="3141"/>
      <c r="H95" s="3141"/>
      <c r="I95" s="3141"/>
      <c r="J95" s="3141"/>
    </row>
    <row r="99" spans="9:9">
      <c r="I99">
        <f>45000/E95</f>
        <v>3.8026058835608274</v>
      </c>
    </row>
  </sheetData>
  <phoneticPr fontId="136"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L112"/>
  <sheetViews>
    <sheetView zoomScaleNormal="100" workbookViewId="0">
      <pane xSplit="3" ySplit="1" topLeftCell="E2" activePane="bottomRight" state="frozen"/>
      <selection pane="topRight"/>
      <selection pane="bottomLeft"/>
      <selection pane="bottomRight" activeCell="F103" sqref="F103"/>
    </sheetView>
  </sheetViews>
  <sheetFormatPr defaultColWidth="8.25" defaultRowHeight="12" outlineLevelRow="1"/>
  <cols>
    <col min="1" max="1" width="12.375" style="3239" customWidth="1"/>
    <col min="2" max="2" width="13.375" style="3239" customWidth="1"/>
    <col min="3" max="3" width="31.125" style="3239" customWidth="1"/>
    <col min="4" max="4" width="12.375" style="3239" customWidth="1"/>
    <col min="5" max="5" width="11.375" style="3239" customWidth="1"/>
    <col min="6" max="6" width="14.375" style="3239" customWidth="1"/>
    <col min="7" max="7" width="26.75" style="3242" customWidth="1"/>
    <col min="8" max="8" width="14.75" style="3239" customWidth="1"/>
    <col min="9" max="9" width="22.625" style="3239" customWidth="1"/>
    <col min="10" max="10" width="7" style="3158" hidden="1" customWidth="1"/>
    <col min="11" max="11" width="10.5" style="3156" bestFit="1" customWidth="1"/>
    <col min="12" max="12" width="10.5" style="3157" bestFit="1" customWidth="1"/>
    <col min="13" max="16384" width="8.25" style="3158"/>
  </cols>
  <sheetData>
    <row r="1" spans="1:12" ht="24">
      <c r="A1" s="3151" t="s">
        <v>3379</v>
      </c>
      <c r="B1" s="3151" t="s">
        <v>3463</v>
      </c>
      <c r="C1" s="3152" t="s">
        <v>3464</v>
      </c>
      <c r="D1" s="3153" t="s">
        <v>3465</v>
      </c>
      <c r="E1" s="3153" t="s">
        <v>3466</v>
      </c>
      <c r="F1" s="3153" t="s">
        <v>3467</v>
      </c>
      <c r="G1" s="3152" t="s">
        <v>3468</v>
      </c>
      <c r="H1" s="3154" t="s">
        <v>3469</v>
      </c>
      <c r="I1" s="3152" t="s">
        <v>3470</v>
      </c>
      <c r="J1" s="3155" t="s">
        <v>3471</v>
      </c>
    </row>
    <row r="2" spans="1:12" s="3168" customFormat="1" ht="90" outlineLevel="1">
      <c r="A2" s="3159">
        <v>1</v>
      </c>
      <c r="B2" s="3160" t="s">
        <v>3472</v>
      </c>
      <c r="C2" s="3160" t="s">
        <v>3473</v>
      </c>
      <c r="D2" s="3161"/>
      <c r="E2" s="3161"/>
      <c r="F2" s="3162">
        <v>127.79</v>
      </c>
      <c r="G2" s="3160" t="s">
        <v>3474</v>
      </c>
      <c r="H2" s="3163">
        <f>ROUND((31484*24+33039*24+34691*12)/(1+9%),2)</f>
        <v>1802609.17</v>
      </c>
      <c r="I2" s="3164" t="s">
        <v>3475</v>
      </c>
      <c r="J2" s="3165"/>
      <c r="K2" s="3166">
        <v>8.5</v>
      </c>
      <c r="L2" s="3167"/>
    </row>
    <row r="3" spans="1:12" s="3180" customFormat="1" ht="22.5" outlineLevel="1">
      <c r="A3" s="3169" t="s">
        <v>3476</v>
      </c>
      <c r="B3" s="3170" t="s">
        <v>3477</v>
      </c>
      <c r="C3" s="3171" t="s">
        <v>3478</v>
      </c>
      <c r="D3" s="3172">
        <v>5.9</v>
      </c>
      <c r="E3" s="3172">
        <v>37760</v>
      </c>
      <c r="F3" s="3173">
        <v>210.41</v>
      </c>
      <c r="G3" s="3174" t="s">
        <v>3479</v>
      </c>
      <c r="H3" s="3175">
        <f>ROUND(E3*(24-4)/(1+9%),2)</f>
        <v>692844.04</v>
      </c>
      <c r="I3" s="3176" t="s">
        <v>3480</v>
      </c>
      <c r="J3" s="3177"/>
      <c r="K3" s="3178">
        <v>5.9</v>
      </c>
      <c r="L3" s="3179">
        <f>E3/F3/30</f>
        <v>5.9819717060342503</v>
      </c>
    </row>
    <row r="4" spans="1:12" s="3180" customFormat="1" ht="90" outlineLevel="1">
      <c r="A4" s="3181"/>
      <c r="B4" s="3176" t="s">
        <v>3481</v>
      </c>
      <c r="C4" s="3182" t="s">
        <v>3482</v>
      </c>
      <c r="D4" s="3172">
        <v>6</v>
      </c>
      <c r="E4" s="3172">
        <v>31875</v>
      </c>
      <c r="F4" s="3173">
        <v>174.66</v>
      </c>
      <c r="G4" s="3174" t="s">
        <v>3483</v>
      </c>
      <c r="H4" s="3175">
        <f>ROUND((E4*31)/(1+9%),2)+ROUND((33469*34)/(1+9%),2)+ROUND((35169*23)/(1+9%),2)</f>
        <v>2692622.03</v>
      </c>
      <c r="I4" s="3176" t="s">
        <v>3484</v>
      </c>
      <c r="J4" s="3183"/>
      <c r="K4" s="3178">
        <v>6</v>
      </c>
      <c r="L4" s="3179">
        <f t="shared" ref="L4:L67" si="0">E4/F4/30</f>
        <v>6.0832474521928326</v>
      </c>
    </row>
    <row r="5" spans="1:12" s="3180" customFormat="1" ht="22.5" outlineLevel="1">
      <c r="A5" s="3181"/>
      <c r="B5" s="3176" t="s">
        <v>3485</v>
      </c>
      <c r="C5" s="3355" t="s">
        <v>3482</v>
      </c>
      <c r="D5" s="3359">
        <v>3.65</v>
      </c>
      <c r="E5" s="3359">
        <v>78447</v>
      </c>
      <c r="F5" s="3383">
        <v>706.6</v>
      </c>
      <c r="G5" s="3384" t="s">
        <v>3486</v>
      </c>
      <c r="H5" s="3360">
        <f>ROUND((E5*31)/(1+9%),2)+ROUND((82316*34)/(1+9%),2)+ROUND((86400*23)/(1+9%),2)</f>
        <v>6621835.7899999991</v>
      </c>
      <c r="I5" s="3354" t="s">
        <v>3487</v>
      </c>
      <c r="J5" s="3183"/>
      <c r="K5" s="3178">
        <v>3.65</v>
      </c>
      <c r="L5" s="3179">
        <f t="shared" si="0"/>
        <v>3.7006793093688084</v>
      </c>
    </row>
    <row r="6" spans="1:12" s="3180" customFormat="1" ht="22.5" outlineLevel="1">
      <c r="A6" s="3181"/>
      <c r="B6" s="3176" t="s">
        <v>3488</v>
      </c>
      <c r="C6" s="3356"/>
      <c r="D6" s="3359"/>
      <c r="E6" s="3359"/>
      <c r="F6" s="3383"/>
      <c r="G6" s="3384"/>
      <c r="H6" s="3360"/>
      <c r="I6" s="3354"/>
      <c r="J6" s="3183"/>
      <c r="K6" s="3178"/>
      <c r="L6" s="3179" t="e">
        <f t="shared" si="0"/>
        <v>#DIV/0!</v>
      </c>
    </row>
    <row r="7" spans="1:12" s="3180" customFormat="1" ht="90" outlineLevel="1">
      <c r="A7" s="3181"/>
      <c r="B7" s="3176" t="s">
        <v>3489</v>
      </c>
      <c r="C7" s="3182" t="s">
        <v>3482</v>
      </c>
      <c r="D7" s="3172">
        <v>3.65</v>
      </c>
      <c r="E7" s="3172">
        <v>14044</v>
      </c>
      <c r="F7" s="3173">
        <v>126.5</v>
      </c>
      <c r="G7" s="3174" t="s">
        <v>3490</v>
      </c>
      <c r="H7" s="3175">
        <f>ROUND((E6*31)/(1+9%),2)+ROUND((14737*34)/(1+9%),2)+ROUND((15468*23)/(1+9%),2)</f>
        <v>786075.23</v>
      </c>
      <c r="I7" s="3176" t="s">
        <v>3491</v>
      </c>
      <c r="J7" s="3183"/>
      <c r="K7" s="3178">
        <v>3.65</v>
      </c>
      <c r="L7" s="3179">
        <f t="shared" si="0"/>
        <v>3.7006587615283264</v>
      </c>
    </row>
    <row r="8" spans="1:12" ht="14.25">
      <c r="A8" s="3184" t="s">
        <v>3492</v>
      </c>
      <c r="B8" s="3184"/>
      <c r="C8" s="3184"/>
      <c r="D8" s="3185"/>
      <c r="E8" s="3186"/>
      <c r="F8" s="3187">
        <f>SUM(F2:F7)</f>
        <v>1345.96</v>
      </c>
      <c r="G8" s="3188"/>
      <c r="H8" s="3189"/>
      <c r="I8" s="3190"/>
      <c r="J8" s="3191"/>
      <c r="L8" s="3179">
        <f t="shared" si="0"/>
        <v>0</v>
      </c>
    </row>
    <row r="9" spans="1:12" outlineLevel="1">
      <c r="A9" s="3192" t="s">
        <v>3493</v>
      </c>
      <c r="B9" s="3193">
        <v>203</v>
      </c>
      <c r="C9" s="3194" t="s">
        <v>3494</v>
      </c>
      <c r="D9" s="3172"/>
      <c r="E9" s="3172"/>
      <c r="F9" s="3195">
        <f>VLOOKUP(B9,[2]产权过户信息!$C$5:$K$96,2,FALSE)</f>
        <v>190.34</v>
      </c>
      <c r="G9" s="3176"/>
      <c r="H9" s="3196"/>
      <c r="I9" s="3197"/>
      <c r="J9" s="3198"/>
      <c r="L9" s="3179">
        <f t="shared" si="0"/>
        <v>0</v>
      </c>
    </row>
    <row r="10" spans="1:12" outlineLevel="1">
      <c r="A10" s="3192" t="s">
        <v>3495</v>
      </c>
      <c r="B10" s="3193">
        <v>301</v>
      </c>
      <c r="C10" s="3194" t="s">
        <v>3494</v>
      </c>
      <c r="D10" s="3172"/>
      <c r="E10" s="3172"/>
      <c r="F10" s="3195">
        <f>VLOOKUP(B10,[2]产权过户信息!$C$5:$K$96,2,FALSE)</f>
        <v>409.84</v>
      </c>
      <c r="G10" s="3176"/>
      <c r="H10" s="3196"/>
      <c r="I10" s="3197"/>
      <c r="J10" s="3198"/>
      <c r="L10" s="3179">
        <f t="shared" si="0"/>
        <v>0</v>
      </c>
    </row>
    <row r="11" spans="1:12" outlineLevel="1">
      <c r="A11" s="3192" t="s">
        <v>3496</v>
      </c>
      <c r="B11" s="3193">
        <v>302</v>
      </c>
      <c r="C11" s="3194" t="s">
        <v>3494</v>
      </c>
      <c r="D11" s="3172"/>
      <c r="E11" s="3172"/>
      <c r="F11" s="3195">
        <f>VLOOKUP(B11,[2]产权过户信息!$C$5:$K$96,2,FALSE)</f>
        <v>262.27999999999997</v>
      </c>
      <c r="G11" s="3176"/>
      <c r="H11" s="3196"/>
      <c r="I11" s="3197"/>
      <c r="J11" s="3198"/>
      <c r="L11" s="3179">
        <f t="shared" si="0"/>
        <v>0</v>
      </c>
    </row>
    <row r="12" spans="1:12" outlineLevel="1">
      <c r="A12" s="3192" t="s">
        <v>3497</v>
      </c>
      <c r="B12" s="3193">
        <v>303</v>
      </c>
      <c r="C12" s="3194" t="s">
        <v>3494</v>
      </c>
      <c r="D12" s="3172"/>
      <c r="E12" s="3172"/>
      <c r="F12" s="3195">
        <f>VLOOKUP(B12,[2]产权过户信息!$C$5:$K$96,2,FALSE)</f>
        <v>214.39</v>
      </c>
      <c r="G12" s="3176"/>
      <c r="H12" s="3196"/>
      <c r="I12" s="3197"/>
      <c r="J12" s="3198"/>
      <c r="L12" s="3179">
        <f t="shared" si="0"/>
        <v>0</v>
      </c>
    </row>
    <row r="13" spans="1:12" outlineLevel="1">
      <c r="A13" s="3192" t="s">
        <v>3498</v>
      </c>
      <c r="B13" s="3193">
        <v>305</v>
      </c>
      <c r="C13" s="3194" t="s">
        <v>3494</v>
      </c>
      <c r="D13" s="3172"/>
      <c r="E13" s="3172"/>
      <c r="F13" s="3195">
        <f>VLOOKUP(B13,[2]产权过户信息!$C$5:$K$96,2,FALSE)</f>
        <v>110.2</v>
      </c>
      <c r="G13" s="3176"/>
      <c r="H13" s="3196"/>
      <c r="I13" s="3197"/>
      <c r="J13" s="3198"/>
      <c r="L13" s="3179">
        <f t="shared" si="0"/>
        <v>0</v>
      </c>
    </row>
    <row r="14" spans="1:12" outlineLevel="1">
      <c r="A14" s="3192" t="s">
        <v>3499</v>
      </c>
      <c r="B14" s="3193">
        <v>306</v>
      </c>
      <c r="C14" s="3194" t="s">
        <v>3494</v>
      </c>
      <c r="D14" s="3172"/>
      <c r="E14" s="3172"/>
      <c r="F14" s="3195">
        <f>VLOOKUP(B14,[2]产权过户信息!$C$5:$K$96,2,FALSE)</f>
        <v>508.42</v>
      </c>
      <c r="G14" s="3176"/>
      <c r="H14" s="3196"/>
      <c r="I14" s="3197"/>
      <c r="J14" s="3198"/>
      <c r="L14" s="3179">
        <f t="shared" si="0"/>
        <v>0</v>
      </c>
    </row>
    <row r="15" spans="1:12" ht="56.25" outlineLevel="1">
      <c r="A15" s="3192" t="s">
        <v>3500</v>
      </c>
      <c r="B15" s="3193" t="s">
        <v>3412</v>
      </c>
      <c r="C15" s="3199" t="s">
        <v>3501</v>
      </c>
      <c r="D15" s="3172"/>
      <c r="E15" s="3200">
        <v>900</v>
      </c>
      <c r="F15" s="3195">
        <f>VLOOKUP(B15,[2]产权过户信息!$C$5:$K$96,2,FALSE)</f>
        <v>49.34</v>
      </c>
      <c r="G15" s="3199" t="s">
        <v>3502</v>
      </c>
      <c r="H15" s="3196">
        <f>900*3/1.1+900*3/1.09</f>
        <v>4931.6096747289412</v>
      </c>
      <c r="I15" s="3197"/>
      <c r="J15" s="3198"/>
      <c r="L15" s="3179">
        <f t="shared" si="0"/>
        <v>0.6080259424402108</v>
      </c>
    </row>
    <row r="16" spans="1:12" ht="22.5" outlineLevel="1">
      <c r="A16" s="3192" t="s">
        <v>3503</v>
      </c>
      <c r="B16" s="3193" t="s">
        <v>3415</v>
      </c>
      <c r="C16" s="3176" t="s">
        <v>3504</v>
      </c>
      <c r="D16" s="3172"/>
      <c r="E16" s="3200">
        <v>900</v>
      </c>
      <c r="F16" s="3195">
        <f>VLOOKUP(B16,[2]产权过户信息!$C$5:$K$96,2,FALSE)</f>
        <v>49.34</v>
      </c>
      <c r="G16" s="3199" t="s">
        <v>3505</v>
      </c>
      <c r="H16" s="3196">
        <f>900*6/1.09</f>
        <v>4954.1284403669724</v>
      </c>
      <c r="I16" s="3197"/>
      <c r="J16" s="3198"/>
      <c r="L16" s="3179">
        <f t="shared" si="0"/>
        <v>0.6080259424402108</v>
      </c>
    </row>
    <row r="17" spans="1:12" ht="56.25" outlineLevel="1">
      <c r="A17" s="3192" t="s">
        <v>3506</v>
      </c>
      <c r="B17" s="3193" t="s">
        <v>3416</v>
      </c>
      <c r="C17" s="3199" t="s">
        <v>3501</v>
      </c>
      <c r="D17" s="3172"/>
      <c r="E17" s="3200">
        <v>900</v>
      </c>
      <c r="F17" s="3195">
        <f>VLOOKUP(B17,[2]产权过户信息!$C$5:$K$96,2,FALSE)</f>
        <v>49.34</v>
      </c>
      <c r="G17" s="3199" t="s">
        <v>3507</v>
      </c>
      <c r="H17" s="3196">
        <f>900*6/1.09</f>
        <v>4954.1284403669724</v>
      </c>
      <c r="I17" s="3197"/>
      <c r="J17" s="3198"/>
      <c r="L17" s="3179">
        <f t="shared" si="0"/>
        <v>0.6080259424402108</v>
      </c>
    </row>
    <row r="18" spans="1:12" ht="56.25" outlineLevel="1">
      <c r="A18" s="3192" t="s">
        <v>3508</v>
      </c>
      <c r="B18" s="3193" t="s">
        <v>3417</v>
      </c>
      <c r="C18" s="3199" t="s">
        <v>3501</v>
      </c>
      <c r="D18" s="3172"/>
      <c r="E18" s="3200">
        <v>900</v>
      </c>
      <c r="F18" s="3195">
        <f>VLOOKUP(B18,[2]产权过户信息!$C$5:$K$96,2,FALSE)</f>
        <v>49.34</v>
      </c>
      <c r="G18" s="3199" t="s">
        <v>3507</v>
      </c>
      <c r="H18" s="3196">
        <f>900*6/1.09</f>
        <v>4954.1284403669724</v>
      </c>
      <c r="I18" s="3197"/>
      <c r="J18" s="3198"/>
      <c r="L18" s="3179">
        <f t="shared" si="0"/>
        <v>0.6080259424402108</v>
      </c>
    </row>
    <row r="19" spans="1:12" ht="14.25">
      <c r="A19" s="3184" t="s">
        <v>3509</v>
      </c>
      <c r="B19" s="3184"/>
      <c r="C19" s="3184"/>
      <c r="D19" s="3185"/>
      <c r="E19" s="3185"/>
      <c r="F19" s="3201">
        <f>SUM(F9:F18)</f>
        <v>1892.8299999999997</v>
      </c>
      <c r="G19" s="3202"/>
      <c r="H19" s="3203"/>
      <c r="I19" s="3184"/>
      <c r="J19" s="3191"/>
      <c r="L19" s="3179">
        <f t="shared" si="0"/>
        <v>0</v>
      </c>
    </row>
    <row r="20" spans="1:12" outlineLevel="1">
      <c r="A20" s="3192" t="s">
        <v>3510</v>
      </c>
      <c r="B20" s="3193">
        <v>501</v>
      </c>
      <c r="C20" s="3368" t="s">
        <v>3511</v>
      </c>
      <c r="D20" s="3364">
        <v>5.6</v>
      </c>
      <c r="E20" s="3364">
        <v>135701</v>
      </c>
      <c r="F20" s="3195">
        <f>VLOOKUP(B20,[2]产权过户信息!$C$5:$K$96,2,FALSE)</f>
        <v>112.44</v>
      </c>
      <c r="G20" s="3373" t="s">
        <v>3512</v>
      </c>
      <c r="H20" s="3376">
        <f>ROUND(135701/1.1*3+135701/1.09*(36-3-6)+145394*(36-3)/1.09,2)</f>
        <v>8133331.25</v>
      </c>
      <c r="I20" s="3373" t="s">
        <v>3513</v>
      </c>
      <c r="J20" s="3198"/>
      <c r="L20" s="3179">
        <f>E20/(F20+F21+F22+F23+F24)/30</f>
        <v>5.6777710833291497</v>
      </c>
    </row>
    <row r="21" spans="1:12" outlineLevel="1">
      <c r="A21" s="3192" t="s">
        <v>3514</v>
      </c>
      <c r="B21" s="3193">
        <v>502</v>
      </c>
      <c r="C21" s="3381"/>
      <c r="D21" s="3382"/>
      <c r="E21" s="3382"/>
      <c r="F21" s="3195">
        <f>VLOOKUP(B21,[2]产权过户信息!$C$5:$K$96,2,FALSE)</f>
        <v>105.96</v>
      </c>
      <c r="G21" s="3374"/>
      <c r="H21" s="3377"/>
      <c r="I21" s="3374"/>
      <c r="J21" s="3198"/>
      <c r="L21" s="3179">
        <f t="shared" si="0"/>
        <v>0</v>
      </c>
    </row>
    <row r="22" spans="1:12" outlineLevel="1">
      <c r="A22" s="3192" t="s">
        <v>3515</v>
      </c>
      <c r="B22" s="3193">
        <v>503</v>
      </c>
      <c r="C22" s="3381"/>
      <c r="D22" s="3382"/>
      <c r="E22" s="3382"/>
      <c r="F22" s="3195">
        <f>VLOOKUP(B22,[2]产权过户信息!$C$5:$K$96,2,FALSE)</f>
        <v>236.16</v>
      </c>
      <c r="G22" s="3374"/>
      <c r="H22" s="3377"/>
      <c r="I22" s="3374"/>
      <c r="J22" s="3198"/>
      <c r="L22" s="3179">
        <f t="shared" si="0"/>
        <v>0</v>
      </c>
    </row>
    <row r="23" spans="1:12" outlineLevel="1">
      <c r="A23" s="3192" t="s">
        <v>3516</v>
      </c>
      <c r="B23" s="3193">
        <v>505</v>
      </c>
      <c r="C23" s="3381"/>
      <c r="D23" s="3382"/>
      <c r="E23" s="3382"/>
      <c r="F23" s="3195">
        <f>VLOOKUP(B23,[2]产权过户信息!$C$5:$K$96,2,FALSE)</f>
        <v>236.16</v>
      </c>
      <c r="G23" s="3374"/>
      <c r="H23" s="3377"/>
      <c r="I23" s="3374"/>
      <c r="J23" s="3198"/>
      <c r="L23" s="3179">
        <f t="shared" si="0"/>
        <v>0</v>
      </c>
    </row>
    <row r="24" spans="1:12" outlineLevel="1">
      <c r="A24" s="3192" t="s">
        <v>3517</v>
      </c>
      <c r="B24" s="3193">
        <v>506</v>
      </c>
      <c r="C24" s="3369"/>
      <c r="D24" s="3365"/>
      <c r="E24" s="3365"/>
      <c r="F24" s="3195">
        <f>VLOOKUP(B24,[2]产权过户信息!$C$5:$K$96,2,FALSE)</f>
        <v>105.96</v>
      </c>
      <c r="G24" s="3375"/>
      <c r="H24" s="3378"/>
      <c r="I24" s="3375"/>
      <c r="J24" s="3198"/>
      <c r="L24" s="3179">
        <f t="shared" si="0"/>
        <v>0</v>
      </c>
    </row>
    <row r="25" spans="1:12" outlineLevel="1">
      <c r="A25" s="3192" t="s">
        <v>3518</v>
      </c>
      <c r="B25" s="3193">
        <v>507</v>
      </c>
      <c r="C25" s="3368" t="s">
        <v>3501</v>
      </c>
      <c r="D25" s="3364">
        <v>5.6</v>
      </c>
      <c r="E25" s="3364">
        <v>72421</v>
      </c>
      <c r="F25" s="3195">
        <f>VLOOKUP(B25,[2]产权过户信息!$C$5:$K$96,2,FALSE)</f>
        <v>112.44</v>
      </c>
      <c r="G25" s="3373" t="s">
        <v>3519</v>
      </c>
      <c r="H25" s="3376">
        <f>ROUND(72421/1.1*3+72421/1.09*(36-3-6)+77594*(36-3)/1.09,2)</f>
        <v>4340602.6399999997</v>
      </c>
      <c r="I25" s="3373" t="s">
        <v>3513</v>
      </c>
      <c r="J25" s="3198"/>
      <c r="L25" s="3179">
        <f>E25/(F25+F26+F27+F28)/30</f>
        <v>5.6778073084491698</v>
      </c>
    </row>
    <row r="26" spans="1:12" outlineLevel="1">
      <c r="A26" s="3192" t="s">
        <v>3520</v>
      </c>
      <c r="B26" s="3193">
        <v>508</v>
      </c>
      <c r="C26" s="3381"/>
      <c r="D26" s="3382"/>
      <c r="E26" s="3382"/>
      <c r="F26" s="3195">
        <f>VLOOKUP(B26,[2]产权过户信息!$C$5:$K$96,2,FALSE)</f>
        <v>118.57</v>
      </c>
      <c r="G26" s="3374"/>
      <c r="H26" s="3377"/>
      <c r="I26" s="3374"/>
      <c r="J26" s="3198"/>
      <c r="L26" s="3179">
        <f t="shared" si="0"/>
        <v>0</v>
      </c>
    </row>
    <row r="27" spans="1:12" outlineLevel="1">
      <c r="A27" s="3192" t="s">
        <v>3521</v>
      </c>
      <c r="B27" s="3193">
        <v>509</v>
      </c>
      <c r="C27" s="3381"/>
      <c r="D27" s="3382"/>
      <c r="E27" s="3382"/>
      <c r="F27" s="3195">
        <f>VLOOKUP(B27,[2]产权过户信息!$C$5:$K$96,2,FALSE)</f>
        <v>75.59</v>
      </c>
      <c r="G27" s="3374"/>
      <c r="H27" s="3377"/>
      <c r="I27" s="3374"/>
      <c r="J27" s="3198"/>
      <c r="L27" s="3179">
        <f t="shared" si="0"/>
        <v>0</v>
      </c>
    </row>
    <row r="28" spans="1:12" outlineLevel="1">
      <c r="A28" s="3192" t="s">
        <v>3522</v>
      </c>
      <c r="B28" s="3193">
        <v>510</v>
      </c>
      <c r="C28" s="3369"/>
      <c r="D28" s="3365"/>
      <c r="E28" s="3365"/>
      <c r="F28" s="3195">
        <f>VLOOKUP(B28,[2]产权过户信息!$C$5:$K$96,2,FALSE)</f>
        <v>118.57</v>
      </c>
      <c r="G28" s="3375"/>
      <c r="H28" s="3378"/>
      <c r="I28" s="3375"/>
      <c r="J28" s="3198"/>
      <c r="L28" s="3179">
        <f t="shared" si="0"/>
        <v>0</v>
      </c>
    </row>
    <row r="29" spans="1:12" ht="22.5" outlineLevel="1">
      <c r="A29" s="3192" t="s">
        <v>3523</v>
      </c>
      <c r="B29" s="3193">
        <v>601</v>
      </c>
      <c r="C29" s="3176" t="s">
        <v>3482</v>
      </c>
      <c r="D29" s="3172">
        <v>5.5</v>
      </c>
      <c r="E29" s="3172">
        <v>18810</v>
      </c>
      <c r="F29" s="3195">
        <f>VLOOKUP(B29,[2]产权过户信息!$C$5:$K$96,2,FALSE)</f>
        <v>112.44</v>
      </c>
      <c r="G29" s="3204" t="s">
        <v>3524</v>
      </c>
      <c r="H29" s="3205">
        <f>ROUND(18810*(24-2)/(1+9%),2)</f>
        <v>379651.38</v>
      </c>
      <c r="I29" s="3204" t="s">
        <v>3525</v>
      </c>
      <c r="J29" s="3198"/>
      <c r="L29" s="3179">
        <f>E29/F29/30</f>
        <v>5.5763073639274277</v>
      </c>
    </row>
    <row r="30" spans="1:12" ht="22.5" outlineLevel="1">
      <c r="A30" s="3192" t="s">
        <v>3526</v>
      </c>
      <c r="B30" s="3193">
        <v>602</v>
      </c>
      <c r="C30" s="3176" t="s">
        <v>3527</v>
      </c>
      <c r="D30" s="3172">
        <v>5.6</v>
      </c>
      <c r="E30" s="3172">
        <v>18049</v>
      </c>
      <c r="F30" s="3195">
        <f>VLOOKUP(B30,[2]产权过户信息!$C$5:$K$96,2,FALSE)</f>
        <v>105.96</v>
      </c>
      <c r="G30" s="3204" t="s">
        <v>3528</v>
      </c>
      <c r="H30" s="3205">
        <f>ROUND((18049*(24-2))/(1+9%),2)</f>
        <v>364291.74</v>
      </c>
      <c r="I30" s="3204" t="s">
        <v>3529</v>
      </c>
      <c r="J30" s="3206"/>
      <c r="L30" s="3179">
        <f t="shared" si="0"/>
        <v>5.6779287781552785</v>
      </c>
    </row>
    <row r="31" spans="1:12" ht="67.5" outlineLevel="1">
      <c r="A31" s="3192" t="s">
        <v>3530</v>
      </c>
      <c r="B31" s="3193">
        <v>603</v>
      </c>
      <c r="C31" s="3176" t="s">
        <v>3531</v>
      </c>
      <c r="D31" s="3172">
        <v>6.1</v>
      </c>
      <c r="E31" s="3172">
        <v>43818</v>
      </c>
      <c r="F31" s="3195">
        <f>VLOOKUP(B31,[2]产权过户信息!$C$5:$K$96,2,FALSE)</f>
        <v>236.16</v>
      </c>
      <c r="G31" s="3204" t="s">
        <v>3532</v>
      </c>
      <c r="H31" s="3205">
        <f>ROUND((43818*(24-3)+47337*(12-2))/(1+10%),2)+ROUND(39508*(24-4)/1.09,2)+ROUND(5.5*13,2)</f>
        <v>1991850.75</v>
      </c>
      <c r="I31" s="3204" t="s">
        <v>3533</v>
      </c>
      <c r="J31" s="3206"/>
      <c r="L31" s="3179">
        <f>E31/F31/30</f>
        <v>6.1847899728997282</v>
      </c>
    </row>
    <row r="32" spans="1:12" outlineLevel="1">
      <c r="A32" s="3192" t="s">
        <v>3534</v>
      </c>
      <c r="B32" s="3193">
        <v>605</v>
      </c>
      <c r="C32" s="3355" t="s">
        <v>3535</v>
      </c>
      <c r="D32" s="3364">
        <v>5.7</v>
      </c>
      <c r="E32" s="3366">
        <v>59315</v>
      </c>
      <c r="F32" s="3195">
        <f>VLOOKUP(B32,[2]产权过户信息!$C$5:$K$96,2,FALSE)</f>
        <v>236.16</v>
      </c>
      <c r="G32" s="3368" t="s">
        <v>3536</v>
      </c>
      <c r="H32" s="3370">
        <f>ROUND((62437*(26-2)+59315*(24-5))/1.09,2)</f>
        <v>2408690.83</v>
      </c>
      <c r="I32" s="3373" t="s">
        <v>3537</v>
      </c>
      <c r="J32" s="3379"/>
      <c r="L32" s="3179">
        <f>E32/(F32+F33)/30</f>
        <v>5.7791613079231459</v>
      </c>
    </row>
    <row r="33" spans="1:12" ht="60" customHeight="1" outlineLevel="1">
      <c r="A33" s="3192" t="s">
        <v>3538</v>
      </c>
      <c r="B33" s="3193">
        <v>606</v>
      </c>
      <c r="C33" s="3356"/>
      <c r="D33" s="3365"/>
      <c r="E33" s="3367"/>
      <c r="F33" s="3195">
        <f>VLOOKUP(B33,[2]产权过户信息!$C$5:$K$96,2,FALSE)</f>
        <v>105.96</v>
      </c>
      <c r="G33" s="3369"/>
      <c r="H33" s="3371"/>
      <c r="I33" s="3375"/>
      <c r="J33" s="3380"/>
      <c r="L33" s="3179">
        <f t="shared" si="0"/>
        <v>0</v>
      </c>
    </row>
    <row r="34" spans="1:12" ht="67.5" outlineLevel="1">
      <c r="A34" s="3192" t="s">
        <v>3539</v>
      </c>
      <c r="B34" s="3193">
        <v>607</v>
      </c>
      <c r="C34" s="3176" t="s">
        <v>3540</v>
      </c>
      <c r="D34" s="3172">
        <v>5.7</v>
      </c>
      <c r="E34" s="3172">
        <v>19494</v>
      </c>
      <c r="F34" s="3195">
        <f>VLOOKUP(B34,[2]产权过户信息!$C$5:$K$96,2,FALSE)</f>
        <v>112.44</v>
      </c>
      <c r="G34" s="3204" t="s">
        <v>3541</v>
      </c>
      <c r="H34" s="3205">
        <f>ROUND((20520*(24-3)+22162*(24-2)+19494*(12-2))/(1+9%),2)</f>
        <v>1021489.91</v>
      </c>
      <c r="I34" s="3204" t="s">
        <v>3542</v>
      </c>
      <c r="J34" s="3198"/>
      <c r="L34" s="3179">
        <f t="shared" si="0"/>
        <v>5.7790821771611531</v>
      </c>
    </row>
    <row r="35" spans="1:12" outlineLevel="1">
      <c r="A35" s="3192" t="s">
        <v>3543</v>
      </c>
      <c r="B35" s="3193">
        <v>608</v>
      </c>
      <c r="C35" s="3182" t="s">
        <v>3494</v>
      </c>
      <c r="D35" s="3172"/>
      <c r="E35" s="3172"/>
      <c r="F35" s="3195">
        <f>VLOOKUP(B35,[2]产权过户信息!$C$5:$K$96,2,FALSE)</f>
        <v>118.57</v>
      </c>
      <c r="G35" s="3204"/>
      <c r="H35" s="3205"/>
      <c r="I35" s="3204"/>
      <c r="J35" s="3198"/>
      <c r="L35" s="3179">
        <f t="shared" si="0"/>
        <v>0</v>
      </c>
    </row>
    <row r="36" spans="1:12" outlineLevel="1">
      <c r="A36" s="3192" t="s">
        <v>3544</v>
      </c>
      <c r="B36" s="3193">
        <v>609</v>
      </c>
      <c r="C36" s="3182" t="s">
        <v>3494</v>
      </c>
      <c r="D36" s="3172"/>
      <c r="E36" s="3172"/>
      <c r="F36" s="3195">
        <f>VLOOKUP(B36,[2]产权过户信息!$C$5:$K$96,2,FALSE)</f>
        <v>75.59</v>
      </c>
      <c r="G36" s="3204"/>
      <c r="H36" s="3205"/>
      <c r="I36" s="3204"/>
      <c r="J36" s="3198"/>
      <c r="L36" s="3179">
        <f t="shared" si="0"/>
        <v>0</v>
      </c>
    </row>
    <row r="37" spans="1:12" outlineLevel="1">
      <c r="A37" s="3192" t="s">
        <v>3545</v>
      </c>
      <c r="B37" s="3193">
        <v>610</v>
      </c>
      <c r="C37" s="3182" t="s">
        <v>3494</v>
      </c>
      <c r="D37" s="3172"/>
      <c r="E37" s="3172"/>
      <c r="F37" s="3195">
        <f>VLOOKUP(B37,[2]产权过户信息!$C$5:$K$96,2,FALSE)</f>
        <v>118.57</v>
      </c>
      <c r="G37" s="3204"/>
      <c r="H37" s="3205"/>
      <c r="I37" s="3204"/>
      <c r="J37" s="3198"/>
      <c r="L37" s="3179">
        <f t="shared" si="0"/>
        <v>0</v>
      </c>
    </row>
    <row r="38" spans="1:12" ht="67.5" outlineLevel="1">
      <c r="A38" s="3192" t="s">
        <v>3546</v>
      </c>
      <c r="B38" s="3193" t="s">
        <v>3419</v>
      </c>
      <c r="C38" s="3207" t="s">
        <v>3501</v>
      </c>
      <c r="D38" s="3172"/>
      <c r="E38" s="3172">
        <v>900</v>
      </c>
      <c r="F38" s="3195">
        <f>VLOOKUP(B38,[2]产权过户信息!$C$5:$K$96,2,FALSE)</f>
        <v>49.34</v>
      </c>
      <c r="G38" s="3199" t="s">
        <v>3547</v>
      </c>
      <c r="H38" s="3196">
        <f>900*6/1.09</f>
        <v>4954.1284403669724</v>
      </c>
      <c r="I38" s="3197"/>
      <c r="J38" s="3198"/>
      <c r="L38" s="3179">
        <f t="shared" si="0"/>
        <v>0.6080259424402108</v>
      </c>
    </row>
    <row r="39" spans="1:12" ht="67.5" outlineLevel="1">
      <c r="A39" s="3192" t="s">
        <v>3548</v>
      </c>
      <c r="B39" s="3193" t="s">
        <v>3420</v>
      </c>
      <c r="C39" s="3207" t="s">
        <v>3501</v>
      </c>
      <c r="D39" s="3172"/>
      <c r="E39" s="3172">
        <v>900</v>
      </c>
      <c r="F39" s="3195">
        <f>VLOOKUP(B39,[2]产权过户信息!$C$5:$K$96,2,FALSE)</f>
        <v>49.34</v>
      </c>
      <c r="G39" s="3199" t="s">
        <v>3549</v>
      </c>
      <c r="H39" s="3196">
        <f t="shared" ref="H39:H45" si="1">900*6/1.09</f>
        <v>4954.1284403669724</v>
      </c>
      <c r="I39" s="3197"/>
      <c r="J39" s="3198"/>
      <c r="L39" s="3179">
        <f t="shared" si="0"/>
        <v>0.6080259424402108</v>
      </c>
    </row>
    <row r="40" spans="1:12" ht="67.5" outlineLevel="1">
      <c r="A40" s="3208" t="s">
        <v>3550</v>
      </c>
      <c r="B40" s="3209" t="s">
        <v>3421</v>
      </c>
      <c r="C40" s="3207" t="s">
        <v>3501</v>
      </c>
      <c r="D40" s="3200"/>
      <c r="E40" s="3200">
        <v>900</v>
      </c>
      <c r="F40" s="3210">
        <f>VLOOKUP(B40,[2]产权过户信息!$C$5:$K$96,2,FALSE)</f>
        <v>49.34</v>
      </c>
      <c r="G40" s="3199" t="s">
        <v>3549</v>
      </c>
      <c r="H40" s="3211">
        <f t="shared" si="1"/>
        <v>4954.1284403669724</v>
      </c>
      <c r="I40" s="3212"/>
      <c r="J40" s="3198"/>
      <c r="L40" s="3179">
        <f t="shared" si="0"/>
        <v>0.6080259424402108</v>
      </c>
    </row>
    <row r="41" spans="1:12" ht="22.5" outlineLevel="1">
      <c r="A41" s="3192" t="s">
        <v>3551</v>
      </c>
      <c r="B41" s="3193" t="s">
        <v>3422</v>
      </c>
      <c r="C41" s="3204" t="s">
        <v>3527</v>
      </c>
      <c r="D41" s="3172"/>
      <c r="E41" s="3172">
        <v>900</v>
      </c>
      <c r="F41" s="3195">
        <f>VLOOKUP(B41,[2]产权过户信息!$C$5:$K$96,2,FALSE)</f>
        <v>49.34</v>
      </c>
      <c r="G41" s="3160" t="s">
        <v>3552</v>
      </c>
      <c r="H41" s="3175">
        <f t="shared" si="1"/>
        <v>4954.1284403669724</v>
      </c>
      <c r="I41" s="3197"/>
      <c r="J41" s="3198"/>
      <c r="L41" s="3179">
        <f t="shared" si="0"/>
        <v>0.6080259424402108</v>
      </c>
    </row>
    <row r="42" spans="1:12" outlineLevel="1">
      <c r="A42" s="3192" t="s">
        <v>3553</v>
      </c>
      <c r="B42" s="3193" t="s">
        <v>3423</v>
      </c>
      <c r="C42" s="3182" t="s">
        <v>3494</v>
      </c>
      <c r="D42" s="3172"/>
      <c r="E42" s="3172">
        <v>900</v>
      </c>
      <c r="F42" s="3195">
        <f>VLOOKUP(B42,[2]产权过户信息!$C$5:$K$96,2,FALSE)</f>
        <v>30.6</v>
      </c>
      <c r="G42" s="3176"/>
      <c r="H42" s="3175">
        <v>0</v>
      </c>
      <c r="I42" s="3197"/>
      <c r="J42" s="3198"/>
      <c r="L42" s="3179">
        <f t="shared" si="0"/>
        <v>0.98039215686274506</v>
      </c>
    </row>
    <row r="43" spans="1:12" ht="67.5" outlineLevel="1">
      <c r="A43" s="3213" t="s">
        <v>3554</v>
      </c>
      <c r="B43" s="3214" t="s">
        <v>3424</v>
      </c>
      <c r="C43" s="3215" t="s">
        <v>3501</v>
      </c>
      <c r="D43" s="3216"/>
      <c r="E43" s="3216">
        <v>900</v>
      </c>
      <c r="F43" s="3217">
        <f>VLOOKUP(B43,[2]产权过户信息!$C$5:$K$96,2,FALSE)</f>
        <v>49.34</v>
      </c>
      <c r="G43" s="3199" t="s">
        <v>3549</v>
      </c>
      <c r="H43" s="3218">
        <f t="shared" si="1"/>
        <v>4954.1284403669724</v>
      </c>
      <c r="I43" s="3219"/>
      <c r="J43" s="3198"/>
      <c r="L43" s="3179">
        <f t="shared" si="0"/>
        <v>0.6080259424402108</v>
      </c>
    </row>
    <row r="44" spans="1:12" ht="67.5" outlineLevel="1">
      <c r="A44" s="3192" t="s">
        <v>3555</v>
      </c>
      <c r="B44" s="3193" t="s">
        <v>3425</v>
      </c>
      <c r="C44" s="3207" t="s">
        <v>3501</v>
      </c>
      <c r="D44" s="3172"/>
      <c r="E44" s="3172">
        <v>900</v>
      </c>
      <c r="F44" s="3195">
        <f>VLOOKUP(B44,[2]产权过户信息!$C$5:$K$96,2,FALSE)</f>
        <v>49.34</v>
      </c>
      <c r="G44" s="3199" t="s">
        <v>3549</v>
      </c>
      <c r="H44" s="3196">
        <f t="shared" si="1"/>
        <v>4954.1284403669724</v>
      </c>
      <c r="I44" s="3197"/>
      <c r="J44" s="3198"/>
      <c r="L44" s="3179">
        <f t="shared" si="0"/>
        <v>0.6080259424402108</v>
      </c>
    </row>
    <row r="45" spans="1:12" ht="67.5" outlineLevel="1">
      <c r="A45" s="3192" t="s">
        <v>3556</v>
      </c>
      <c r="B45" s="3193" t="s">
        <v>3426</v>
      </c>
      <c r="C45" s="3207" t="s">
        <v>3501</v>
      </c>
      <c r="D45" s="3172"/>
      <c r="E45" s="3172">
        <v>900</v>
      </c>
      <c r="F45" s="3195">
        <f>VLOOKUP(B45,[2]产权过户信息!$C$5:$K$96,2,FALSE)</f>
        <v>49.34</v>
      </c>
      <c r="G45" s="3199" t="s">
        <v>3549</v>
      </c>
      <c r="H45" s="3196">
        <f t="shared" si="1"/>
        <v>4954.1284403669724</v>
      </c>
      <c r="I45" s="3197"/>
      <c r="J45" s="3198"/>
      <c r="L45" s="3179">
        <f t="shared" si="0"/>
        <v>0.6080259424402108</v>
      </c>
    </row>
    <row r="46" spans="1:12" ht="14.25">
      <c r="A46" s="3220" t="s">
        <v>3557</v>
      </c>
      <c r="B46" s="3220"/>
      <c r="C46" s="3220"/>
      <c r="D46" s="3221"/>
      <c r="E46" s="3221"/>
      <c r="F46" s="3222">
        <f>SUM(F20:F45)</f>
        <v>2819.6800000000012</v>
      </c>
      <c r="G46" s="3223"/>
      <c r="H46" s="3224"/>
      <c r="I46" s="3220"/>
      <c r="J46" s="3191"/>
      <c r="L46" s="3179">
        <f t="shared" si="0"/>
        <v>0</v>
      </c>
    </row>
    <row r="47" spans="1:12" ht="67.5" outlineLevel="1">
      <c r="A47" s="3192" t="s">
        <v>3558</v>
      </c>
      <c r="B47" s="3193">
        <v>701</v>
      </c>
      <c r="C47" s="3176" t="s">
        <v>3559</v>
      </c>
      <c r="D47" s="3172">
        <v>5.5</v>
      </c>
      <c r="E47" s="3172">
        <v>18810</v>
      </c>
      <c r="F47" s="3195">
        <f>VLOOKUP(B47,[2]产权过户信息!$C$5:$K$96,2,FALSE)</f>
        <v>112.44</v>
      </c>
      <c r="G47" s="3176" t="s">
        <v>3560</v>
      </c>
      <c r="H47" s="3173">
        <f>ROUND((18810*(24-6)+18810*(12-2))/(1+9%),2)</f>
        <v>483192.66</v>
      </c>
      <c r="I47" s="3204" t="s">
        <v>3561</v>
      </c>
      <c r="J47" s="3198"/>
      <c r="L47" s="3179">
        <f t="shared" si="0"/>
        <v>5.5763073639274277</v>
      </c>
    </row>
    <row r="48" spans="1:12" ht="45" outlineLevel="1">
      <c r="A48" s="3192" t="s">
        <v>3562</v>
      </c>
      <c r="B48" s="3193">
        <v>702</v>
      </c>
      <c r="C48" s="3182" t="s">
        <v>3563</v>
      </c>
      <c r="D48" s="3225">
        <v>5.8</v>
      </c>
      <c r="E48" s="3172">
        <v>18693</v>
      </c>
      <c r="F48" s="3195">
        <f>VLOOKUP(B48,[2]产权过户信息!$C$5:$K$96,2,FALSE)</f>
        <v>105.96</v>
      </c>
      <c r="G48" s="3176" t="s">
        <v>3564</v>
      </c>
      <c r="H48" s="3173">
        <f>E48/1.09</f>
        <v>17149.541284403669</v>
      </c>
      <c r="I48" s="3204"/>
      <c r="J48" s="3198"/>
      <c r="L48" s="3179">
        <f t="shared" si="0"/>
        <v>5.880520951302378</v>
      </c>
    </row>
    <row r="49" spans="1:12" outlineLevel="1">
      <c r="A49" s="3192" t="s">
        <v>3565</v>
      </c>
      <c r="B49" s="3193">
        <v>703</v>
      </c>
      <c r="C49" s="3182" t="s">
        <v>3566</v>
      </c>
      <c r="D49" s="3172">
        <v>5.8</v>
      </c>
      <c r="E49" s="3172">
        <v>41663</v>
      </c>
      <c r="F49" s="3195">
        <f>VLOOKUP(B49,[2]产权过户信息!$C$5:$K$96,2,FALSE)</f>
        <v>236.16</v>
      </c>
      <c r="G49" s="3204" t="s">
        <v>3567</v>
      </c>
      <c r="H49" s="3173">
        <f>E49*2/1.09</f>
        <v>76445.871559633015</v>
      </c>
      <c r="I49" s="3204"/>
      <c r="J49" s="3198"/>
      <c r="L49" s="3179">
        <f t="shared" si="0"/>
        <v>5.8806176603432707</v>
      </c>
    </row>
    <row r="50" spans="1:12" ht="33.75" outlineLevel="1">
      <c r="A50" s="3192" t="s">
        <v>3568</v>
      </c>
      <c r="B50" s="3193">
        <v>705</v>
      </c>
      <c r="C50" s="3182" t="s">
        <v>3569</v>
      </c>
      <c r="D50" s="3172"/>
      <c r="E50" s="3172"/>
      <c r="F50" s="3195">
        <f>VLOOKUP(B50,[2]产权过户信息!$C$5:$K$96,2,FALSE)</f>
        <v>236.16</v>
      </c>
      <c r="G50" s="3176" t="s">
        <v>3570</v>
      </c>
      <c r="H50" s="3173">
        <f>ROUND((43099.2*(24-4))/(1+10%),2)</f>
        <v>783621.82</v>
      </c>
      <c r="I50" s="3204" t="s">
        <v>3571</v>
      </c>
      <c r="J50" s="3206"/>
      <c r="L50" s="3179">
        <f t="shared" si="0"/>
        <v>0</v>
      </c>
    </row>
    <row r="51" spans="1:12" ht="22.5" outlineLevel="1">
      <c r="A51" s="3192" t="s">
        <v>3572</v>
      </c>
      <c r="B51" s="3193">
        <v>706</v>
      </c>
      <c r="C51" s="3160" t="s">
        <v>3573</v>
      </c>
      <c r="D51" s="3172">
        <v>5.6</v>
      </c>
      <c r="E51" s="3172">
        <v>18049</v>
      </c>
      <c r="F51" s="3195">
        <f>VLOOKUP(B51,[2]产权过户信息!$C$5:$K$96,2,FALSE)</f>
        <v>105.96</v>
      </c>
      <c r="G51" s="3176" t="s">
        <v>3574</v>
      </c>
      <c r="H51" s="3173">
        <f>ROUND((18049*(24-2))/(1+9%),2)</f>
        <v>364291.74</v>
      </c>
      <c r="I51" s="3204" t="s">
        <v>3575</v>
      </c>
      <c r="J51" s="3206"/>
      <c r="L51" s="3179">
        <f t="shared" si="0"/>
        <v>5.6779287781552785</v>
      </c>
    </row>
    <row r="52" spans="1:12" outlineLevel="1">
      <c r="A52" s="3192" t="s">
        <v>3576</v>
      </c>
      <c r="B52" s="3193">
        <v>707</v>
      </c>
      <c r="C52" s="3372" t="s">
        <v>3577</v>
      </c>
      <c r="D52" s="3359">
        <v>5.2</v>
      </c>
      <c r="E52" s="3359">
        <v>67248</v>
      </c>
      <c r="F52" s="3195">
        <f>VLOOKUP(B52,[2]产权过户信息!$C$5:$K$96,2,FALSE)</f>
        <v>112.44</v>
      </c>
      <c r="G52" s="3354" t="s">
        <v>3578</v>
      </c>
      <c r="H52" s="3360">
        <f>ROUND((67248*(61-5))/1.09,2)</f>
        <v>3454943.12</v>
      </c>
      <c r="I52" s="3354" t="s">
        <v>3579</v>
      </c>
      <c r="J52" s="3198"/>
      <c r="L52" s="3179">
        <f>E52/(F52+F53+F54+F55)/30</f>
        <v>5.2722440435590467</v>
      </c>
    </row>
    <row r="53" spans="1:12" outlineLevel="1">
      <c r="A53" s="3192" t="s">
        <v>3580</v>
      </c>
      <c r="B53" s="3193">
        <v>708</v>
      </c>
      <c r="C53" s="3372"/>
      <c r="D53" s="3359"/>
      <c r="E53" s="3359"/>
      <c r="F53" s="3195">
        <f>VLOOKUP(B53,[2]产权过户信息!$C$5:$K$96,2,FALSE)</f>
        <v>118.57</v>
      </c>
      <c r="G53" s="3354"/>
      <c r="H53" s="3360"/>
      <c r="I53" s="3354"/>
      <c r="J53" s="3198"/>
      <c r="L53" s="3179">
        <f t="shared" si="0"/>
        <v>0</v>
      </c>
    </row>
    <row r="54" spans="1:12" outlineLevel="1">
      <c r="A54" s="3192" t="s">
        <v>3581</v>
      </c>
      <c r="B54" s="3193">
        <v>709</v>
      </c>
      <c r="C54" s="3372"/>
      <c r="D54" s="3359"/>
      <c r="E54" s="3359"/>
      <c r="F54" s="3195">
        <f>VLOOKUP(B54,[2]产权过户信息!$C$5:$K$96,2,FALSE)</f>
        <v>75.59</v>
      </c>
      <c r="G54" s="3354"/>
      <c r="H54" s="3360"/>
      <c r="I54" s="3354"/>
      <c r="J54" s="3198"/>
      <c r="L54" s="3179">
        <f t="shared" si="0"/>
        <v>0</v>
      </c>
    </row>
    <row r="55" spans="1:12" outlineLevel="1">
      <c r="A55" s="3192" t="s">
        <v>3582</v>
      </c>
      <c r="B55" s="3193">
        <v>710</v>
      </c>
      <c r="C55" s="3372"/>
      <c r="D55" s="3359"/>
      <c r="E55" s="3359"/>
      <c r="F55" s="3195">
        <f>VLOOKUP(B55,[2]产权过户信息!$C$5:$K$96,2,FALSE)</f>
        <v>118.57</v>
      </c>
      <c r="G55" s="3354"/>
      <c r="H55" s="3360"/>
      <c r="I55" s="3354"/>
      <c r="J55" s="3198"/>
      <c r="L55" s="3179">
        <f t="shared" si="0"/>
        <v>0</v>
      </c>
    </row>
    <row r="56" spans="1:12" outlineLevel="1">
      <c r="A56" s="3192" t="s">
        <v>3583</v>
      </c>
      <c r="B56" s="3193">
        <v>801</v>
      </c>
      <c r="C56" s="3194" t="s">
        <v>3494</v>
      </c>
      <c r="D56" s="3172"/>
      <c r="E56" s="3172"/>
      <c r="F56" s="3195">
        <f>VLOOKUP(B56,[2]产权过户信息!$C$5:$K$96,2,FALSE)</f>
        <v>112.44</v>
      </c>
      <c r="G56" s="3176"/>
      <c r="H56" s="3175"/>
      <c r="I56" s="3197"/>
      <c r="J56" s="3198"/>
      <c r="L56" s="3179">
        <f t="shared" si="0"/>
        <v>0</v>
      </c>
    </row>
    <row r="57" spans="1:12" outlineLevel="1">
      <c r="A57" s="3192" t="s">
        <v>3584</v>
      </c>
      <c r="B57" s="3193">
        <v>802</v>
      </c>
      <c r="C57" s="3194" t="s">
        <v>3494</v>
      </c>
      <c r="D57" s="3172"/>
      <c r="E57" s="3172"/>
      <c r="F57" s="3195">
        <f>VLOOKUP(B57,[2]产权过户信息!$C$5:$K$96,2,FALSE)</f>
        <v>105.96</v>
      </c>
      <c r="G57" s="3176"/>
      <c r="H57" s="3175"/>
      <c r="I57" s="3197"/>
      <c r="J57" s="3198"/>
      <c r="L57" s="3179">
        <f t="shared" si="0"/>
        <v>0</v>
      </c>
    </row>
    <row r="58" spans="1:12" outlineLevel="1">
      <c r="A58" s="3192" t="s">
        <v>3585</v>
      </c>
      <c r="B58" s="3193">
        <v>803</v>
      </c>
      <c r="C58" s="3194" t="s">
        <v>3494</v>
      </c>
      <c r="D58" s="3172"/>
      <c r="E58" s="3172"/>
      <c r="F58" s="3195">
        <f>VLOOKUP(B58,[2]产权过户信息!$C$5:$K$96,2,FALSE)</f>
        <v>236.16</v>
      </c>
      <c r="G58" s="3176"/>
      <c r="H58" s="3175"/>
      <c r="I58" s="3197"/>
      <c r="J58" s="3198"/>
      <c r="L58" s="3179">
        <f t="shared" si="0"/>
        <v>0</v>
      </c>
    </row>
    <row r="59" spans="1:12" outlineLevel="1">
      <c r="A59" s="3192" t="s">
        <v>3586</v>
      </c>
      <c r="B59" s="3193">
        <v>805</v>
      </c>
      <c r="C59" s="3194" t="s">
        <v>3494</v>
      </c>
      <c r="D59" s="3172"/>
      <c r="E59" s="3172"/>
      <c r="F59" s="3195">
        <f>VLOOKUP(B59,[2]产权过户信息!$C$5:$K$96,2,FALSE)</f>
        <v>236.16</v>
      </c>
      <c r="G59" s="3176"/>
      <c r="H59" s="3175"/>
      <c r="I59" s="3197"/>
      <c r="J59" s="3198"/>
      <c r="L59" s="3179">
        <f t="shared" si="0"/>
        <v>0</v>
      </c>
    </row>
    <row r="60" spans="1:12" outlineLevel="1">
      <c r="A60" s="3192" t="s">
        <v>3587</v>
      </c>
      <c r="B60" s="3193">
        <v>806</v>
      </c>
      <c r="C60" s="3194" t="s">
        <v>3494</v>
      </c>
      <c r="D60" s="3172"/>
      <c r="E60" s="3172"/>
      <c r="F60" s="3195">
        <f>VLOOKUP(B60,[2]产权过户信息!$C$5:$K$96,2,FALSE)</f>
        <v>105.96</v>
      </c>
      <c r="G60" s="3176"/>
      <c r="H60" s="3175"/>
      <c r="I60" s="3197"/>
      <c r="J60" s="3198"/>
      <c r="L60" s="3179">
        <f t="shared" si="0"/>
        <v>0</v>
      </c>
    </row>
    <row r="61" spans="1:12" outlineLevel="1">
      <c r="A61" s="3192" t="s">
        <v>3588</v>
      </c>
      <c r="B61" s="3193">
        <v>807</v>
      </c>
      <c r="C61" s="3194" t="s">
        <v>3494</v>
      </c>
      <c r="D61" s="3172"/>
      <c r="E61" s="3172"/>
      <c r="F61" s="3195">
        <f>VLOOKUP(B61,[2]产权过户信息!$C$5:$K$96,2,FALSE)</f>
        <v>112.44</v>
      </c>
      <c r="G61" s="3176"/>
      <c r="H61" s="3175"/>
      <c r="I61" s="3197"/>
      <c r="J61" s="3198"/>
      <c r="L61" s="3179">
        <f t="shared" si="0"/>
        <v>0</v>
      </c>
    </row>
    <row r="62" spans="1:12" outlineLevel="1">
      <c r="A62" s="3192" t="s">
        <v>3589</v>
      </c>
      <c r="B62" s="3193">
        <v>808</v>
      </c>
      <c r="C62" s="3194" t="s">
        <v>3494</v>
      </c>
      <c r="D62" s="3172"/>
      <c r="E62" s="3172"/>
      <c r="F62" s="3195">
        <f>VLOOKUP(B62,[2]产权过户信息!$C$5:$K$96,2,FALSE)</f>
        <v>118.57</v>
      </c>
      <c r="G62" s="3176"/>
      <c r="H62" s="3175"/>
      <c r="I62" s="3197"/>
      <c r="J62" s="3198"/>
      <c r="L62" s="3179">
        <f t="shared" si="0"/>
        <v>0</v>
      </c>
    </row>
    <row r="63" spans="1:12" outlineLevel="1">
      <c r="A63" s="3192" t="s">
        <v>3590</v>
      </c>
      <c r="B63" s="3193">
        <v>809</v>
      </c>
      <c r="C63" s="3194" t="s">
        <v>3494</v>
      </c>
      <c r="D63" s="3172"/>
      <c r="E63" s="3172"/>
      <c r="F63" s="3195">
        <f>VLOOKUP(B63,[2]产权过户信息!$C$5:$K$96,2,FALSE)</f>
        <v>75.59</v>
      </c>
      <c r="G63" s="3176"/>
      <c r="H63" s="3175"/>
      <c r="I63" s="3197"/>
      <c r="J63" s="3198"/>
      <c r="L63" s="3179">
        <f t="shared" si="0"/>
        <v>0</v>
      </c>
    </row>
    <row r="64" spans="1:12" outlineLevel="1">
      <c r="A64" s="3192" t="s">
        <v>3591</v>
      </c>
      <c r="B64" s="3193">
        <v>810</v>
      </c>
      <c r="C64" s="3194" t="s">
        <v>3494</v>
      </c>
      <c r="D64" s="3172"/>
      <c r="E64" s="3172"/>
      <c r="F64" s="3195">
        <f>VLOOKUP(B64,[2]产权过户信息!$C$5:$K$96,2,FALSE)</f>
        <v>118.57</v>
      </c>
      <c r="G64" s="3176"/>
      <c r="H64" s="3175"/>
      <c r="I64" s="3197"/>
      <c r="J64" s="3198"/>
      <c r="L64" s="3179">
        <f t="shared" si="0"/>
        <v>0</v>
      </c>
    </row>
    <row r="65" spans="1:12" ht="67.5" outlineLevel="1">
      <c r="A65" s="3192" t="s">
        <v>3592</v>
      </c>
      <c r="B65" s="3193" t="s">
        <v>3427</v>
      </c>
      <c r="C65" s="3204" t="s">
        <v>3501</v>
      </c>
      <c r="D65" s="3204"/>
      <c r="E65" s="3172">
        <v>900</v>
      </c>
      <c r="F65" s="3195">
        <f>VLOOKUP(B65,[2]产权过户信息!$C$5:$K$96,2,FALSE)</f>
        <v>49.34</v>
      </c>
      <c r="G65" s="3199" t="s">
        <v>3549</v>
      </c>
      <c r="H65" s="3175">
        <f t="shared" ref="H65:H73" si="2">900*6/1.09</f>
        <v>4954.1284403669724</v>
      </c>
      <c r="I65" s="3197"/>
      <c r="J65" s="3198"/>
      <c r="L65" s="3179">
        <f>E65/F65/30</f>
        <v>0.6080259424402108</v>
      </c>
    </row>
    <row r="66" spans="1:12" ht="33.75" outlineLevel="1">
      <c r="A66" s="3192" t="s">
        <v>3593</v>
      </c>
      <c r="B66" s="3193" t="s">
        <v>3428</v>
      </c>
      <c r="C66" s="3204" t="s">
        <v>3594</v>
      </c>
      <c r="D66" s="3172"/>
      <c r="E66" s="3172">
        <v>900</v>
      </c>
      <c r="F66" s="3195">
        <f>VLOOKUP(B66,[2]产权过户信息!$C$5:$K$96,2,FALSE)</f>
        <v>49.34</v>
      </c>
      <c r="G66" s="3176" t="s">
        <v>3595</v>
      </c>
      <c r="H66" s="3175">
        <f t="shared" si="2"/>
        <v>4954.1284403669724</v>
      </c>
      <c r="I66" s="3197"/>
      <c r="J66" s="3198"/>
      <c r="L66" s="3179">
        <f t="shared" si="0"/>
        <v>0.6080259424402108</v>
      </c>
    </row>
    <row r="67" spans="1:12" ht="33.75" outlineLevel="1">
      <c r="A67" s="3192" t="s">
        <v>3596</v>
      </c>
      <c r="B67" s="3193" t="s">
        <v>3429</v>
      </c>
      <c r="C67" s="3194" t="s">
        <v>3597</v>
      </c>
      <c r="D67" s="3172"/>
      <c r="E67" s="3172">
        <v>900</v>
      </c>
      <c r="F67" s="3195">
        <f>VLOOKUP(B67,[2]产权过户信息!$C$5:$K$96,2,FALSE)</f>
        <v>49.34</v>
      </c>
      <c r="G67" s="3176" t="s">
        <v>3598</v>
      </c>
      <c r="H67" s="3175">
        <f t="shared" si="2"/>
        <v>4954.1284403669724</v>
      </c>
      <c r="I67" s="3197"/>
      <c r="J67" s="3198"/>
      <c r="L67" s="3179">
        <f t="shared" si="0"/>
        <v>0.6080259424402108</v>
      </c>
    </row>
    <row r="68" spans="1:12" ht="56.25" outlineLevel="1">
      <c r="A68" s="3192" t="s">
        <v>3599</v>
      </c>
      <c r="B68" s="3193" t="s">
        <v>3430</v>
      </c>
      <c r="C68" s="3204" t="s">
        <v>3600</v>
      </c>
      <c r="D68" s="3172"/>
      <c r="E68" s="3172">
        <v>900</v>
      </c>
      <c r="F68" s="3195">
        <f>VLOOKUP(B68,[2]产权过户信息!$C$5:$K$96,2,FALSE)</f>
        <v>49.34</v>
      </c>
      <c r="G68" s="3176" t="s">
        <v>3601</v>
      </c>
      <c r="H68" s="3175">
        <f t="shared" si="2"/>
        <v>4954.1284403669724</v>
      </c>
      <c r="I68" s="3197"/>
      <c r="J68" s="3198"/>
      <c r="L68" s="3179">
        <f t="shared" ref="L68:L101" si="3">E68/F68/30</f>
        <v>0.6080259424402108</v>
      </c>
    </row>
    <row r="69" spans="1:12" ht="56.25" outlineLevel="1">
      <c r="A69" s="3192" t="s">
        <v>3602</v>
      </c>
      <c r="B69" s="3193" t="s">
        <v>3431</v>
      </c>
      <c r="C69" s="3204" t="s">
        <v>3600</v>
      </c>
      <c r="D69" s="3172"/>
      <c r="E69" s="3172">
        <v>900</v>
      </c>
      <c r="F69" s="3195">
        <f>VLOOKUP(B69,[2]产权过户信息!$C$5:$K$96,2,FALSE)</f>
        <v>49.34</v>
      </c>
      <c r="G69" s="3176" t="s">
        <v>3603</v>
      </c>
      <c r="H69" s="3175">
        <f t="shared" si="2"/>
        <v>4954.1284403669724</v>
      </c>
      <c r="I69" s="3197"/>
      <c r="J69" s="3198"/>
      <c r="L69" s="3179">
        <f t="shared" si="3"/>
        <v>0.6080259424402108</v>
      </c>
    </row>
    <row r="70" spans="1:12" ht="33.75" outlineLevel="1">
      <c r="A70" s="3192" t="s">
        <v>3604</v>
      </c>
      <c r="B70" s="3193" t="s">
        <v>3432</v>
      </c>
      <c r="C70" s="3182" t="s">
        <v>3494</v>
      </c>
      <c r="D70" s="3172"/>
      <c r="E70" s="3172">
        <v>900</v>
      </c>
      <c r="F70" s="3195">
        <f>VLOOKUP(B70,[2]产权过户信息!$C$5:$K$96,2,FALSE)</f>
        <v>49.34</v>
      </c>
      <c r="G70" s="3176" t="s">
        <v>3605</v>
      </c>
      <c r="H70" s="3175">
        <f t="shared" si="2"/>
        <v>4954.1284403669724</v>
      </c>
      <c r="I70" s="3197"/>
      <c r="J70" s="3198"/>
      <c r="L70" s="3179">
        <f t="shared" si="3"/>
        <v>0.6080259424402108</v>
      </c>
    </row>
    <row r="71" spans="1:12" ht="67.5" outlineLevel="1">
      <c r="A71" s="3192" t="s">
        <v>3606</v>
      </c>
      <c r="B71" s="3193" t="s">
        <v>3433</v>
      </c>
      <c r="C71" s="3204" t="s">
        <v>3501</v>
      </c>
      <c r="D71" s="3172"/>
      <c r="E71" s="3172">
        <v>900</v>
      </c>
      <c r="F71" s="3195">
        <f>VLOOKUP(B71,[2]产权过户信息!$C$5:$K$96,2,FALSE)</f>
        <v>49.34</v>
      </c>
      <c r="G71" s="3176" t="s">
        <v>3607</v>
      </c>
      <c r="H71" s="3175">
        <f t="shared" si="2"/>
        <v>4954.1284403669724</v>
      </c>
      <c r="I71" s="3197"/>
      <c r="J71" s="3198"/>
      <c r="L71" s="3179">
        <f t="shared" si="3"/>
        <v>0.6080259424402108</v>
      </c>
    </row>
    <row r="72" spans="1:12" ht="67.5" outlineLevel="1">
      <c r="A72" s="3192" t="s">
        <v>3608</v>
      </c>
      <c r="B72" s="3193" t="s">
        <v>3434</v>
      </c>
      <c r="C72" s="3204" t="s">
        <v>3609</v>
      </c>
      <c r="D72" s="3172"/>
      <c r="E72" s="3172">
        <v>900</v>
      </c>
      <c r="F72" s="3195">
        <f>VLOOKUP(B72,[2]产权过户信息!$C$5:$K$96,2,FALSE)</f>
        <v>49.34</v>
      </c>
      <c r="G72" s="3204" t="s">
        <v>3610</v>
      </c>
      <c r="H72" s="3175">
        <f t="shared" si="2"/>
        <v>4954.1284403669724</v>
      </c>
      <c r="I72" s="3197"/>
      <c r="J72" s="3198"/>
      <c r="L72" s="3179">
        <f t="shared" si="3"/>
        <v>0.6080259424402108</v>
      </c>
    </row>
    <row r="73" spans="1:12" ht="67.5" outlineLevel="1">
      <c r="A73" s="3192" t="s">
        <v>3611</v>
      </c>
      <c r="B73" s="3193" t="s">
        <v>3435</v>
      </c>
      <c r="C73" s="3204" t="s">
        <v>3501</v>
      </c>
      <c r="D73" s="3172"/>
      <c r="E73" s="3172">
        <v>900</v>
      </c>
      <c r="F73" s="3195">
        <f>VLOOKUP(B73,[2]产权过户信息!$C$5:$K$96,2,FALSE)</f>
        <v>49.34</v>
      </c>
      <c r="G73" s="3176" t="s">
        <v>3612</v>
      </c>
      <c r="H73" s="3175">
        <f t="shared" si="2"/>
        <v>4954.1284403669724</v>
      </c>
      <c r="I73" s="3197"/>
      <c r="J73" s="3198"/>
      <c r="L73" s="3179">
        <f t="shared" si="3"/>
        <v>0.6080259424402108</v>
      </c>
    </row>
    <row r="74" spans="1:12" ht="14.25">
      <c r="A74" s="3226" t="s">
        <v>3613</v>
      </c>
      <c r="B74" s="3226"/>
      <c r="C74" s="3226"/>
      <c r="D74" s="3227"/>
      <c r="E74" s="3227"/>
      <c r="F74" s="3228">
        <f>SUM(F47:F73)</f>
        <v>2887.7600000000016</v>
      </c>
      <c r="G74" s="3229"/>
      <c r="H74" s="3230"/>
      <c r="I74" s="3226"/>
      <c r="J74" s="3191"/>
      <c r="L74" s="3179">
        <f t="shared" si="3"/>
        <v>0</v>
      </c>
    </row>
    <row r="75" spans="1:12" outlineLevel="1">
      <c r="A75" s="3192" t="s">
        <v>3614</v>
      </c>
      <c r="B75" s="3193">
        <v>901</v>
      </c>
      <c r="C75" s="3362" t="s">
        <v>3615</v>
      </c>
      <c r="D75" s="3359">
        <v>5.6</v>
      </c>
      <c r="E75" s="3359">
        <v>208122</v>
      </c>
      <c r="F75" s="3195">
        <f>VLOOKUP(B75,[2]产权过户信息!$C$5:$K$96,2,FALSE)</f>
        <v>112.44</v>
      </c>
      <c r="G75" s="3354" t="s">
        <v>3616</v>
      </c>
      <c r="H75" s="3363">
        <f>ROUND((208122*(24-4)+222988*(12-3))/(1+10%),2)</f>
        <v>5608483.6399999997</v>
      </c>
      <c r="I75" s="3354" t="s">
        <v>3617</v>
      </c>
      <c r="J75" s="3198"/>
      <c r="L75" s="3179">
        <f>E75/(F75+F76+F77+F78+F79+F80+F81+F82+F83)/30</f>
        <v>5.6777836886688231</v>
      </c>
    </row>
    <row r="76" spans="1:12" outlineLevel="1">
      <c r="A76" s="3192" t="s">
        <v>3618</v>
      </c>
      <c r="B76" s="3193">
        <v>902</v>
      </c>
      <c r="C76" s="3362"/>
      <c r="D76" s="3359"/>
      <c r="E76" s="3359"/>
      <c r="F76" s="3195">
        <f>VLOOKUP(B76,[2]产权过户信息!$C$5:$K$96,2,FALSE)</f>
        <v>105.96</v>
      </c>
      <c r="G76" s="3354"/>
      <c r="H76" s="3363"/>
      <c r="I76" s="3354"/>
      <c r="J76" s="3198"/>
      <c r="L76" s="3179">
        <f t="shared" si="3"/>
        <v>0</v>
      </c>
    </row>
    <row r="77" spans="1:12" outlineLevel="1">
      <c r="A77" s="3192" t="s">
        <v>3619</v>
      </c>
      <c r="B77" s="3193">
        <v>903</v>
      </c>
      <c r="C77" s="3362"/>
      <c r="D77" s="3359"/>
      <c r="E77" s="3359"/>
      <c r="F77" s="3195">
        <f>VLOOKUP(B77,[2]产权过户信息!$C$5:$K$96,2,FALSE)</f>
        <v>236.16</v>
      </c>
      <c r="G77" s="3354"/>
      <c r="H77" s="3363"/>
      <c r="I77" s="3354"/>
      <c r="J77" s="3198"/>
      <c r="L77" s="3179">
        <f t="shared" si="3"/>
        <v>0</v>
      </c>
    </row>
    <row r="78" spans="1:12" outlineLevel="1">
      <c r="A78" s="3192" t="s">
        <v>3620</v>
      </c>
      <c r="B78" s="3193">
        <v>905</v>
      </c>
      <c r="C78" s="3362"/>
      <c r="D78" s="3359"/>
      <c r="E78" s="3359"/>
      <c r="F78" s="3195">
        <f>VLOOKUP(B78,[2]产权过户信息!$C$5:$K$96,2,FALSE)</f>
        <v>236.16</v>
      </c>
      <c r="G78" s="3354"/>
      <c r="H78" s="3363"/>
      <c r="I78" s="3354"/>
      <c r="J78" s="3198"/>
      <c r="L78" s="3179">
        <f t="shared" si="3"/>
        <v>0</v>
      </c>
    </row>
    <row r="79" spans="1:12" outlineLevel="1">
      <c r="A79" s="3192" t="s">
        <v>3621</v>
      </c>
      <c r="B79" s="3193">
        <v>906</v>
      </c>
      <c r="C79" s="3362"/>
      <c r="D79" s="3359"/>
      <c r="E79" s="3359"/>
      <c r="F79" s="3195">
        <f>VLOOKUP(B79,[2]产权过户信息!$C$5:$K$96,2,FALSE)</f>
        <v>105.96</v>
      </c>
      <c r="G79" s="3354"/>
      <c r="H79" s="3363"/>
      <c r="I79" s="3354"/>
      <c r="J79" s="3198"/>
      <c r="L79" s="3179">
        <f t="shared" si="3"/>
        <v>0</v>
      </c>
    </row>
    <row r="80" spans="1:12" outlineLevel="1">
      <c r="A80" s="3192" t="s">
        <v>3622</v>
      </c>
      <c r="B80" s="3193">
        <v>907</v>
      </c>
      <c r="C80" s="3362"/>
      <c r="D80" s="3359"/>
      <c r="E80" s="3359"/>
      <c r="F80" s="3195">
        <f>VLOOKUP(B80,[2]产权过户信息!$C$5:$K$96,2,FALSE)</f>
        <v>112.44</v>
      </c>
      <c r="G80" s="3354"/>
      <c r="H80" s="3363"/>
      <c r="I80" s="3354"/>
      <c r="J80" s="3198"/>
      <c r="L80" s="3179">
        <f t="shared" si="3"/>
        <v>0</v>
      </c>
    </row>
    <row r="81" spans="1:12" outlineLevel="1">
      <c r="A81" s="3192" t="s">
        <v>3623</v>
      </c>
      <c r="B81" s="3193">
        <v>908</v>
      </c>
      <c r="C81" s="3362"/>
      <c r="D81" s="3359"/>
      <c r="E81" s="3359"/>
      <c r="F81" s="3195">
        <f>VLOOKUP(B81,[2]产权过户信息!$C$5:$K$96,2,FALSE)</f>
        <v>118.57</v>
      </c>
      <c r="G81" s="3354"/>
      <c r="H81" s="3363"/>
      <c r="I81" s="3354"/>
      <c r="J81" s="3198"/>
      <c r="L81" s="3179">
        <f t="shared" si="3"/>
        <v>0</v>
      </c>
    </row>
    <row r="82" spans="1:12" outlineLevel="1">
      <c r="A82" s="3192" t="s">
        <v>3624</v>
      </c>
      <c r="B82" s="3193">
        <v>909</v>
      </c>
      <c r="C82" s="3362"/>
      <c r="D82" s="3359"/>
      <c r="E82" s="3359"/>
      <c r="F82" s="3195">
        <f>VLOOKUP(B82,[2]产权过户信息!$C$5:$K$96,2,FALSE)</f>
        <v>75.59</v>
      </c>
      <c r="G82" s="3354"/>
      <c r="H82" s="3363"/>
      <c r="I82" s="3354"/>
      <c r="J82" s="3198"/>
      <c r="L82" s="3179">
        <f t="shared" si="3"/>
        <v>0</v>
      </c>
    </row>
    <row r="83" spans="1:12" outlineLevel="1">
      <c r="A83" s="3192" t="s">
        <v>3625</v>
      </c>
      <c r="B83" s="3193">
        <v>910</v>
      </c>
      <c r="C83" s="3362"/>
      <c r="D83" s="3359"/>
      <c r="E83" s="3359"/>
      <c r="F83" s="3195">
        <f>VLOOKUP(B83,[2]产权过户信息!$C$5:$K$96,2,FALSE)</f>
        <v>118.57</v>
      </c>
      <c r="G83" s="3354"/>
      <c r="H83" s="3363"/>
      <c r="I83" s="3354"/>
      <c r="J83" s="3198"/>
      <c r="L83" s="3179">
        <f t="shared" si="3"/>
        <v>0</v>
      </c>
    </row>
    <row r="84" spans="1:12" s="3180" customFormat="1" ht="33.75" outlineLevel="1">
      <c r="A84" s="3192" t="s">
        <v>3626</v>
      </c>
      <c r="B84" s="3193">
        <v>1001</v>
      </c>
      <c r="C84" s="3160" t="s">
        <v>3627</v>
      </c>
      <c r="D84" s="3172">
        <v>5.7</v>
      </c>
      <c r="E84" s="3172">
        <v>19494</v>
      </c>
      <c r="F84" s="3195">
        <f>VLOOKUP(B84,[2]产权过户信息!$C$5:$K$96,2,FALSE)</f>
        <v>112.44</v>
      </c>
      <c r="G84" s="3182" t="s">
        <v>3628</v>
      </c>
      <c r="H84" s="3175">
        <f>ROUND(E84*(24-4)/1.09,2)</f>
        <v>357688.07</v>
      </c>
      <c r="I84" s="3176" t="s">
        <v>3629</v>
      </c>
      <c r="J84" s="3198"/>
      <c r="K84" s="3178"/>
      <c r="L84" s="3179">
        <f t="shared" si="3"/>
        <v>5.7790821771611531</v>
      </c>
    </row>
    <row r="85" spans="1:12" s="3180" customFormat="1" ht="33.75" outlineLevel="1">
      <c r="A85" s="3192" t="s">
        <v>3630</v>
      </c>
      <c r="B85" s="3193">
        <v>1002</v>
      </c>
      <c r="C85" s="3182" t="s">
        <v>3631</v>
      </c>
      <c r="D85" s="3231">
        <v>5.7</v>
      </c>
      <c r="E85" s="3232">
        <f>ROUND(F85*365*5.7/12,2)</f>
        <v>18370.82</v>
      </c>
      <c r="F85" s="3233">
        <f>VLOOKUP(B85,[2]产权过户信息!$C$5:$K$96,2,FALSE)</f>
        <v>105.96</v>
      </c>
      <c r="G85" s="3355" t="s">
        <v>3536</v>
      </c>
      <c r="H85" s="3357">
        <f>ROUND((62437*(26-2)+59315*(24-5))/1.09,2)</f>
        <v>2408690.83</v>
      </c>
      <c r="I85" s="3355" t="s">
        <v>3537</v>
      </c>
      <c r="J85" s="3198"/>
      <c r="K85" s="3178"/>
      <c r="L85" s="3179">
        <f>E85/F85/30</f>
        <v>5.7791682395872659</v>
      </c>
    </row>
    <row r="86" spans="1:12" s="3180" customFormat="1" ht="33.75" outlineLevel="1">
      <c r="A86" s="3192" t="s">
        <v>3632</v>
      </c>
      <c r="B86" s="3193">
        <v>1003</v>
      </c>
      <c r="C86" s="3182" t="s">
        <v>3631</v>
      </c>
      <c r="D86" s="3231">
        <v>5.7</v>
      </c>
      <c r="E86" s="3232">
        <f>ROUND(F86*365*5.7/12,2)</f>
        <v>40944.239999999998</v>
      </c>
      <c r="F86" s="3233">
        <f>VLOOKUP(B86,[2]产权过户信息!$C$5:$K$96,2,FALSE)</f>
        <v>236.16</v>
      </c>
      <c r="G86" s="3356"/>
      <c r="H86" s="3358"/>
      <c r="I86" s="3356"/>
      <c r="J86" s="3198"/>
      <c r="K86" s="3178"/>
      <c r="L86" s="3179">
        <f t="shared" si="3"/>
        <v>5.7791666666666668</v>
      </c>
    </row>
    <row r="87" spans="1:12" outlineLevel="1">
      <c r="A87" s="3192" t="s">
        <v>3633</v>
      </c>
      <c r="B87" s="3193">
        <v>1005</v>
      </c>
      <c r="C87" s="3354" t="s">
        <v>3634</v>
      </c>
      <c r="D87" s="3359">
        <v>5.7</v>
      </c>
      <c r="E87" s="3359">
        <v>59315</v>
      </c>
      <c r="F87" s="3195">
        <f>VLOOKUP(B87,[2]产权过户信息!$C$5:$K$96,2,FALSE)</f>
        <v>236.16</v>
      </c>
      <c r="G87" s="3354" t="s">
        <v>3635</v>
      </c>
      <c r="H87" s="3360">
        <f>ROUND((61396*36+59315*(12-2))/(1+9%),2)</f>
        <v>2571932.11</v>
      </c>
      <c r="I87" s="3361" t="s">
        <v>3636</v>
      </c>
      <c r="J87" s="3198"/>
      <c r="L87" s="3179">
        <f>E87/(F87+F88)/30</f>
        <v>5.7791613079231459</v>
      </c>
    </row>
    <row r="88" spans="1:12" ht="60" customHeight="1" outlineLevel="1">
      <c r="A88" s="3192" t="s">
        <v>3637</v>
      </c>
      <c r="B88" s="3193">
        <v>1006</v>
      </c>
      <c r="C88" s="3354"/>
      <c r="D88" s="3359"/>
      <c r="E88" s="3359"/>
      <c r="F88" s="3195">
        <f>VLOOKUP(B88,[2]产权过户信息!$C$5:$K$96,2,FALSE)</f>
        <v>105.96</v>
      </c>
      <c r="G88" s="3354"/>
      <c r="H88" s="3360"/>
      <c r="I88" s="3361"/>
      <c r="J88" s="3198"/>
      <c r="L88" s="3179">
        <f t="shared" si="3"/>
        <v>0</v>
      </c>
    </row>
    <row r="89" spans="1:12" outlineLevel="1">
      <c r="A89" s="3192" t="s">
        <v>3638</v>
      </c>
      <c r="B89" s="3193">
        <v>1007</v>
      </c>
      <c r="C89" s="3354" t="s">
        <v>3639</v>
      </c>
      <c r="D89" s="3359">
        <v>6.1</v>
      </c>
      <c r="E89" s="3359">
        <v>56887</v>
      </c>
      <c r="F89" s="3195">
        <f>VLOOKUP(B89,[2]产权过户信息!$C$5:$K$96,2,FALSE)</f>
        <v>112.44</v>
      </c>
      <c r="G89" s="3354" t="s">
        <v>3640</v>
      </c>
      <c r="H89" s="3360">
        <f>ROUND((56887*36)/(1+9%),2)</f>
        <v>1878836.7</v>
      </c>
      <c r="I89" s="3354" t="s">
        <v>3641</v>
      </c>
      <c r="J89" s="3198"/>
      <c r="L89" s="3179">
        <f>E89/(F89+F90+F91)/30</f>
        <v>6.1847140682757118</v>
      </c>
    </row>
    <row r="90" spans="1:12" outlineLevel="1">
      <c r="A90" s="3192" t="s">
        <v>3642</v>
      </c>
      <c r="B90" s="3193">
        <v>1008</v>
      </c>
      <c r="C90" s="3354"/>
      <c r="D90" s="3359"/>
      <c r="E90" s="3359"/>
      <c r="F90" s="3195">
        <f>VLOOKUP(B90,[2]产权过户信息!$C$5:$K$96,2,FALSE)</f>
        <v>118.57</v>
      </c>
      <c r="G90" s="3354"/>
      <c r="H90" s="3360"/>
      <c r="I90" s="3354"/>
      <c r="J90" s="3198"/>
      <c r="L90" s="3179">
        <f t="shared" si="3"/>
        <v>0</v>
      </c>
    </row>
    <row r="91" spans="1:12" outlineLevel="1">
      <c r="A91" s="3192" t="s">
        <v>3643</v>
      </c>
      <c r="B91" s="3193">
        <v>1009</v>
      </c>
      <c r="C91" s="3354"/>
      <c r="D91" s="3359"/>
      <c r="E91" s="3359"/>
      <c r="F91" s="3195">
        <f>VLOOKUP(B91,[2]产权过户信息!$C$5:$K$96,2,FALSE)</f>
        <v>75.59</v>
      </c>
      <c r="G91" s="3354"/>
      <c r="H91" s="3360"/>
      <c r="I91" s="3354"/>
      <c r="J91" s="3198"/>
      <c r="L91" s="3179">
        <f t="shared" si="3"/>
        <v>0</v>
      </c>
    </row>
    <row r="92" spans="1:12" ht="45" outlineLevel="1">
      <c r="A92" s="3192" t="s">
        <v>3644</v>
      </c>
      <c r="B92" s="3193">
        <v>1010</v>
      </c>
      <c r="C92" s="3160" t="s">
        <v>3627</v>
      </c>
      <c r="D92" s="3172">
        <v>5.7</v>
      </c>
      <c r="E92" s="3172">
        <v>20557</v>
      </c>
      <c r="F92" s="3195">
        <f>VLOOKUP(B92,[2]产权过户信息!$C$5:$K$96,2,FALSE)</f>
        <v>118.57</v>
      </c>
      <c r="G92" s="3182" t="s">
        <v>3645</v>
      </c>
      <c r="H92" s="3175">
        <f>ROUND(E92*(24-4)/1.09,2)</f>
        <v>377192.66</v>
      </c>
      <c r="I92" s="3176" t="s">
        <v>3629</v>
      </c>
      <c r="J92" s="3198"/>
      <c r="L92" s="3179">
        <f t="shared" si="3"/>
        <v>5.7791459334851423</v>
      </c>
    </row>
    <row r="93" spans="1:12" ht="56.25" outlineLevel="1">
      <c r="A93" s="3192" t="s">
        <v>3646</v>
      </c>
      <c r="B93" s="3193" t="s">
        <v>3436</v>
      </c>
      <c r="C93" s="3204" t="s">
        <v>3531</v>
      </c>
      <c r="D93" s="3204"/>
      <c r="E93" s="3172">
        <v>900</v>
      </c>
      <c r="F93" s="3195">
        <f>VLOOKUP(B93,[2]产权过户信息!$C$5:$K$96,2,FALSE)</f>
        <v>49.34</v>
      </c>
      <c r="G93" s="3204" t="s">
        <v>3647</v>
      </c>
      <c r="H93" s="3175">
        <f t="shared" ref="H93:H101" si="4">900*6/1.09</f>
        <v>4954.1284403669724</v>
      </c>
      <c r="I93" s="3197"/>
      <c r="J93" s="3198"/>
      <c r="L93" s="3179">
        <f t="shared" si="3"/>
        <v>0.6080259424402108</v>
      </c>
    </row>
    <row r="94" spans="1:12" ht="67.5" outlineLevel="1">
      <c r="A94" s="3192" t="s">
        <v>3648</v>
      </c>
      <c r="B94" s="3193" t="s">
        <v>3649</v>
      </c>
      <c r="C94" s="3204" t="s">
        <v>3650</v>
      </c>
      <c r="D94" s="3234"/>
      <c r="E94" s="3172">
        <v>900</v>
      </c>
      <c r="F94" s="3195">
        <f>VLOOKUP(B94,[2]产权过户信息!$C$5:$K$96,2,FALSE)</f>
        <v>49.34</v>
      </c>
      <c r="G94" s="3204" t="s">
        <v>3651</v>
      </c>
      <c r="H94" s="3175">
        <f t="shared" si="4"/>
        <v>4954.1284403669724</v>
      </c>
      <c r="I94" s="3197"/>
      <c r="J94" s="3198"/>
      <c r="L94" s="3179">
        <f t="shared" si="3"/>
        <v>0.6080259424402108</v>
      </c>
    </row>
    <row r="95" spans="1:12" ht="45" outlineLevel="1">
      <c r="A95" s="3192" t="s">
        <v>3652</v>
      </c>
      <c r="B95" s="3193" t="s">
        <v>3653</v>
      </c>
      <c r="C95" s="3204" t="s">
        <v>3654</v>
      </c>
      <c r="D95" s="3204"/>
      <c r="E95" s="3172">
        <v>900</v>
      </c>
      <c r="F95" s="3195">
        <f>VLOOKUP(B95,[2]产权过户信息!$C$5:$K$96,2,FALSE)</f>
        <v>49.34</v>
      </c>
      <c r="G95" s="3204" t="s">
        <v>3655</v>
      </c>
      <c r="H95" s="3175">
        <f t="shared" si="4"/>
        <v>4954.1284403669724</v>
      </c>
      <c r="I95" s="3197"/>
      <c r="J95" s="3198"/>
      <c r="L95" s="3179">
        <f t="shared" si="3"/>
        <v>0.6080259424402108</v>
      </c>
    </row>
    <row r="96" spans="1:12" ht="67.5" outlineLevel="1">
      <c r="A96" s="3192" t="s">
        <v>3656</v>
      </c>
      <c r="B96" s="3193" t="s">
        <v>3657</v>
      </c>
      <c r="C96" s="3204" t="s">
        <v>3658</v>
      </c>
      <c r="D96" s="3204"/>
      <c r="E96" s="3172">
        <v>900</v>
      </c>
      <c r="F96" s="3195">
        <f>VLOOKUP(B96,[2]产权过户信息!$C$5:$K$96,2,FALSE)</f>
        <v>49.34</v>
      </c>
      <c r="G96" s="3204" t="s">
        <v>3659</v>
      </c>
      <c r="H96" s="3175">
        <f t="shared" si="4"/>
        <v>4954.1284403669724</v>
      </c>
      <c r="I96" s="3197"/>
      <c r="J96" s="3198"/>
      <c r="L96" s="3179">
        <f t="shared" si="3"/>
        <v>0.6080259424402108</v>
      </c>
    </row>
    <row r="97" spans="1:12" ht="67.5" outlineLevel="1">
      <c r="A97" s="3192" t="s">
        <v>3660</v>
      </c>
      <c r="B97" s="3193" t="s">
        <v>3661</v>
      </c>
      <c r="C97" s="3204" t="s">
        <v>3501</v>
      </c>
      <c r="D97" s="3204"/>
      <c r="E97" s="3172">
        <v>900</v>
      </c>
      <c r="F97" s="3195">
        <f>VLOOKUP(B97,[2]产权过户信息!$C$5:$K$96,2,FALSE)</f>
        <v>49.34</v>
      </c>
      <c r="G97" s="3204" t="s">
        <v>3549</v>
      </c>
      <c r="H97" s="3175">
        <f t="shared" si="4"/>
        <v>4954.1284403669724</v>
      </c>
      <c r="I97" s="3197"/>
      <c r="J97" s="3198"/>
      <c r="L97" s="3179">
        <f t="shared" si="3"/>
        <v>0.6080259424402108</v>
      </c>
    </row>
    <row r="98" spans="1:12" ht="67.5" outlineLevel="1">
      <c r="A98" s="3192" t="s">
        <v>3662</v>
      </c>
      <c r="B98" s="3193" t="s">
        <v>3663</v>
      </c>
      <c r="C98" s="3204" t="s">
        <v>3501</v>
      </c>
      <c r="D98" s="3204"/>
      <c r="E98" s="3172">
        <v>900</v>
      </c>
      <c r="F98" s="3195">
        <f>VLOOKUP(B98,[2]产权过户信息!$C$5:$K$96,2,FALSE)</f>
        <v>49.34</v>
      </c>
      <c r="G98" s="3204" t="s">
        <v>3549</v>
      </c>
      <c r="H98" s="3175">
        <f t="shared" si="4"/>
        <v>4954.1284403669724</v>
      </c>
      <c r="I98" s="3197"/>
      <c r="J98" s="3198"/>
      <c r="L98" s="3179">
        <f t="shared" si="3"/>
        <v>0.6080259424402108</v>
      </c>
    </row>
    <row r="99" spans="1:12" ht="56.25" outlineLevel="1">
      <c r="A99" s="3192" t="s">
        <v>3664</v>
      </c>
      <c r="B99" s="3193" t="s">
        <v>3442</v>
      </c>
      <c r="C99" s="3204" t="s">
        <v>3609</v>
      </c>
      <c r="D99" s="3172"/>
      <c r="E99" s="3172">
        <v>900</v>
      </c>
      <c r="F99" s="3195">
        <f>VLOOKUP(B99,[2]产权过户信息!$C$5:$K$96,2,FALSE)</f>
        <v>49.34</v>
      </c>
      <c r="G99" s="3176" t="s">
        <v>3665</v>
      </c>
      <c r="H99" s="3175">
        <f t="shared" si="4"/>
        <v>4954.1284403669724</v>
      </c>
      <c r="I99" s="3197"/>
      <c r="J99" s="3198"/>
      <c r="L99" s="3179">
        <f t="shared" si="3"/>
        <v>0.6080259424402108</v>
      </c>
    </row>
    <row r="100" spans="1:12" ht="56.25" outlineLevel="1">
      <c r="A100" s="3192" t="s">
        <v>3666</v>
      </c>
      <c r="B100" s="3193" t="s">
        <v>3667</v>
      </c>
      <c r="C100" s="3204" t="s">
        <v>3501</v>
      </c>
      <c r="D100" s="3172"/>
      <c r="E100" s="3172"/>
      <c r="F100" s="3195">
        <f>VLOOKUP(B100,[2]产权过户信息!$C$5:$K$96,2,FALSE)</f>
        <v>49.34</v>
      </c>
      <c r="G100" s="3176" t="s">
        <v>3668</v>
      </c>
      <c r="H100" s="3175">
        <f t="shared" si="4"/>
        <v>4954.1284403669724</v>
      </c>
      <c r="I100" s="3197"/>
      <c r="J100" s="3198"/>
      <c r="L100" s="3179">
        <f t="shared" si="3"/>
        <v>0</v>
      </c>
    </row>
    <row r="101" spans="1:12" ht="56.25" outlineLevel="1">
      <c r="A101" s="3192" t="s">
        <v>3669</v>
      </c>
      <c r="B101" s="3193" t="s">
        <v>3670</v>
      </c>
      <c r="C101" s="3204" t="s">
        <v>3671</v>
      </c>
      <c r="D101" s="3172"/>
      <c r="E101" s="3172">
        <v>900</v>
      </c>
      <c r="F101" s="3195">
        <f>VLOOKUP(B101,[2]产权过户信息!$C$5:$K$96,2,FALSE)</f>
        <v>49.34</v>
      </c>
      <c r="G101" s="3176" t="s">
        <v>3672</v>
      </c>
      <c r="H101" s="3175">
        <f t="shared" si="4"/>
        <v>4954.1284403669724</v>
      </c>
      <c r="I101" s="3197"/>
      <c r="J101" s="3198"/>
      <c r="L101" s="3179">
        <f t="shared" si="3"/>
        <v>0.6080259424402108</v>
      </c>
    </row>
    <row r="102" spans="1:12" ht="14.25">
      <c r="A102" s="3190" t="s">
        <v>3673</v>
      </c>
      <c r="B102" s="3190"/>
      <c r="C102" s="3190"/>
      <c r="D102" s="3186"/>
      <c r="E102" s="3186"/>
      <c r="F102" s="3235">
        <f>SUM(F75:F101)</f>
        <v>2887.7600000000016</v>
      </c>
      <c r="G102" s="3188"/>
      <c r="H102" s="3189"/>
      <c r="I102" s="3190"/>
      <c r="J102" s="3191"/>
    </row>
    <row r="103" spans="1:12" s="3157" customFormat="1">
      <c r="A103" s="3236"/>
      <c r="B103" s="3236"/>
      <c r="C103" s="3236" t="s">
        <v>3674</v>
      </c>
      <c r="D103" s="3236"/>
      <c r="E103" s="3236">
        <f>SUM(E20:E34,E47:E49,E51,E52:E55,E75:E85,E86:E92)</f>
        <v>955761.05999999994</v>
      </c>
      <c r="F103" s="3236">
        <f>SUM(F20:F34,F47:F49,F51,F52:F55,F75:F85,F86:F92)</f>
        <v>5560.3599999999988</v>
      </c>
      <c r="G103" s="3237">
        <f>E103/F103/30</f>
        <v>5.72961139206814</v>
      </c>
      <c r="H103" s="3236"/>
      <c r="I103" s="3236"/>
      <c r="K103" s="3238"/>
    </row>
    <row r="104" spans="1:12">
      <c r="E104" s="3240">
        <f>SUBTOTAL(9,E3:E92)</f>
        <v>1136787.06</v>
      </c>
      <c r="F104" s="3240">
        <f>SUBTOTAL(9,F3:F92)</f>
        <v>20208.369999999992</v>
      </c>
      <c r="G104" s="3241">
        <f>E104/F104/30</f>
        <v>1.8751092740285347</v>
      </c>
    </row>
    <row r="106" spans="1:12" ht="14.25">
      <c r="F106" s="3235">
        <f>SUM(F8,F19,F46,F74,F102)</f>
        <v>11833.990000000005</v>
      </c>
      <c r="G106" s="3304">
        <f>F103/面积!M4</f>
        <v>0.61599921121755008</v>
      </c>
    </row>
    <row r="108" spans="1:12">
      <c r="A108" s="3243"/>
    </row>
    <row r="109" spans="1:12">
      <c r="G109" s="3237"/>
      <c r="H109" s="3236"/>
    </row>
    <row r="110" spans="1:12">
      <c r="G110" s="3237"/>
      <c r="H110" s="3236"/>
      <c r="I110" s="3236"/>
    </row>
    <row r="111" spans="1:12">
      <c r="G111" s="3237"/>
      <c r="H111" s="3236"/>
      <c r="I111" s="3236"/>
    </row>
    <row r="112" spans="1:12">
      <c r="G112" s="3237"/>
      <c r="H112" s="3236"/>
      <c r="I112" s="3236"/>
    </row>
  </sheetData>
  <autoFilter ref="A1:J102" xr:uid="{00000000-0009-0000-0000-00000A000000}"/>
  <mergeCells count="53">
    <mergeCell ref="C25:C28"/>
    <mergeCell ref="D25:D28"/>
    <mergeCell ref="I5:I6"/>
    <mergeCell ref="C20:C24"/>
    <mergeCell ref="D20:D24"/>
    <mergeCell ref="E20:E24"/>
    <mergeCell ref="G20:G24"/>
    <mergeCell ref="H20:H24"/>
    <mergeCell ref="I20:I24"/>
    <mergeCell ref="C5:C6"/>
    <mergeCell ref="D5:D6"/>
    <mergeCell ref="E5:E6"/>
    <mergeCell ref="F5:F6"/>
    <mergeCell ref="G5:G6"/>
    <mergeCell ref="H5:H6"/>
    <mergeCell ref="E25:E28"/>
    <mergeCell ref="G25:G28"/>
    <mergeCell ref="H25:H28"/>
    <mergeCell ref="I75:I83"/>
    <mergeCell ref="J32:J33"/>
    <mergeCell ref="I52:I55"/>
    <mergeCell ref="I32:I33"/>
    <mergeCell ref="I25:I28"/>
    <mergeCell ref="C52:C55"/>
    <mergeCell ref="D52:D55"/>
    <mergeCell ref="E52:E55"/>
    <mergeCell ref="G52:G55"/>
    <mergeCell ref="H52:H55"/>
    <mergeCell ref="C32:C33"/>
    <mergeCell ref="D32:D33"/>
    <mergeCell ref="E32:E33"/>
    <mergeCell ref="G32:G33"/>
    <mergeCell ref="H32:H33"/>
    <mergeCell ref="C75:C83"/>
    <mergeCell ref="D75:D83"/>
    <mergeCell ref="E75:E83"/>
    <mergeCell ref="G75:G83"/>
    <mergeCell ref="H75:H83"/>
    <mergeCell ref="I89:I91"/>
    <mergeCell ref="G85:G86"/>
    <mergeCell ref="H85:H86"/>
    <mergeCell ref="I85:I86"/>
    <mergeCell ref="C87:C88"/>
    <mergeCell ref="D87:D88"/>
    <mergeCell ref="E87:E88"/>
    <mergeCell ref="G87:G88"/>
    <mergeCell ref="H87:H88"/>
    <mergeCell ref="I87:I88"/>
    <mergeCell ref="C89:C91"/>
    <mergeCell ref="D89:D91"/>
    <mergeCell ref="E89:E91"/>
    <mergeCell ref="G89:G91"/>
    <mergeCell ref="H89:H91"/>
  </mergeCells>
  <phoneticPr fontId="136" type="noConversion"/>
  <pageMargins left="0.7" right="0.7" top="0.75" bottom="0.75" header="0.3" footer="0.3"/>
  <pageSetup paperSize="9" orientation="portrait"/>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7:K58"/>
  <sheetViews>
    <sheetView workbookViewId="0">
      <selection activeCell="H49" sqref="H49"/>
    </sheetView>
  </sheetViews>
  <sheetFormatPr defaultColWidth="9" defaultRowHeight="13.5"/>
  <cols>
    <col min="1" max="4" width="9" style="3295"/>
    <col min="5" max="5" width="16.625" style="3295" customWidth="1"/>
    <col min="6" max="10" width="9" style="3295"/>
    <col min="11" max="11" width="12.5" style="3295" bestFit="1" customWidth="1"/>
    <col min="12" max="16384" width="9" style="3295"/>
  </cols>
  <sheetData>
    <row r="17" spans="1:11">
      <c r="A17" s="3294" t="s">
        <v>3906</v>
      </c>
    </row>
    <row r="18" spans="1:11">
      <c r="A18" s="3294" t="s">
        <v>3907</v>
      </c>
    </row>
    <row r="19" spans="1:11">
      <c r="A19" s="3294" t="s">
        <v>3908</v>
      </c>
    </row>
    <row r="21" spans="1:11" ht="27">
      <c r="A21" s="3296" t="s">
        <v>3909</v>
      </c>
      <c r="B21" s="3296" t="s">
        <v>3910</v>
      </c>
      <c r="C21" s="3296" t="s">
        <v>3911</v>
      </c>
      <c r="D21" s="3296" t="s">
        <v>3912</v>
      </c>
      <c r="E21" s="3296" t="s">
        <v>3913</v>
      </c>
      <c r="F21" s="3296" t="s">
        <v>3914</v>
      </c>
      <c r="G21" s="3296" t="s">
        <v>3915</v>
      </c>
      <c r="H21" s="3296" t="s">
        <v>3916</v>
      </c>
      <c r="I21" s="3296" t="s">
        <v>3383</v>
      </c>
      <c r="J21" s="3296" t="s">
        <v>3393</v>
      </c>
      <c r="K21" s="3296" t="s">
        <v>3917</v>
      </c>
    </row>
    <row r="22" spans="1:11" ht="27">
      <c r="A22" s="3297" t="s">
        <v>3918</v>
      </c>
      <c r="B22" s="3297" t="s">
        <v>3858</v>
      </c>
      <c r="C22" s="3297" t="s">
        <v>3919</v>
      </c>
      <c r="D22" s="3297" t="s">
        <v>3713</v>
      </c>
      <c r="E22" s="3297" t="s">
        <v>3920</v>
      </c>
      <c r="F22" s="3297">
        <v>63000</v>
      </c>
      <c r="G22" s="3297">
        <v>1214.97</v>
      </c>
      <c r="H22" s="3297">
        <v>7654</v>
      </c>
      <c r="I22" s="3297" t="s">
        <v>3399</v>
      </c>
      <c r="J22" s="3297" t="s">
        <v>3921</v>
      </c>
      <c r="K22" s="3298">
        <v>44530</v>
      </c>
    </row>
    <row r="23" spans="1:11" ht="27">
      <c r="A23" s="3297" t="s">
        <v>3918</v>
      </c>
      <c r="B23" s="3297" t="s">
        <v>3858</v>
      </c>
      <c r="C23" s="3297" t="s">
        <v>3919</v>
      </c>
      <c r="D23" s="3297" t="s">
        <v>3713</v>
      </c>
      <c r="E23" s="3297" t="s">
        <v>3920</v>
      </c>
      <c r="F23" s="3297">
        <v>63000</v>
      </c>
      <c r="G23" s="3297">
        <v>1214.97</v>
      </c>
      <c r="H23" s="3297">
        <v>7654</v>
      </c>
      <c r="I23" s="3297" t="s">
        <v>3399</v>
      </c>
      <c r="J23" s="3297" t="s">
        <v>3921</v>
      </c>
      <c r="K23" s="3298">
        <v>44530</v>
      </c>
    </row>
    <row r="24" spans="1:11" ht="27">
      <c r="A24" s="3297" t="s">
        <v>3918</v>
      </c>
      <c r="B24" s="3297" t="s">
        <v>3858</v>
      </c>
      <c r="C24" s="3297" t="s">
        <v>3919</v>
      </c>
      <c r="D24" s="3297" t="s">
        <v>3713</v>
      </c>
      <c r="E24" s="3297" t="s">
        <v>3922</v>
      </c>
      <c r="F24" s="3297">
        <v>66000</v>
      </c>
      <c r="G24" s="3297">
        <v>1169.56</v>
      </c>
      <c r="H24" s="3297">
        <v>7719</v>
      </c>
      <c r="I24" s="3297" t="s">
        <v>3399</v>
      </c>
      <c r="J24" s="3297" t="s">
        <v>3921</v>
      </c>
      <c r="K24" s="3298">
        <v>44519</v>
      </c>
    </row>
    <row r="25" spans="1:11" ht="27">
      <c r="A25" s="3297" t="s">
        <v>3918</v>
      </c>
      <c r="B25" s="3297" t="s">
        <v>3858</v>
      </c>
      <c r="C25" s="3297" t="s">
        <v>3919</v>
      </c>
      <c r="D25" s="3297" t="s">
        <v>3713</v>
      </c>
      <c r="E25" s="3297" t="s">
        <v>3920</v>
      </c>
      <c r="F25" s="3297">
        <v>63000</v>
      </c>
      <c r="G25" s="3297">
        <v>1214.97</v>
      </c>
      <c r="H25" s="3297">
        <v>7654</v>
      </c>
      <c r="I25" s="3297" t="s">
        <v>3399</v>
      </c>
      <c r="J25" s="3297" t="s">
        <v>3921</v>
      </c>
      <c r="K25" s="3298">
        <v>44530</v>
      </c>
    </row>
    <row r="26" spans="1:11" ht="27">
      <c r="A26" s="3297" t="s">
        <v>3918</v>
      </c>
      <c r="B26" s="3297" t="s">
        <v>3858</v>
      </c>
      <c r="C26" s="3297" t="s">
        <v>3919</v>
      </c>
      <c r="D26" s="3297" t="s">
        <v>3713</v>
      </c>
      <c r="E26" s="3297" t="s">
        <v>3922</v>
      </c>
      <c r="F26" s="3297">
        <v>63000</v>
      </c>
      <c r="G26" s="3297">
        <v>1322.83</v>
      </c>
      <c r="H26" s="3297">
        <v>8333</v>
      </c>
      <c r="I26" s="3297" t="s">
        <v>3399</v>
      </c>
      <c r="J26" s="3297" t="s">
        <v>3921</v>
      </c>
      <c r="K26" s="3298">
        <v>44519</v>
      </c>
    </row>
    <row r="27" spans="1:11" ht="27">
      <c r="A27" s="3297" t="s">
        <v>3918</v>
      </c>
      <c r="B27" s="3297" t="s">
        <v>3858</v>
      </c>
      <c r="C27" s="3297" t="s">
        <v>3919</v>
      </c>
      <c r="D27" s="3297" t="s">
        <v>3713</v>
      </c>
      <c r="E27" s="3297" t="s">
        <v>3922</v>
      </c>
      <c r="F27" s="3297">
        <v>60000</v>
      </c>
      <c r="G27" s="3297">
        <v>1322.83</v>
      </c>
      <c r="H27" s="3297">
        <v>7936</v>
      </c>
      <c r="I27" s="3297" t="s">
        <v>3399</v>
      </c>
      <c r="J27" s="3297" t="s">
        <v>3921</v>
      </c>
      <c r="K27" s="3298">
        <v>44519</v>
      </c>
    </row>
    <row r="28" spans="1:11" ht="27">
      <c r="A28" s="3297" t="s">
        <v>3918</v>
      </c>
      <c r="B28" s="3297" t="s">
        <v>3858</v>
      </c>
      <c r="C28" s="3297" t="s">
        <v>3919</v>
      </c>
      <c r="D28" s="3297" t="s">
        <v>3713</v>
      </c>
      <c r="E28" s="3297" t="s">
        <v>3920</v>
      </c>
      <c r="F28" s="3297">
        <v>63000</v>
      </c>
      <c r="G28" s="3297">
        <v>1199.1400000000001</v>
      </c>
      <c r="H28" s="3297">
        <v>7554</v>
      </c>
      <c r="I28" s="3297" t="s">
        <v>3399</v>
      </c>
      <c r="J28" s="3297" t="s">
        <v>3921</v>
      </c>
      <c r="K28" s="3298">
        <v>44530</v>
      </c>
    </row>
    <row r="29" spans="1:11" ht="27">
      <c r="A29" s="3297" t="s">
        <v>3918</v>
      </c>
      <c r="B29" s="3297" t="s">
        <v>3858</v>
      </c>
      <c r="C29" s="3297" t="s">
        <v>3919</v>
      </c>
      <c r="D29" s="3297" t="s">
        <v>3713</v>
      </c>
      <c r="E29" s="3297" t="s">
        <v>3922</v>
      </c>
      <c r="F29" s="3297">
        <v>61500</v>
      </c>
      <c r="G29" s="3297">
        <v>1322.83</v>
      </c>
      <c r="H29" s="3297">
        <v>8135</v>
      </c>
      <c r="I29" s="3297" t="s">
        <v>3399</v>
      </c>
      <c r="J29" s="3297" t="s">
        <v>3921</v>
      </c>
      <c r="K29" s="3298">
        <v>44519</v>
      </c>
    </row>
    <row r="30" spans="1:11" ht="27">
      <c r="A30" s="3297" t="s">
        <v>3918</v>
      </c>
      <c r="B30" s="3297" t="s">
        <v>3858</v>
      </c>
      <c r="C30" s="3297" t="s">
        <v>3919</v>
      </c>
      <c r="D30" s="3297" t="s">
        <v>3713</v>
      </c>
      <c r="E30" s="3297" t="s">
        <v>3920</v>
      </c>
      <c r="F30" s="3297">
        <v>63000</v>
      </c>
      <c r="G30" s="3297">
        <v>1071.19</v>
      </c>
      <c r="H30" s="3297">
        <v>6748</v>
      </c>
      <c r="I30" s="3297" t="s">
        <v>3399</v>
      </c>
      <c r="J30" s="3297" t="s">
        <v>3921</v>
      </c>
      <c r="K30" s="3298">
        <v>44530</v>
      </c>
    </row>
    <row r="31" spans="1:11" ht="27">
      <c r="A31" s="3297" t="s">
        <v>3918</v>
      </c>
      <c r="B31" s="3297" t="s">
        <v>3858</v>
      </c>
      <c r="C31" s="3297" t="s">
        <v>3919</v>
      </c>
      <c r="D31" s="3297" t="s">
        <v>3713</v>
      </c>
      <c r="E31" s="3297" t="s">
        <v>3920</v>
      </c>
      <c r="F31" s="3297">
        <v>63000</v>
      </c>
      <c r="G31" s="3297">
        <v>1214.97</v>
      </c>
      <c r="H31" s="3297">
        <v>7654</v>
      </c>
      <c r="I31" s="3297" t="s">
        <v>3399</v>
      </c>
      <c r="J31" s="3297" t="s">
        <v>3921</v>
      </c>
      <c r="K31" s="3298">
        <v>44530</v>
      </c>
    </row>
    <row r="32" spans="1:11" ht="27">
      <c r="A32" s="3297" t="s">
        <v>3918</v>
      </c>
      <c r="B32" s="3297" t="s">
        <v>3858</v>
      </c>
      <c r="C32" s="3297" t="s">
        <v>3919</v>
      </c>
      <c r="D32" s="3297" t="s">
        <v>3713</v>
      </c>
      <c r="E32" s="3297" t="s">
        <v>3920</v>
      </c>
      <c r="F32" s="3297">
        <v>63000</v>
      </c>
      <c r="G32" s="3297">
        <v>1214.97</v>
      </c>
      <c r="H32" s="3297">
        <v>7654</v>
      </c>
      <c r="I32" s="3297" t="s">
        <v>3399</v>
      </c>
      <c r="J32" s="3297" t="s">
        <v>3921</v>
      </c>
      <c r="K32" s="3298">
        <v>44530</v>
      </c>
    </row>
    <row r="33" spans="1:11" ht="27">
      <c r="A33" s="3297" t="s">
        <v>3918</v>
      </c>
      <c r="B33" s="3297" t="s">
        <v>3858</v>
      </c>
      <c r="C33" s="3297" t="s">
        <v>3919</v>
      </c>
      <c r="D33" s="3297" t="s">
        <v>3712</v>
      </c>
      <c r="E33" s="3297" t="s">
        <v>3923</v>
      </c>
      <c r="F33" s="3297">
        <v>47851</v>
      </c>
      <c r="G33" s="3297">
        <v>1153.9100000000001</v>
      </c>
      <c r="H33" s="3297">
        <v>5521</v>
      </c>
      <c r="I33" s="3297" t="s">
        <v>3399</v>
      </c>
      <c r="J33" s="3297" t="s">
        <v>3921</v>
      </c>
      <c r="K33" s="3298">
        <v>44515</v>
      </c>
    </row>
    <row r="34" spans="1:11" ht="27">
      <c r="A34" s="3297" t="s">
        <v>3918</v>
      </c>
      <c r="B34" s="3297" t="s">
        <v>3858</v>
      </c>
      <c r="C34" s="3297" t="s">
        <v>3919</v>
      </c>
      <c r="D34" s="3297" t="s">
        <v>3712</v>
      </c>
      <c r="E34" s="3297" t="s">
        <v>3923</v>
      </c>
      <c r="F34" s="3297">
        <v>50059</v>
      </c>
      <c r="G34" s="3297">
        <v>488.41</v>
      </c>
      <c r="H34" s="3297">
        <v>2444</v>
      </c>
      <c r="I34" s="3297" t="s">
        <v>3399</v>
      </c>
      <c r="J34" s="3297" t="s">
        <v>3921</v>
      </c>
      <c r="K34" s="3298">
        <v>44515</v>
      </c>
    </row>
    <row r="35" spans="1:11" ht="27">
      <c r="A35" s="3297" t="s">
        <v>3918</v>
      </c>
      <c r="B35" s="3297" t="s">
        <v>3858</v>
      </c>
      <c r="C35" s="3297" t="s">
        <v>3919</v>
      </c>
      <c r="D35" s="3297" t="s">
        <v>3712</v>
      </c>
      <c r="E35" s="3297" t="s">
        <v>3923</v>
      </c>
      <c r="F35" s="3297">
        <v>52835</v>
      </c>
      <c r="G35" s="3297">
        <v>1123.95</v>
      </c>
      <c r="H35" s="3297">
        <v>5938</v>
      </c>
      <c r="I35" s="3297" t="s">
        <v>3399</v>
      </c>
      <c r="J35" s="3297" t="s">
        <v>3921</v>
      </c>
      <c r="K35" s="3298">
        <v>44515</v>
      </c>
    </row>
    <row r="36" spans="1:11" ht="27">
      <c r="A36" s="3297" t="s">
        <v>3918</v>
      </c>
      <c r="B36" s="3297" t="s">
        <v>3858</v>
      </c>
      <c r="C36" s="3297" t="s">
        <v>3919</v>
      </c>
      <c r="D36" s="3297" t="s">
        <v>3712</v>
      </c>
      <c r="E36" s="3297" t="s">
        <v>3923</v>
      </c>
      <c r="F36" s="3297">
        <v>46853</v>
      </c>
      <c r="G36" s="3297">
        <v>1218.74</v>
      </c>
      <c r="H36" s="3297">
        <v>5710</v>
      </c>
      <c r="I36" s="3297" t="s">
        <v>3399</v>
      </c>
      <c r="J36" s="3297" t="s">
        <v>3921</v>
      </c>
      <c r="K36" s="3298">
        <v>44514</v>
      </c>
    </row>
    <row r="37" spans="1:11" ht="27">
      <c r="A37" s="3297" t="s">
        <v>3918</v>
      </c>
      <c r="B37" s="3297" t="s">
        <v>3858</v>
      </c>
      <c r="C37" s="3297" t="s">
        <v>3919</v>
      </c>
      <c r="D37" s="3297" t="s">
        <v>3712</v>
      </c>
      <c r="E37" s="3297" t="s">
        <v>3923</v>
      </c>
      <c r="F37" s="3297">
        <v>45588</v>
      </c>
      <c r="G37" s="3297">
        <v>1273.74</v>
      </c>
      <c r="H37" s="3297">
        <v>5806</v>
      </c>
      <c r="I37" s="3297" t="s">
        <v>3399</v>
      </c>
      <c r="J37" s="3297" t="s">
        <v>3921</v>
      </c>
      <c r="K37" s="3298">
        <v>44514</v>
      </c>
    </row>
    <row r="38" spans="1:11" ht="27">
      <c r="A38" s="3297" t="s">
        <v>3918</v>
      </c>
      <c r="B38" s="3297" t="s">
        <v>3858</v>
      </c>
      <c r="C38" s="3297" t="s">
        <v>3919</v>
      </c>
      <c r="D38" s="3297" t="s">
        <v>3712</v>
      </c>
      <c r="E38" s="3297" t="s">
        <v>3923</v>
      </c>
      <c r="F38" s="3297">
        <v>50841</v>
      </c>
      <c r="G38" s="3297">
        <v>1140.1600000000001</v>
      </c>
      <c r="H38" s="3297">
        <v>5796</v>
      </c>
      <c r="I38" s="3297" t="s">
        <v>3399</v>
      </c>
      <c r="J38" s="3297" t="s">
        <v>3921</v>
      </c>
      <c r="K38" s="3298">
        <v>44515</v>
      </c>
    </row>
    <row r="39" spans="1:11" ht="27">
      <c r="A39" s="3297" t="s">
        <v>3918</v>
      </c>
      <c r="B39" s="3297" t="s">
        <v>3858</v>
      </c>
      <c r="C39" s="3297" t="s">
        <v>3919</v>
      </c>
      <c r="D39" s="3297" t="s">
        <v>3712</v>
      </c>
      <c r="E39" s="3297" t="s">
        <v>3923</v>
      </c>
      <c r="F39" s="3297">
        <v>44773</v>
      </c>
      <c r="G39" s="3297">
        <v>1206.4000000000001</v>
      </c>
      <c r="H39" s="3297">
        <v>5401</v>
      </c>
      <c r="I39" s="3297" t="s">
        <v>3399</v>
      </c>
      <c r="J39" s="3297" t="s">
        <v>3921</v>
      </c>
      <c r="K39" s="3298">
        <v>44514</v>
      </c>
    </row>
    <row r="40" spans="1:11" ht="27">
      <c r="A40" s="3297" t="s">
        <v>3918</v>
      </c>
      <c r="B40" s="3297" t="s">
        <v>3858</v>
      </c>
      <c r="C40" s="3297" t="s">
        <v>3919</v>
      </c>
      <c r="D40" s="3297" t="s">
        <v>3712</v>
      </c>
      <c r="E40" s="3297" t="s">
        <v>3923</v>
      </c>
      <c r="F40" s="3297">
        <v>49844</v>
      </c>
      <c r="G40" s="3297">
        <v>1153.9100000000001</v>
      </c>
      <c r="H40" s="3297">
        <v>5751</v>
      </c>
      <c r="I40" s="3297" t="s">
        <v>3399</v>
      </c>
      <c r="J40" s="3297" t="s">
        <v>3921</v>
      </c>
      <c r="K40" s="3298">
        <v>44515</v>
      </c>
    </row>
    <row r="41" spans="1:11" ht="27">
      <c r="A41" s="3297" t="s">
        <v>3918</v>
      </c>
      <c r="B41" s="3297" t="s">
        <v>3858</v>
      </c>
      <c r="C41" s="3297" t="s">
        <v>3919</v>
      </c>
      <c r="D41" s="3297" t="s">
        <v>3712</v>
      </c>
      <c r="E41" s="3297" t="s">
        <v>3923</v>
      </c>
      <c r="F41" s="3297">
        <v>54828</v>
      </c>
      <c r="G41" s="3297">
        <v>1094</v>
      </c>
      <c r="H41" s="3297">
        <v>5998</v>
      </c>
      <c r="I41" s="3297" t="s">
        <v>3399</v>
      </c>
      <c r="J41" s="3297" t="s">
        <v>3921</v>
      </c>
      <c r="K41" s="3298">
        <v>44515</v>
      </c>
    </row>
    <row r="42" spans="1:11" ht="27">
      <c r="A42" s="3297" t="s">
        <v>3918</v>
      </c>
      <c r="B42" s="3297" t="s">
        <v>3858</v>
      </c>
      <c r="C42" s="3297" t="s">
        <v>3919</v>
      </c>
      <c r="D42" s="3297" t="s">
        <v>3712</v>
      </c>
      <c r="E42" s="3297" t="s">
        <v>3923</v>
      </c>
      <c r="F42" s="3297">
        <v>53832</v>
      </c>
      <c r="G42" s="3297">
        <v>1110.2</v>
      </c>
      <c r="H42" s="3297">
        <v>5976</v>
      </c>
      <c r="I42" s="3297" t="s">
        <v>3399</v>
      </c>
      <c r="J42" s="3297" t="s">
        <v>3921</v>
      </c>
      <c r="K42" s="3298">
        <v>44515</v>
      </c>
    </row>
    <row r="43" spans="1:11" ht="27">
      <c r="A43" s="3297" t="s">
        <v>3918</v>
      </c>
      <c r="B43" s="3297" t="s">
        <v>3858</v>
      </c>
      <c r="C43" s="3297" t="s">
        <v>3919</v>
      </c>
      <c r="D43" s="3297" t="s">
        <v>3712</v>
      </c>
      <c r="E43" s="3297" t="s">
        <v>3923</v>
      </c>
      <c r="F43" s="3297">
        <v>48848</v>
      </c>
      <c r="G43" s="3297">
        <v>1153.9100000000001</v>
      </c>
      <c r="H43" s="3297">
        <v>5636</v>
      </c>
      <c r="I43" s="3297" t="s">
        <v>3399</v>
      </c>
      <c r="J43" s="3297" t="s">
        <v>3921</v>
      </c>
      <c r="K43" s="3298">
        <v>44515</v>
      </c>
    </row>
    <row r="44" spans="1:11" ht="27">
      <c r="A44" s="3297" t="s">
        <v>3918</v>
      </c>
      <c r="B44" s="3297" t="s">
        <v>3858</v>
      </c>
      <c r="C44" s="3297" t="s">
        <v>3919</v>
      </c>
      <c r="D44" s="3297" t="s">
        <v>3712</v>
      </c>
      <c r="E44" s="3297" t="s">
        <v>3923</v>
      </c>
      <c r="F44" s="3297">
        <v>51838</v>
      </c>
      <c r="G44" s="3297">
        <v>1123.95</v>
      </c>
      <c r="H44" s="3297">
        <v>5826</v>
      </c>
      <c r="I44" s="3297" t="s">
        <v>3399</v>
      </c>
      <c r="J44" s="3297" t="s">
        <v>3921</v>
      </c>
      <c r="K44" s="3298">
        <v>44515</v>
      </c>
    </row>
    <row r="45" spans="1:11" ht="27">
      <c r="A45" s="3297" t="s">
        <v>3918</v>
      </c>
      <c r="B45" s="3297" t="s">
        <v>3858</v>
      </c>
      <c r="C45" s="3297" t="s">
        <v>3924</v>
      </c>
      <c r="D45" s="3297" t="s">
        <v>3925</v>
      </c>
      <c r="E45" s="3297" t="s">
        <v>3926</v>
      </c>
      <c r="F45" s="3297">
        <v>58000</v>
      </c>
      <c r="G45" s="3297">
        <v>2476.3000000000002</v>
      </c>
      <c r="H45" s="3297">
        <v>14362</v>
      </c>
      <c r="I45" s="3297" t="s">
        <v>3399</v>
      </c>
      <c r="J45" s="3297" t="s">
        <v>3921</v>
      </c>
      <c r="K45" s="3298">
        <v>44545</v>
      </c>
    </row>
    <row r="46" spans="1:11" ht="27">
      <c r="A46" s="3297" t="s">
        <v>3918</v>
      </c>
      <c r="B46" s="3297" t="s">
        <v>3858</v>
      </c>
      <c r="C46" s="3297" t="s">
        <v>3919</v>
      </c>
      <c r="D46" s="3297" t="s">
        <v>3927</v>
      </c>
      <c r="E46" s="3297" t="s">
        <v>3928</v>
      </c>
      <c r="F46" s="3297">
        <v>61500</v>
      </c>
      <c r="G46" s="3297">
        <v>6831.46</v>
      </c>
      <c r="H46" s="3297">
        <v>42013</v>
      </c>
      <c r="I46" s="3297" t="s">
        <v>3399</v>
      </c>
      <c r="J46" s="3297" t="s">
        <v>3921</v>
      </c>
      <c r="K46" s="3298">
        <v>44398</v>
      </c>
    </row>
    <row r="47" spans="1:11" ht="27">
      <c r="A47" s="3297" t="s">
        <v>3918</v>
      </c>
      <c r="B47" s="3297" t="s">
        <v>3858</v>
      </c>
      <c r="C47" s="3297" t="s">
        <v>3919</v>
      </c>
      <c r="D47" s="3297" t="s">
        <v>3927</v>
      </c>
      <c r="E47" s="3297" t="s">
        <v>3929</v>
      </c>
      <c r="F47" s="3297">
        <v>68000</v>
      </c>
      <c r="G47" s="3297">
        <v>1357.31</v>
      </c>
      <c r="H47" s="3297">
        <v>9229</v>
      </c>
      <c r="I47" s="3297" t="s">
        <v>3399</v>
      </c>
      <c r="J47" s="3297" t="s">
        <v>3921</v>
      </c>
      <c r="K47" s="3298">
        <v>44480</v>
      </c>
    </row>
    <row r="48" spans="1:11" ht="27">
      <c r="A48" s="3297" t="s">
        <v>3918</v>
      </c>
      <c r="B48" s="3297" t="s">
        <v>3858</v>
      </c>
      <c r="C48" s="3297" t="s">
        <v>3924</v>
      </c>
      <c r="D48" s="3297" t="s">
        <v>3925</v>
      </c>
      <c r="E48" s="3297" t="s">
        <v>3930</v>
      </c>
      <c r="F48" s="3297">
        <v>50000</v>
      </c>
      <c r="G48" s="3297">
        <v>2443.73</v>
      </c>
      <c r="H48" s="3297">
        <v>12218</v>
      </c>
      <c r="I48" s="3297" t="s">
        <v>3399</v>
      </c>
      <c r="J48" s="3297" t="s">
        <v>3921</v>
      </c>
      <c r="K48" s="3298">
        <v>44509</v>
      </c>
    </row>
    <row r="49" spans="1:11" ht="27">
      <c r="A49" s="3297" t="s">
        <v>3918</v>
      </c>
      <c r="B49" s="3297" t="s">
        <v>3858</v>
      </c>
      <c r="C49" s="3297" t="s">
        <v>3924</v>
      </c>
      <c r="D49" s="3297" t="s">
        <v>3931</v>
      </c>
      <c r="E49" s="3297" t="s">
        <v>3932</v>
      </c>
      <c r="F49" s="3297">
        <v>25760</v>
      </c>
      <c r="G49" s="3297">
        <v>1040.71</v>
      </c>
      <c r="H49" s="3297">
        <v>2680</v>
      </c>
      <c r="I49" s="3297" t="s">
        <v>3399</v>
      </c>
      <c r="J49" s="3297" t="s">
        <v>3921</v>
      </c>
      <c r="K49" s="3298">
        <v>44229</v>
      </c>
    </row>
    <row r="50" spans="1:11" ht="27">
      <c r="A50" s="3297" t="s">
        <v>3918</v>
      </c>
      <c r="B50" s="3297" t="s">
        <v>3858</v>
      </c>
      <c r="C50" s="3297" t="s">
        <v>3924</v>
      </c>
      <c r="D50" s="3297" t="s">
        <v>3931</v>
      </c>
      <c r="E50" s="3297" t="s">
        <v>3932</v>
      </c>
      <c r="F50" s="3297">
        <v>25360</v>
      </c>
      <c r="G50" s="3297">
        <v>991</v>
      </c>
      <c r="H50" s="3297">
        <v>2513</v>
      </c>
      <c r="I50" s="3297" t="s">
        <v>3399</v>
      </c>
      <c r="J50" s="3297" t="s">
        <v>3921</v>
      </c>
      <c r="K50" s="3298">
        <v>44489</v>
      </c>
    </row>
    <row r="51" spans="1:11" ht="27">
      <c r="A51" s="3297" t="s">
        <v>3918</v>
      </c>
      <c r="B51" s="3297" t="s">
        <v>3858</v>
      </c>
      <c r="C51" s="3297" t="s">
        <v>3924</v>
      </c>
      <c r="D51" s="3297" t="s">
        <v>3931</v>
      </c>
      <c r="E51" s="3297" t="s">
        <v>3932</v>
      </c>
      <c r="F51" s="3297">
        <v>25360</v>
      </c>
      <c r="G51" s="3297">
        <v>607.51</v>
      </c>
      <c r="H51" s="3297">
        <v>1540</v>
      </c>
      <c r="I51" s="3297" t="s">
        <v>3399</v>
      </c>
      <c r="J51" s="3297" t="s">
        <v>3921</v>
      </c>
      <c r="K51" s="3298">
        <v>44392</v>
      </c>
    </row>
    <row r="52" spans="1:11">
      <c r="A52" s="3297" t="s">
        <v>3918</v>
      </c>
      <c r="B52" s="3297" t="s">
        <v>3858</v>
      </c>
      <c r="C52" s="3297" t="s">
        <v>3924</v>
      </c>
      <c r="D52" s="3297" t="s">
        <v>3933</v>
      </c>
      <c r="E52" s="3297" t="s">
        <v>3934</v>
      </c>
      <c r="F52" s="3297">
        <v>62410</v>
      </c>
      <c r="G52" s="3297">
        <v>264.01</v>
      </c>
      <c r="H52" s="3297">
        <v>1647</v>
      </c>
      <c r="I52" s="3297" t="s">
        <v>3399</v>
      </c>
      <c r="J52" s="3297" t="s">
        <v>3921</v>
      </c>
      <c r="K52" s="3298">
        <v>44298</v>
      </c>
    </row>
    <row r="53" spans="1:11">
      <c r="A53" s="3297" t="s">
        <v>3918</v>
      </c>
      <c r="B53" s="3297" t="s">
        <v>3858</v>
      </c>
      <c r="C53" s="3297" t="s">
        <v>3919</v>
      </c>
      <c r="D53" s="3297" t="s">
        <v>3935</v>
      </c>
      <c r="E53" s="3297" t="s">
        <v>3936</v>
      </c>
      <c r="F53" s="3297">
        <v>34000</v>
      </c>
      <c r="G53" s="3297">
        <v>276.75</v>
      </c>
      <c r="H53" s="3297">
        <v>940</v>
      </c>
      <c r="I53" s="3297" t="s">
        <v>3399</v>
      </c>
      <c r="J53" s="3297" t="s">
        <v>3921</v>
      </c>
      <c r="K53" s="3298">
        <v>44740</v>
      </c>
    </row>
    <row r="54" spans="1:11">
      <c r="A54" s="3297" t="s">
        <v>3918</v>
      </c>
      <c r="B54" s="3297" t="s">
        <v>3858</v>
      </c>
      <c r="C54" s="3297" t="s">
        <v>3919</v>
      </c>
      <c r="D54" s="3297" t="s">
        <v>3935</v>
      </c>
      <c r="E54" s="3297" t="s">
        <v>3936</v>
      </c>
      <c r="F54" s="3297">
        <v>34000</v>
      </c>
      <c r="G54" s="3297">
        <v>276.75</v>
      </c>
      <c r="H54" s="3297">
        <v>940</v>
      </c>
      <c r="I54" s="3297" t="s">
        <v>3399</v>
      </c>
      <c r="J54" s="3297" t="s">
        <v>3921</v>
      </c>
      <c r="K54" s="3298">
        <v>44740</v>
      </c>
    </row>
    <row r="55" spans="1:11">
      <c r="A55" s="3297" t="s">
        <v>3918</v>
      </c>
      <c r="B55" s="3297" t="s">
        <v>3858</v>
      </c>
      <c r="C55" s="3297" t="s">
        <v>3919</v>
      </c>
      <c r="D55" s="3297" t="s">
        <v>3935</v>
      </c>
      <c r="E55" s="3297" t="s">
        <v>3936</v>
      </c>
      <c r="F55" s="3297">
        <v>36000</v>
      </c>
      <c r="G55" s="3297">
        <v>120.59</v>
      </c>
      <c r="H55" s="3297">
        <v>434</v>
      </c>
      <c r="I55" s="3297" t="s">
        <v>3399</v>
      </c>
      <c r="J55" s="3297" t="s">
        <v>3921</v>
      </c>
      <c r="K55" s="3298">
        <v>44740</v>
      </c>
    </row>
    <row r="56" spans="1:11">
      <c r="A56" s="3297" t="s">
        <v>3918</v>
      </c>
      <c r="B56" s="3297" t="s">
        <v>3858</v>
      </c>
      <c r="C56" s="3297" t="s">
        <v>3924</v>
      </c>
      <c r="D56" s="3297" t="s">
        <v>3933</v>
      </c>
      <c r="E56" s="3297" t="s">
        <v>3937</v>
      </c>
      <c r="F56" s="3297">
        <v>63400</v>
      </c>
      <c r="G56" s="3297">
        <v>426.55</v>
      </c>
      <c r="H56" s="3297">
        <v>2704</v>
      </c>
      <c r="I56" s="3297" t="s">
        <v>3399</v>
      </c>
      <c r="J56" s="3297" t="s">
        <v>3921</v>
      </c>
      <c r="K56" s="3298">
        <v>44384</v>
      </c>
    </row>
    <row r="57" spans="1:11">
      <c r="A57" s="3297" t="s">
        <v>3918</v>
      </c>
      <c r="B57" s="3297" t="s">
        <v>3858</v>
      </c>
      <c r="C57" s="3297" t="s">
        <v>3919</v>
      </c>
      <c r="D57" s="3297" t="s">
        <v>3935</v>
      </c>
      <c r="E57" s="3297" t="s">
        <v>3938</v>
      </c>
      <c r="F57" s="3297">
        <v>48400</v>
      </c>
      <c r="G57" s="3297">
        <v>376.33</v>
      </c>
      <c r="H57" s="3297">
        <v>1821</v>
      </c>
      <c r="I57" s="3297" t="s">
        <v>3399</v>
      </c>
      <c r="J57" s="3297" t="s">
        <v>3921</v>
      </c>
      <c r="K57" s="3298">
        <v>44799</v>
      </c>
    </row>
    <row r="58" spans="1:11" ht="27">
      <c r="A58" s="3297" t="s">
        <v>3918</v>
      </c>
      <c r="B58" s="3297" t="s">
        <v>3858</v>
      </c>
      <c r="C58" s="3297" t="s">
        <v>3924</v>
      </c>
      <c r="D58" s="3297" t="s">
        <v>3939</v>
      </c>
      <c r="E58" s="3297" t="s">
        <v>3940</v>
      </c>
      <c r="F58" s="3297">
        <v>25040</v>
      </c>
      <c r="G58" s="3297">
        <v>152.33000000000001</v>
      </c>
      <c r="H58" s="3297">
        <v>381</v>
      </c>
      <c r="I58" s="3297" t="s">
        <v>3399</v>
      </c>
      <c r="J58" s="3297" t="s">
        <v>3921</v>
      </c>
      <c r="K58" s="3298">
        <v>44832</v>
      </c>
    </row>
  </sheetData>
  <phoneticPr fontId="13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J25" sqref="J25"/>
    </sheetView>
  </sheetViews>
  <sheetFormatPr defaultColWidth="9" defaultRowHeight="13.5"/>
  <cols>
    <col min="1" max="16384" width="9" style="3295"/>
  </cols>
  <sheetData/>
  <phoneticPr fontId="1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6"/>
  <sheetViews>
    <sheetView workbookViewId="0">
      <selection activeCell="E31" sqref="E31"/>
    </sheetView>
  </sheetViews>
  <sheetFormatPr defaultColWidth="9" defaultRowHeight="13.5"/>
  <cols>
    <col min="1" max="3" width="11.125" style="3295" customWidth="1"/>
    <col min="4" max="4" width="13.625" style="3295" customWidth="1"/>
    <col min="5" max="5" width="16" style="3295" customWidth="1"/>
    <col min="6" max="11" width="11.125" style="3295" customWidth="1"/>
    <col min="12" max="16384" width="9" style="3295"/>
  </cols>
  <sheetData>
    <row r="1" spans="1:12" ht="15">
      <c r="A1" s="3299" t="s">
        <v>3909</v>
      </c>
      <c r="B1" s="3299" t="s">
        <v>3910</v>
      </c>
      <c r="C1" s="3299" t="s">
        <v>3911</v>
      </c>
      <c r="D1" s="3299" t="s">
        <v>3912</v>
      </c>
      <c r="E1" s="3299" t="s">
        <v>3913</v>
      </c>
      <c r="F1" s="3299" t="s">
        <v>3914</v>
      </c>
      <c r="G1" s="3299" t="s">
        <v>3915</v>
      </c>
      <c r="H1" s="3299" t="s">
        <v>3916</v>
      </c>
      <c r="I1" s="3299" t="s">
        <v>3383</v>
      </c>
      <c r="J1" s="3299" t="s">
        <v>3393</v>
      </c>
      <c r="K1" s="3299" t="s">
        <v>3917</v>
      </c>
      <c r="L1" s="3300"/>
    </row>
    <row r="2" spans="1:12">
      <c r="A2" s="3301" t="s">
        <v>3918</v>
      </c>
      <c r="B2" s="3301" t="s">
        <v>3858</v>
      </c>
      <c r="C2" s="3301" t="s">
        <v>3919</v>
      </c>
      <c r="D2" s="3301" t="s">
        <v>3713</v>
      </c>
      <c r="E2" s="3301" t="s">
        <v>3941</v>
      </c>
      <c r="F2" s="3301">
        <v>72925</v>
      </c>
      <c r="G2" s="3301">
        <v>246.24</v>
      </c>
      <c r="H2" s="3301">
        <v>1795</v>
      </c>
      <c r="I2" s="3301" t="s">
        <v>3942</v>
      </c>
      <c r="J2" s="3301" t="s">
        <v>3921</v>
      </c>
      <c r="K2" s="3302">
        <v>44519</v>
      </c>
      <c r="L2" s="3303"/>
    </row>
    <row r="3" spans="1:12">
      <c r="A3" s="3301" t="s">
        <v>3918</v>
      </c>
      <c r="B3" s="3301" t="s">
        <v>3858</v>
      </c>
      <c r="C3" s="3301" t="s">
        <v>3919</v>
      </c>
      <c r="D3" s="3301" t="s">
        <v>3927</v>
      </c>
      <c r="E3" s="3301" t="s">
        <v>3943</v>
      </c>
      <c r="F3" s="3301">
        <v>68000</v>
      </c>
      <c r="G3" s="3301">
        <v>364.16</v>
      </c>
      <c r="H3" s="3301">
        <v>2476</v>
      </c>
      <c r="I3" s="3301" t="s">
        <v>3942</v>
      </c>
      <c r="J3" s="3301" t="s">
        <v>3921</v>
      </c>
      <c r="K3" s="3302">
        <v>44480</v>
      </c>
      <c r="L3" s="3303"/>
    </row>
    <row r="4" spans="1:12">
      <c r="A4" s="3301" t="s">
        <v>3918</v>
      </c>
      <c r="B4" s="3301" t="s">
        <v>3858</v>
      </c>
      <c r="C4" s="3301" t="s">
        <v>3919</v>
      </c>
      <c r="D4" s="3301" t="s">
        <v>3927</v>
      </c>
      <c r="E4" s="3301" t="s">
        <v>3944</v>
      </c>
      <c r="F4" s="3301">
        <v>68000</v>
      </c>
      <c r="G4" s="3301">
        <v>333.25</v>
      </c>
      <c r="H4" s="3301">
        <v>2266</v>
      </c>
      <c r="I4" s="3301" t="s">
        <v>3942</v>
      </c>
      <c r="J4" s="3301" t="s">
        <v>3921</v>
      </c>
      <c r="K4" s="3302">
        <v>44273</v>
      </c>
      <c r="L4" s="3303"/>
    </row>
    <row r="5" spans="1:12">
      <c r="A5" s="3301" t="s">
        <v>3918</v>
      </c>
      <c r="B5" s="3301" t="s">
        <v>3858</v>
      </c>
      <c r="C5" s="3301" t="s">
        <v>3924</v>
      </c>
      <c r="D5" s="3301" t="s">
        <v>3933</v>
      </c>
      <c r="E5" s="3301" t="s">
        <v>3945</v>
      </c>
      <c r="F5" s="3301">
        <v>63000</v>
      </c>
      <c r="G5" s="3301">
        <v>175.96</v>
      </c>
      <c r="H5" s="3301">
        <v>1108</v>
      </c>
      <c r="I5" s="3301" t="s">
        <v>3942</v>
      </c>
      <c r="J5" s="3301" t="s">
        <v>3921</v>
      </c>
      <c r="K5" s="3302">
        <v>44895</v>
      </c>
      <c r="L5" s="3303"/>
    </row>
    <row r="6" spans="1:12">
      <c r="A6" s="3301" t="s">
        <v>3918</v>
      </c>
      <c r="B6" s="3301" t="s">
        <v>3858</v>
      </c>
      <c r="C6" s="3301" t="s">
        <v>3924</v>
      </c>
      <c r="D6" s="3301" t="s">
        <v>3933</v>
      </c>
      <c r="E6" s="3301" t="s">
        <v>3946</v>
      </c>
      <c r="F6" s="3301">
        <v>63000</v>
      </c>
      <c r="G6" s="3301">
        <v>202.03</v>
      </c>
      <c r="H6" s="3301">
        <v>1272</v>
      </c>
      <c r="I6" s="3301" t="s">
        <v>3942</v>
      </c>
      <c r="J6" s="3301" t="s">
        <v>3921</v>
      </c>
      <c r="K6" s="3302">
        <v>44896</v>
      </c>
      <c r="L6" s="3303"/>
    </row>
    <row r="7" spans="1:12">
      <c r="A7" s="3301" t="s">
        <v>3918</v>
      </c>
      <c r="B7" s="3301" t="s">
        <v>3858</v>
      </c>
      <c r="C7" s="3301" t="s">
        <v>3924</v>
      </c>
      <c r="D7" s="3301" t="s">
        <v>3933</v>
      </c>
      <c r="E7" s="3301" t="s">
        <v>3947</v>
      </c>
      <c r="F7" s="3301">
        <v>63000</v>
      </c>
      <c r="G7" s="3301">
        <v>70.14</v>
      </c>
      <c r="H7" s="3301">
        <v>441</v>
      </c>
      <c r="I7" s="3301" t="s">
        <v>3942</v>
      </c>
      <c r="J7" s="3301" t="s">
        <v>3921</v>
      </c>
      <c r="K7" s="3302">
        <v>44896</v>
      </c>
      <c r="L7" s="3303"/>
    </row>
    <row r="8" spans="1:12">
      <c r="A8" s="3301" t="s">
        <v>3918</v>
      </c>
      <c r="B8" s="3301" t="s">
        <v>3858</v>
      </c>
      <c r="C8" s="3301" t="s">
        <v>3924</v>
      </c>
      <c r="D8" s="3301" t="s">
        <v>3933</v>
      </c>
      <c r="E8" s="3301" t="s">
        <v>3948</v>
      </c>
      <c r="F8" s="3301">
        <v>63000</v>
      </c>
      <c r="G8" s="3301">
        <v>210.25</v>
      </c>
      <c r="H8" s="3301">
        <v>1324</v>
      </c>
      <c r="I8" s="3301" t="s">
        <v>3942</v>
      </c>
      <c r="J8" s="3301" t="s">
        <v>3921</v>
      </c>
      <c r="K8" s="3302">
        <v>44895</v>
      </c>
      <c r="L8" s="3303"/>
    </row>
    <row r="9" spans="1:12">
      <c r="A9" s="3301" t="s">
        <v>3918</v>
      </c>
      <c r="B9" s="3301" t="s">
        <v>3858</v>
      </c>
      <c r="C9" s="3301" t="s">
        <v>3924</v>
      </c>
      <c r="D9" s="3301" t="s">
        <v>3933</v>
      </c>
      <c r="E9" s="3301" t="s">
        <v>3949</v>
      </c>
      <c r="F9" s="3301">
        <v>63000</v>
      </c>
      <c r="G9" s="3301">
        <v>164.05</v>
      </c>
      <c r="H9" s="3301">
        <v>1033</v>
      </c>
      <c r="I9" s="3301" t="s">
        <v>3942</v>
      </c>
      <c r="J9" s="3301" t="s">
        <v>3921</v>
      </c>
      <c r="K9" s="3302">
        <v>44896</v>
      </c>
      <c r="L9" s="3303"/>
    </row>
    <row r="10" spans="1:12">
      <c r="A10" s="3301" t="s">
        <v>3918</v>
      </c>
      <c r="B10" s="3301" t="s">
        <v>3858</v>
      </c>
      <c r="C10" s="3301" t="s">
        <v>3919</v>
      </c>
      <c r="D10" s="3301" t="s">
        <v>3713</v>
      </c>
      <c r="E10" s="3301" t="s">
        <v>3950</v>
      </c>
      <c r="F10" s="3301">
        <v>63000</v>
      </c>
      <c r="G10" s="3301">
        <v>441.6</v>
      </c>
      <c r="H10" s="3301">
        <v>2782</v>
      </c>
      <c r="I10" s="3301" t="s">
        <v>3942</v>
      </c>
      <c r="J10" s="3301" t="s">
        <v>3921</v>
      </c>
      <c r="K10" s="3302">
        <v>44530</v>
      </c>
      <c r="L10" s="3303"/>
    </row>
    <row r="11" spans="1:12">
      <c r="A11" s="3301" t="s">
        <v>3918</v>
      </c>
      <c r="B11" s="3301" t="s">
        <v>3858</v>
      </c>
      <c r="C11" s="3301" t="s">
        <v>3919</v>
      </c>
      <c r="D11" s="3301" t="s">
        <v>3927</v>
      </c>
      <c r="E11" s="3301" t="s">
        <v>3951</v>
      </c>
      <c r="F11" s="3301">
        <v>61500</v>
      </c>
      <c r="G11" s="3301">
        <v>1135.4000000000001</v>
      </c>
      <c r="H11" s="3301">
        <v>6982</v>
      </c>
      <c r="I11" s="3301" t="s">
        <v>3942</v>
      </c>
      <c r="J11" s="3301" t="s">
        <v>3921</v>
      </c>
      <c r="K11" s="3302">
        <v>44398</v>
      </c>
      <c r="L11" s="3303"/>
    </row>
    <row r="12" spans="1:12">
      <c r="A12" s="3301" t="s">
        <v>3918</v>
      </c>
      <c r="B12" s="3301" t="s">
        <v>3858</v>
      </c>
      <c r="C12" s="3301" t="s">
        <v>3924</v>
      </c>
      <c r="D12" s="3301" t="s">
        <v>3952</v>
      </c>
      <c r="E12" s="3301" t="s">
        <v>3953</v>
      </c>
      <c r="F12" s="3301">
        <v>56000</v>
      </c>
      <c r="G12" s="3301">
        <v>74.36</v>
      </c>
      <c r="H12" s="3301">
        <v>416</v>
      </c>
      <c r="I12" s="3301" t="s">
        <v>3942</v>
      </c>
      <c r="J12" s="3301" t="s">
        <v>3921</v>
      </c>
      <c r="K12" s="3302">
        <v>44777</v>
      </c>
      <c r="L12" s="3303"/>
    </row>
    <row r="13" spans="1:12">
      <c r="A13" s="3301" t="s">
        <v>3918</v>
      </c>
      <c r="B13" s="3301" t="s">
        <v>3858</v>
      </c>
      <c r="C13" s="3301" t="s">
        <v>3924</v>
      </c>
      <c r="D13" s="3301" t="s">
        <v>3952</v>
      </c>
      <c r="E13" s="3301" t="s">
        <v>3954</v>
      </c>
      <c r="F13" s="3301">
        <v>56000</v>
      </c>
      <c r="G13" s="3301">
        <v>84.86</v>
      </c>
      <c r="H13" s="3301">
        <v>475</v>
      </c>
      <c r="I13" s="3301" t="s">
        <v>3942</v>
      </c>
      <c r="J13" s="3301" t="s">
        <v>3921</v>
      </c>
      <c r="K13" s="3302">
        <v>44777</v>
      </c>
      <c r="L13" s="3303"/>
    </row>
    <row r="14" spans="1:12">
      <c r="A14" s="3301" t="s">
        <v>3918</v>
      </c>
      <c r="B14" s="3301" t="s">
        <v>3858</v>
      </c>
      <c r="C14" s="3301" t="s">
        <v>3924</v>
      </c>
      <c r="D14" s="3301" t="s">
        <v>3952</v>
      </c>
      <c r="E14" s="3301" t="s">
        <v>3955</v>
      </c>
      <c r="F14" s="3301">
        <v>56000</v>
      </c>
      <c r="G14" s="3301">
        <v>74.36</v>
      </c>
      <c r="H14" s="3301">
        <v>416</v>
      </c>
      <c r="I14" s="3301" t="s">
        <v>3942</v>
      </c>
      <c r="J14" s="3301" t="s">
        <v>3921</v>
      </c>
      <c r="K14" s="3302">
        <v>44777</v>
      </c>
      <c r="L14" s="3303"/>
    </row>
    <row r="15" spans="1:12">
      <c r="A15" s="3301" t="s">
        <v>3918</v>
      </c>
      <c r="B15" s="3301" t="s">
        <v>3858</v>
      </c>
      <c r="C15" s="3301" t="s">
        <v>3924</v>
      </c>
      <c r="D15" s="3301" t="s">
        <v>3952</v>
      </c>
      <c r="E15" s="3301" t="s">
        <v>3956</v>
      </c>
      <c r="F15" s="3301">
        <v>56000</v>
      </c>
      <c r="G15" s="3301">
        <v>91.04</v>
      </c>
      <c r="H15" s="3301">
        <v>509</v>
      </c>
      <c r="I15" s="3301" t="s">
        <v>3942</v>
      </c>
      <c r="J15" s="3301" t="s">
        <v>3921</v>
      </c>
      <c r="K15" s="3302">
        <v>44777</v>
      </c>
      <c r="L15" s="3303"/>
    </row>
    <row r="16" spans="1:12">
      <c r="A16" s="3301" t="s">
        <v>3918</v>
      </c>
      <c r="B16" s="3301" t="s">
        <v>3858</v>
      </c>
      <c r="C16" s="3301" t="s">
        <v>3924</v>
      </c>
      <c r="D16" s="3301" t="s">
        <v>3952</v>
      </c>
      <c r="E16" s="3301" t="s">
        <v>3957</v>
      </c>
      <c r="F16" s="3301">
        <v>56000</v>
      </c>
      <c r="G16" s="3301">
        <v>74.36</v>
      </c>
      <c r="H16" s="3301">
        <v>416</v>
      </c>
      <c r="I16" s="3301" t="s">
        <v>3942</v>
      </c>
      <c r="J16" s="3301" t="s">
        <v>3921</v>
      </c>
      <c r="K16" s="3302">
        <v>44777</v>
      </c>
      <c r="L16" s="3303"/>
    </row>
    <row r="17" spans="1:12">
      <c r="A17" s="3301" t="s">
        <v>3918</v>
      </c>
      <c r="B17" s="3301" t="s">
        <v>3858</v>
      </c>
      <c r="C17" s="3301" t="s">
        <v>3924</v>
      </c>
      <c r="D17" s="3301" t="s">
        <v>3952</v>
      </c>
      <c r="E17" s="3301" t="s">
        <v>3958</v>
      </c>
      <c r="F17" s="3301">
        <v>56000</v>
      </c>
      <c r="G17" s="3301">
        <v>72.180000000000007</v>
      </c>
      <c r="H17" s="3301">
        <v>404</v>
      </c>
      <c r="I17" s="3301" t="s">
        <v>3942</v>
      </c>
      <c r="J17" s="3301" t="s">
        <v>3921</v>
      </c>
      <c r="K17" s="3302">
        <v>44777</v>
      </c>
      <c r="L17" s="3303"/>
    </row>
    <row r="18" spans="1:12">
      <c r="A18" s="3301" t="s">
        <v>3918</v>
      </c>
      <c r="B18" s="3301" t="s">
        <v>3858</v>
      </c>
      <c r="C18" s="3301" t="s">
        <v>3924</v>
      </c>
      <c r="D18" s="3301" t="s">
        <v>3952</v>
      </c>
      <c r="E18" s="3301" t="s">
        <v>3959</v>
      </c>
      <c r="F18" s="3301">
        <v>56000</v>
      </c>
      <c r="G18" s="3301">
        <v>91.04</v>
      </c>
      <c r="H18" s="3301">
        <v>509</v>
      </c>
      <c r="I18" s="3301" t="s">
        <v>3942</v>
      </c>
      <c r="J18" s="3301" t="s">
        <v>3921</v>
      </c>
      <c r="K18" s="3302">
        <v>44777</v>
      </c>
      <c r="L18" s="3303"/>
    </row>
    <row r="19" spans="1:12">
      <c r="A19" s="3301" t="s">
        <v>3918</v>
      </c>
      <c r="B19" s="3301" t="s">
        <v>3858</v>
      </c>
      <c r="C19" s="3301" t="s">
        <v>3924</v>
      </c>
      <c r="D19" s="3301" t="s">
        <v>3933</v>
      </c>
      <c r="E19" s="3301" t="s">
        <v>3960</v>
      </c>
      <c r="F19" s="3301">
        <v>51000</v>
      </c>
      <c r="G19" s="3301">
        <v>271.14</v>
      </c>
      <c r="H19" s="3301">
        <v>1382</v>
      </c>
      <c r="I19" s="3301" t="s">
        <v>3942</v>
      </c>
      <c r="J19" s="3301" t="s">
        <v>3921</v>
      </c>
      <c r="K19" s="3302">
        <v>44897</v>
      </c>
      <c r="L19" s="3303"/>
    </row>
    <row r="20" spans="1:12">
      <c r="A20" s="3301" t="s">
        <v>3918</v>
      </c>
      <c r="B20" s="3301" t="s">
        <v>3858</v>
      </c>
      <c r="C20" s="3301" t="s">
        <v>3924</v>
      </c>
      <c r="D20" s="3301" t="s">
        <v>3933</v>
      </c>
      <c r="E20" s="3301" t="s">
        <v>3961</v>
      </c>
      <c r="F20" s="3301">
        <v>51000</v>
      </c>
      <c r="G20" s="3301">
        <v>232.52</v>
      </c>
      <c r="H20" s="3301">
        <v>1185</v>
      </c>
      <c r="I20" s="3301" t="s">
        <v>3942</v>
      </c>
      <c r="J20" s="3301" t="s">
        <v>3921</v>
      </c>
      <c r="K20" s="3302">
        <v>44898</v>
      </c>
      <c r="L20" s="3303"/>
    </row>
    <row r="21" spans="1:12">
      <c r="A21" s="3301" t="s">
        <v>3918</v>
      </c>
      <c r="B21" s="3301" t="s">
        <v>3858</v>
      </c>
      <c r="C21" s="3301" t="s">
        <v>3924</v>
      </c>
      <c r="D21" s="3301" t="s">
        <v>3933</v>
      </c>
      <c r="E21" s="3301" t="s">
        <v>3962</v>
      </c>
      <c r="F21" s="3301">
        <v>51000</v>
      </c>
      <c r="G21" s="3301">
        <v>113.38</v>
      </c>
      <c r="H21" s="3301">
        <v>578</v>
      </c>
      <c r="I21" s="3301" t="s">
        <v>3942</v>
      </c>
      <c r="J21" s="3301" t="s">
        <v>3921</v>
      </c>
      <c r="K21" s="3302">
        <v>44896</v>
      </c>
      <c r="L21" s="3303"/>
    </row>
    <row r="22" spans="1:12">
      <c r="A22" s="3301" t="s">
        <v>3918</v>
      </c>
      <c r="B22" s="3301" t="s">
        <v>3858</v>
      </c>
      <c r="C22" s="3301" t="s">
        <v>3924</v>
      </c>
      <c r="D22" s="3301" t="s">
        <v>3933</v>
      </c>
      <c r="E22" s="3301" t="s">
        <v>3963</v>
      </c>
      <c r="F22" s="3301">
        <v>51000</v>
      </c>
      <c r="G22" s="3301">
        <v>145.32</v>
      </c>
      <c r="H22" s="3301">
        <v>741</v>
      </c>
      <c r="I22" s="3301" t="s">
        <v>3942</v>
      </c>
      <c r="J22" s="3301" t="s">
        <v>3921</v>
      </c>
      <c r="K22" s="3302">
        <v>44898</v>
      </c>
      <c r="L22" s="3303"/>
    </row>
    <row r="23" spans="1:12">
      <c r="A23" s="3301" t="s">
        <v>3918</v>
      </c>
      <c r="B23" s="3301" t="s">
        <v>3858</v>
      </c>
      <c r="C23" s="3301" t="s">
        <v>3924</v>
      </c>
      <c r="D23" s="3301" t="s">
        <v>3933</v>
      </c>
      <c r="E23" s="3301" t="s">
        <v>3964</v>
      </c>
      <c r="F23" s="3301">
        <v>51000</v>
      </c>
      <c r="G23" s="3301">
        <v>271.14</v>
      </c>
      <c r="H23" s="3301">
        <v>1382</v>
      </c>
      <c r="I23" s="3301" t="s">
        <v>3942</v>
      </c>
      <c r="J23" s="3301" t="s">
        <v>3921</v>
      </c>
      <c r="K23" s="3302">
        <v>44898</v>
      </c>
      <c r="L23" s="3303"/>
    </row>
    <row r="24" spans="1:12">
      <c r="A24" s="3301" t="s">
        <v>3918</v>
      </c>
      <c r="B24" s="3301" t="s">
        <v>3858</v>
      </c>
      <c r="C24" s="3301" t="s">
        <v>3924</v>
      </c>
      <c r="D24" s="3301" t="s">
        <v>3933</v>
      </c>
      <c r="E24" s="3301" t="s">
        <v>3965</v>
      </c>
      <c r="F24" s="3301">
        <v>51000</v>
      </c>
      <c r="G24" s="3301">
        <v>203.67</v>
      </c>
      <c r="H24" s="3301">
        <v>1038</v>
      </c>
      <c r="I24" s="3301" t="s">
        <v>3942</v>
      </c>
      <c r="J24" s="3301" t="s">
        <v>3921</v>
      </c>
      <c r="K24" s="3302">
        <v>44896</v>
      </c>
      <c r="L24" s="3303"/>
    </row>
    <row r="25" spans="1:12">
      <c r="A25" s="3301" t="s">
        <v>3918</v>
      </c>
      <c r="B25" s="3301" t="s">
        <v>3858</v>
      </c>
      <c r="C25" s="3301" t="s">
        <v>3924</v>
      </c>
      <c r="D25" s="3301" t="s">
        <v>3933</v>
      </c>
      <c r="E25" s="3301" t="s">
        <v>3966</v>
      </c>
      <c r="F25" s="3301">
        <v>46500</v>
      </c>
      <c r="G25" s="3301">
        <v>86</v>
      </c>
      <c r="H25" s="3301">
        <v>399</v>
      </c>
      <c r="I25" s="3301" t="s">
        <v>3942</v>
      </c>
      <c r="J25" s="3301" t="s">
        <v>3921</v>
      </c>
      <c r="K25" s="3302">
        <v>44897</v>
      </c>
      <c r="L25" s="3303"/>
    </row>
    <row r="26" spans="1:12">
      <c r="A26" s="3301" t="s">
        <v>3918</v>
      </c>
      <c r="B26" s="3301" t="s">
        <v>3858</v>
      </c>
      <c r="C26" s="3301" t="s">
        <v>3919</v>
      </c>
      <c r="D26" s="3301" t="s">
        <v>3935</v>
      </c>
      <c r="E26" s="3301" t="s">
        <v>3967</v>
      </c>
      <c r="F26" s="3301">
        <v>35200</v>
      </c>
      <c r="G26" s="3301">
        <v>2251.48</v>
      </c>
      <c r="H26" s="3301">
        <v>7925</v>
      </c>
      <c r="I26" s="3301" t="s">
        <v>3942</v>
      </c>
      <c r="J26" s="3301" t="s">
        <v>3921</v>
      </c>
      <c r="K26" s="3302">
        <v>44799</v>
      </c>
      <c r="L26" s="3303"/>
    </row>
  </sheetData>
  <phoneticPr fontId="13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6"/>
  <sheetViews>
    <sheetView workbookViewId="0">
      <selection activeCell="J25" sqref="J25"/>
    </sheetView>
  </sheetViews>
  <sheetFormatPr defaultColWidth="9" defaultRowHeight="13.5"/>
  <cols>
    <col min="1" max="16384" width="9" style="3295"/>
  </cols>
  <sheetData>
    <row r="16" spans="1:1">
      <c r="A16" s="3295" t="s">
        <v>3968</v>
      </c>
    </row>
  </sheetData>
  <phoneticPr fontId="1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W127"/>
  <sheetViews>
    <sheetView workbookViewId="0">
      <selection activeCell="B22" sqref="B22"/>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3344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3345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3349</v>
      </c>
    </row>
    <row r="8" spans="1:23">
      <c r="A8" s="1438" t="s">
        <v>1026</v>
      </c>
      <c r="B8" s="1438" t="s">
        <v>1027</v>
      </c>
      <c r="C8" s="1439" t="s">
        <v>319</v>
      </c>
      <c r="F8" s="1440" t="s">
        <v>1028</v>
      </c>
      <c r="H8" s="1440" t="s">
        <v>2580</v>
      </c>
      <c r="I8" s="1440" t="s">
        <v>3350</v>
      </c>
    </row>
    <row r="9" spans="1:23">
      <c r="A9" s="1438" t="s">
        <v>1029</v>
      </c>
      <c r="B9" s="1438" t="s">
        <v>1030</v>
      </c>
      <c r="C9" s="1439" t="s">
        <v>320</v>
      </c>
      <c r="F9" s="1440" t="s">
        <v>1031</v>
      </c>
      <c r="H9" s="1440"/>
      <c r="I9" s="1442" t="s">
        <v>3351</v>
      </c>
    </row>
    <row r="10" spans="1:23">
      <c r="A10" s="1438" t="s">
        <v>1032</v>
      </c>
      <c r="B10" s="1438" t="s">
        <v>1033</v>
      </c>
      <c r="C10" s="1439" t="s">
        <v>321</v>
      </c>
      <c r="F10" s="1440" t="s">
        <v>2581</v>
      </c>
      <c r="I10" s="1442" t="s">
        <v>3352</v>
      </c>
    </row>
    <row r="11" spans="1:23">
      <c r="A11" s="1438" t="s">
        <v>1034</v>
      </c>
      <c r="B11" s="1438" t="s">
        <v>1035</v>
      </c>
      <c r="C11" s="1439" t="s">
        <v>322</v>
      </c>
      <c r="F11" s="1440" t="s">
        <v>13</v>
      </c>
      <c r="I11" s="1442" t="s">
        <v>3353</v>
      </c>
    </row>
    <row r="12" spans="1:23">
      <c r="A12" s="1438" t="s">
        <v>1036</v>
      </c>
      <c r="B12" s="1438" t="s">
        <v>1037</v>
      </c>
      <c r="C12" s="1439" t="s">
        <v>323</v>
      </c>
      <c r="I12" s="1442" t="s">
        <v>3354</v>
      </c>
    </row>
    <row r="13" spans="1:23">
      <c r="A13" s="1438" t="s">
        <v>1038</v>
      </c>
      <c r="B13" s="1438" t="s">
        <v>1039</v>
      </c>
      <c r="C13" s="1439" t="s">
        <v>324</v>
      </c>
      <c r="I13" s="1442" t="s">
        <v>3355</v>
      </c>
    </row>
    <row r="14" spans="1:23">
      <c r="A14" s="1438" t="s">
        <v>1040</v>
      </c>
      <c r="B14" s="1438" t="s">
        <v>1041</v>
      </c>
      <c r="C14" s="1440" t="s">
        <v>13</v>
      </c>
      <c r="I14" s="1442" t="s">
        <v>3356</v>
      </c>
    </row>
    <row r="15" spans="1:23">
      <c r="A15" s="1438" t="s">
        <v>1042</v>
      </c>
      <c r="B15" s="1438" t="s">
        <v>1043</v>
      </c>
      <c r="C15" s="1439"/>
      <c r="I15" s="1442" t="s">
        <v>3357</v>
      </c>
    </row>
    <row r="16" spans="1:23">
      <c r="A16" s="1438" t="s">
        <v>1044</v>
      </c>
      <c r="B16" s="1438" t="s">
        <v>312</v>
      </c>
      <c r="C16" s="1439"/>
    </row>
    <row r="17" spans="1:3">
      <c r="A17" s="1438" t="s">
        <v>1045</v>
      </c>
      <c r="B17" s="1438" t="s">
        <v>2293</v>
      </c>
      <c r="C17" s="1439"/>
    </row>
    <row r="18" spans="1:3">
      <c r="A18" s="1438" t="s">
        <v>1046</v>
      </c>
      <c r="B18" s="1438" t="s">
        <v>2436</v>
      </c>
      <c r="C18" s="1439"/>
    </row>
    <row r="19" spans="1:3">
      <c r="A19" s="1438" t="s">
        <v>1047</v>
      </c>
      <c r="B19" s="1438" t="s">
        <v>3696</v>
      </c>
      <c r="C19" s="1439"/>
    </row>
    <row r="20" spans="1:3">
      <c r="A20" s="1438" t="s">
        <v>1048</v>
      </c>
      <c r="B20" s="1438" t="s">
        <v>3698</v>
      </c>
      <c r="C20" s="1439"/>
    </row>
    <row r="21" spans="1:3">
      <c r="A21" s="1438" t="s">
        <v>1049</v>
      </c>
      <c r="B21" s="1438" t="s">
        <v>3700</v>
      </c>
      <c r="C21" s="1439"/>
    </row>
    <row r="22" spans="1:3">
      <c r="A22" s="1438" t="s">
        <v>1050</v>
      </c>
      <c r="B22" s="1438" t="s">
        <v>3704</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8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5"/>
      <c r="B54" s="1444" t="s">
        <v>385</v>
      </c>
      <c r="C54" s="1442" t="s">
        <v>583</v>
      </c>
    </row>
    <row r="55" spans="1:4">
      <c r="A55" s="3385"/>
      <c r="B55" s="1444" t="s">
        <v>386</v>
      </c>
      <c r="C55" s="1442" t="s">
        <v>584</v>
      </c>
    </row>
    <row r="56" spans="1:4">
      <c r="A56" s="3385"/>
      <c r="B56" s="1444" t="s">
        <v>387</v>
      </c>
      <c r="C56" s="1442" t="s">
        <v>588</v>
      </c>
    </row>
    <row r="57" spans="1:4">
      <c r="A57" s="338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1" t="s">
        <v>2596</v>
      </c>
      <c r="J1" s="2780"/>
      <c r="K1" s="2780"/>
      <c r="L1" s="2780"/>
      <c r="M1" s="2780"/>
      <c r="N1" s="2965"/>
      <c r="O1" s="2965"/>
      <c r="P1" s="2965"/>
      <c r="Q1" s="2965"/>
      <c r="R1" s="2965"/>
    </row>
    <row r="2" spans="1:18">
      <c r="A2" s="2757"/>
      <c r="B2" s="2758"/>
      <c r="C2" s="2758"/>
      <c r="D2" s="2758"/>
      <c r="E2" s="2758"/>
      <c r="F2" s="2759"/>
      <c r="I2" s="3386" t="s">
        <v>2583</v>
      </c>
      <c r="J2" s="3386"/>
      <c r="K2" s="3386"/>
      <c r="L2" s="3386"/>
      <c r="M2" s="3386"/>
      <c r="N2" s="3386"/>
      <c r="O2" s="3386"/>
      <c r="P2" s="3386"/>
      <c r="Q2" s="3386"/>
      <c r="R2" s="3386"/>
    </row>
    <row r="3" spans="1:18">
      <c r="A3" s="2760" t="s">
        <v>2504</v>
      </c>
      <c r="B3" s="2761">
        <f>项目基本情况!D3</f>
        <v>45291</v>
      </c>
      <c r="C3" s="2763"/>
      <c r="D3" s="2763"/>
      <c r="E3" s="2763"/>
      <c r="F3" s="2759"/>
      <c r="I3" s="2775"/>
      <c r="J3" s="2775" t="s">
        <v>2587</v>
      </c>
      <c r="K3" s="2775" t="s">
        <v>2588</v>
      </c>
      <c r="L3" s="2775" t="s">
        <v>2589</v>
      </c>
      <c r="M3" s="2775" t="s">
        <v>2590</v>
      </c>
      <c r="N3" s="3132" t="s">
        <v>2591</v>
      </c>
      <c r="O3" s="3132" t="s">
        <v>2592</v>
      </c>
      <c r="P3" s="3132" t="s">
        <v>2593</v>
      </c>
      <c r="Q3" s="3132" t="s">
        <v>2594</v>
      </c>
      <c r="R3" s="3132"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2.96</v>
      </c>
      <c r="D5" s="2765">
        <f>IF(ISERROR(ROUND(POWER(1+E5,A5-C5)*(POWER(1+E5,C5)-1)/(POWER(1+E5,A5)-1),3)),0,ROUND(POWER(1+E5,A5-C5)*(POWER(1+E5,C5)-1)/(POWER(1+E5,A5)-1),4))</f>
        <v>0.1384</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12.97</v>
      </c>
      <c r="D6" s="2765">
        <f>IF(ISERROR(ROUND(POWER(1+E6,A6-C6)*(POWER(1+E6,C6)-1)/(POWER(1+E6,A6)-1),3)),0,ROUND(POWER(1+E6,A6-C6)*(POWER(1+E6,C6)-1)/(POWER(1+E6,A6)-1),4))</f>
        <v>0.46400000000000002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32.99</v>
      </c>
      <c r="D7" s="2765">
        <f>IF(ISERROR(ROUND(POWER(1+E7,A7-C7)*(POWER(1+E7,C7)-1)/(POWER(1+E7,A7)-1),3)),0,ROUND(POWER(1+E7,A7-C7)*(POWER(1+E7,C7)-1)/(POWER(1+E7,A7)-1),4))</f>
        <v>0.77559999999999996</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387" t="str">
        <f>IF(B10="北京市","北京市",C10)&amp;F10&amp;IF(结果表!G1="在建","出让国有建设用地使用权及在建建筑物",IF(结果表!G1="土地","出让国有建设用地使用权",))&amp;B9&amp;"预评估"</f>
        <v>房地产市场价值预评估</v>
      </c>
      <c r="C1" s="3388"/>
      <c r="D1" s="3388"/>
      <c r="E1" s="3388"/>
      <c r="F1" s="3388"/>
      <c r="G1" s="3388"/>
      <c r="H1" s="3388"/>
      <c r="I1" s="3389"/>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房地产市场价值</v>
      </c>
      <c r="T1" s="1615"/>
      <c r="U1" s="1615"/>
      <c r="V1" s="1615"/>
      <c r="W1" s="1615"/>
      <c r="X1" s="1615"/>
      <c r="Y1" s="1615"/>
      <c r="Z1" s="1615"/>
      <c r="AA1" s="1615"/>
      <c r="AB1" s="1615"/>
    </row>
    <row r="2" spans="1:30">
      <c r="A2" s="2179" t="s">
        <v>2169</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房地产</v>
      </c>
      <c r="T2" s="1615"/>
      <c r="U2" s="1615"/>
      <c r="V2" s="1615"/>
      <c r="W2" s="1615"/>
      <c r="X2" s="1615"/>
      <c r="Y2" s="1615"/>
      <c r="Z2" s="1615"/>
      <c r="AA2" s="1615"/>
      <c r="AB2" s="1615"/>
    </row>
    <row r="3" spans="1:30">
      <c r="A3" s="294" t="s">
        <v>2170</v>
      </c>
      <c r="B3" s="2182"/>
      <c r="C3" s="2183" t="s">
        <v>2171</v>
      </c>
      <c r="D3" s="2182">
        <v>45291</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3445</v>
      </c>
      <c r="C8" s="2198"/>
      <c r="D8" s="3390" t="s">
        <v>2177</v>
      </c>
      <c r="E8" s="2199"/>
      <c r="F8" s="2200"/>
      <c r="G8" s="2439"/>
      <c r="H8" s="2439"/>
      <c r="I8" s="2439"/>
      <c r="J8" s="2242"/>
      <c r="K8" s="2397"/>
      <c r="L8" s="2396"/>
      <c r="M8" s="2396"/>
      <c r="N8" s="2242"/>
      <c r="O8" s="1667"/>
      <c r="P8" s="2242"/>
      <c r="Q8" s="2242"/>
      <c r="R8" s="2242"/>
    </row>
    <row r="9" spans="1:30" ht="13.5" thickBot="1">
      <c r="A9" s="2201" t="s">
        <v>2178</v>
      </c>
      <c r="B9" s="2202" t="s">
        <v>3446</v>
      </c>
      <c r="C9" s="2203"/>
      <c r="D9" s="3391"/>
      <c r="E9" s="2202"/>
      <c r="F9" s="2204"/>
      <c r="G9" s="2440"/>
      <c r="H9" s="2440"/>
      <c r="I9" s="2440"/>
      <c r="J9" s="2242"/>
      <c r="K9" s="2399"/>
      <c r="L9" s="2396"/>
      <c r="M9" s="2396"/>
      <c r="N9" s="2242"/>
      <c r="O9" s="1667"/>
      <c r="P9" s="2242"/>
      <c r="Q9" s="2242"/>
      <c r="R9" s="2242"/>
    </row>
    <row r="10" spans="1:30" ht="13.5" thickTop="1">
      <c r="A10" s="2205" t="s">
        <v>2179</v>
      </c>
      <c r="B10" s="2206" t="s">
        <v>3447</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3448</v>
      </c>
      <c r="C11" s="2211"/>
      <c r="D11" s="2212"/>
      <c r="E11" s="2179"/>
      <c r="F11" s="2179"/>
      <c r="G11" s="2179"/>
      <c r="H11" s="2179"/>
      <c r="I11" s="2179"/>
      <c r="J11" s="2799"/>
      <c r="K11" s="2396"/>
      <c r="L11" s="2396"/>
      <c r="M11" s="2396"/>
      <c r="N11" s="2242"/>
      <c r="O11" s="1667"/>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67"/>
      <c r="O12" s="2242"/>
      <c r="P12" s="2242"/>
      <c r="Q12" s="2242"/>
      <c r="AD12" s="1615"/>
    </row>
    <row r="13" spans="1:30">
      <c r="A13" s="3118" t="s">
        <v>3339</v>
      </c>
      <c r="B13" s="2215" t="s">
        <v>2190</v>
      </c>
      <c r="C13" s="800"/>
      <c r="D13" s="800">
        <v>54787</v>
      </c>
      <c r="E13" s="800">
        <v>58439</v>
      </c>
      <c r="F13" s="800">
        <v>58439</v>
      </c>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1"/>
      <c r="K14" s="2396"/>
      <c r="L14" s="2396"/>
      <c r="M14" s="2242"/>
      <c r="N14" s="1667"/>
      <c r="O14" s="2242"/>
      <c r="P14" s="2242"/>
      <c r="Q14" s="2242"/>
      <c r="AD14" s="1615"/>
    </row>
    <row r="15" spans="1:30">
      <c r="A15" s="312"/>
      <c r="B15" s="2217" t="s">
        <v>2192</v>
      </c>
      <c r="C15" s="2218" t="str">
        <f>IF(A13="出让",IF(C13="","",ROUNDDOWN(MIN((C13-$D$3)/365,C14),2)),C14)</f>
        <v/>
      </c>
      <c r="D15" s="2218">
        <f>IF(A13="出让",IF(D13="","",ROUNDDOWN(MIN((D13-$D$3)/365,D14),2)),D14)</f>
        <v>26.01</v>
      </c>
      <c r="E15" s="2218">
        <f>IF(A13="出让",IF(E13="","",ROUNDDOWN(MIN((E13-$D$3)/365,E14),2)),E14)</f>
        <v>36.020000000000003</v>
      </c>
      <c r="F15" s="2218">
        <f>IF(A13="出让",IF(F13="","",ROUNDDOWN(MIN((F13-$D$3)/365,F14),2)),F14)</f>
        <v>36.020000000000003</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397"/>
      <c r="C16" s="3398"/>
      <c r="D16" s="3399"/>
      <c r="E16" s="2219" t="s">
        <v>2194</v>
      </c>
      <c r="F16" s="3400"/>
      <c r="G16" s="3401"/>
      <c r="H16" s="3401"/>
      <c r="I16" s="3402"/>
      <c r="J16" s="2242"/>
      <c r="K16" s="2400"/>
      <c r="L16" s="1667"/>
      <c r="M16" s="1667"/>
      <c r="N16" s="2242"/>
      <c r="O16" s="1667"/>
      <c r="P16" s="2242"/>
      <c r="Q16" s="2242"/>
      <c r="R16" s="2242"/>
    </row>
    <row r="17" spans="1:28">
      <c r="A17" s="305" t="s">
        <v>2195</v>
      </c>
      <c r="B17" s="294" t="s">
        <v>2196</v>
      </c>
      <c r="C17" s="8">
        <f>'数据-汇总表'!E3</f>
        <v>11833.989999999994</v>
      </c>
      <c r="D17" s="1253" t="s">
        <v>2197</v>
      </c>
      <c r="E17" s="3403" t="s">
        <v>2198</v>
      </c>
      <c r="F17" s="3404"/>
      <c r="G17" s="3404"/>
      <c r="H17" s="3404"/>
      <c r="I17" s="3405"/>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3457.51</v>
      </c>
      <c r="D18" s="1026" t="s">
        <v>2201</v>
      </c>
      <c r="E18" s="3406" t="s">
        <v>2202</v>
      </c>
      <c r="F18" s="3407"/>
      <c r="G18" s="3407"/>
      <c r="H18" s="3407"/>
      <c r="I18" s="3408"/>
      <c r="J18" s="2242"/>
      <c r="K18" s="2401"/>
      <c r="L18" s="1667"/>
      <c r="M18" s="1667"/>
      <c r="N18" s="2242"/>
      <c r="O18" s="1667"/>
      <c r="P18" s="2242"/>
      <c r="Q18" s="2242"/>
      <c r="R18" s="2242"/>
      <c r="S18" s="2242"/>
      <c r="T18" s="2242"/>
      <c r="U18" s="2242"/>
      <c r="V18" s="2242"/>
    </row>
    <row r="19" spans="1:28" ht="37.5" thickTop="1" thickBot="1">
      <c r="A19" s="319" t="s">
        <v>1055</v>
      </c>
      <c r="B19" s="299"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393" t="s">
        <v>2206</v>
      </c>
      <c r="C20" s="3394"/>
      <c r="D20" s="3395" t="s">
        <v>2207</v>
      </c>
      <c r="E20" s="3396"/>
      <c r="F20" s="2427" t="s">
        <v>1056</v>
      </c>
      <c r="G20" s="2439"/>
      <c r="H20" s="2439"/>
      <c r="I20" s="2439"/>
      <c r="J20" s="2242"/>
      <c r="K20" s="33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3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3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410" t="s">
        <v>2214</v>
      </c>
      <c r="B27" s="312" t="s">
        <v>2215</v>
      </c>
      <c r="C27" s="2222" t="s">
        <v>3449</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410"/>
      <c r="B28" s="294"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410"/>
      <c r="B29" s="294"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411"/>
      <c r="B30" s="294" t="s">
        <v>2218</v>
      </c>
      <c r="C30" s="3412"/>
      <c r="D30" s="3413"/>
      <c r="E30" s="2439"/>
      <c r="F30" s="2439"/>
      <c r="G30" s="2439"/>
      <c r="H30" s="2439"/>
      <c r="I30" s="2439"/>
      <c r="J30" s="2242"/>
      <c r="K30" s="2399"/>
      <c r="L30" s="2396"/>
      <c r="M30" s="2396"/>
      <c r="N30" s="2242"/>
      <c r="O30" s="1667"/>
      <c r="P30" s="2242"/>
      <c r="Q30" s="2242"/>
      <c r="R30" s="2242"/>
      <c r="S30" s="2242"/>
      <c r="T30" s="2242"/>
      <c r="U30" s="2242"/>
      <c r="V30" s="2242"/>
    </row>
    <row r="31" spans="1:28">
      <c r="A31" s="3414" t="s">
        <v>2219</v>
      </c>
      <c r="B31" s="2228" t="s">
        <v>3450</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415"/>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415"/>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409" t="s">
        <v>2228</v>
      </c>
      <c r="T34" s="315" t="str">
        <f>NUMBERSTRING(7-K34,1)&amp;"通"</f>
        <v>七通</v>
      </c>
      <c r="U34" s="2242"/>
      <c r="V34" s="2242"/>
    </row>
    <row r="35" spans="1:30">
      <c r="A35" s="2233"/>
      <c r="B35" s="3409" t="s">
        <v>2229</v>
      </c>
      <c r="C35" s="3409"/>
      <c r="D35" s="3409"/>
      <c r="E35" s="340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09"/>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67"/>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3" customFormat="1">
      <c r="A44" s="1459"/>
      <c r="B44" s="1459"/>
      <c r="C44" s="628"/>
      <c r="D44" s="628"/>
      <c r="E44" s="628"/>
      <c r="F44" s="628"/>
      <c r="G44" s="628"/>
      <c r="H44" s="628"/>
      <c r="I44" s="628"/>
      <c r="J44" s="2240"/>
      <c r="K44" s="2241"/>
      <c r="L44" s="2241"/>
      <c r="M44" s="628"/>
      <c r="N44" s="628"/>
      <c r="O44" s="628"/>
      <c r="P44" s="628"/>
      <c r="Q44" s="628"/>
      <c r="R44" s="628"/>
      <c r="S44" s="2242"/>
      <c r="T44" s="2242"/>
      <c r="U44" s="2242"/>
      <c r="V44" s="2242"/>
    </row>
    <row r="45" spans="1:30" s="1613" customFormat="1">
      <c r="A45" s="1459"/>
      <c r="B45" s="1459"/>
      <c r="C45" s="628"/>
      <c r="D45" s="628"/>
      <c r="E45" s="628"/>
      <c r="F45" s="628"/>
      <c r="G45" s="628"/>
      <c r="H45" s="628"/>
      <c r="I45" s="628"/>
      <c r="J45" s="2240"/>
      <c r="K45" s="2241"/>
      <c r="L45" s="2241"/>
      <c r="M45" s="628"/>
      <c r="N45" s="628"/>
      <c r="O45" s="628"/>
      <c r="P45" s="628"/>
      <c r="Q45" s="628"/>
      <c r="R45" s="628"/>
      <c r="S45" s="2242"/>
      <c r="T45" s="2242"/>
      <c r="U45" s="2242"/>
      <c r="V45" s="2242"/>
    </row>
    <row r="46" spans="1:30" s="1613" customFormat="1">
      <c r="A46" s="1459"/>
      <c r="B46" s="1459"/>
      <c r="C46" s="628"/>
      <c r="D46" s="628"/>
      <c r="E46" s="628"/>
      <c r="F46" s="628"/>
      <c r="G46" s="628"/>
      <c r="H46" s="628"/>
      <c r="I46" s="628"/>
      <c r="J46" s="2240"/>
      <c r="K46" s="2241"/>
      <c r="L46" s="2241"/>
      <c r="M46" s="628"/>
      <c r="N46" s="628"/>
      <c r="O46" s="628"/>
      <c r="P46" s="628"/>
      <c r="Q46" s="628"/>
      <c r="R46" s="628"/>
      <c r="S46" s="2242"/>
      <c r="T46" s="2242"/>
      <c r="U46" s="2242"/>
      <c r="V46" s="2242"/>
    </row>
    <row r="47" spans="1:30" s="1613" customFormat="1">
      <c r="A47" s="1459"/>
      <c r="B47" s="1459"/>
      <c r="C47" s="628"/>
      <c r="D47" s="628"/>
      <c r="E47" s="628"/>
      <c r="F47" s="628"/>
      <c r="G47" s="628"/>
      <c r="H47" s="628"/>
      <c r="I47" s="628"/>
      <c r="J47" s="2240"/>
      <c r="K47" s="2241"/>
      <c r="L47" s="2241"/>
      <c r="M47" s="628"/>
      <c r="N47" s="628"/>
      <c r="O47" s="628"/>
      <c r="P47" s="628"/>
      <c r="Q47" s="628"/>
      <c r="R47" s="628"/>
      <c r="S47" s="2242"/>
      <c r="T47" s="2242"/>
      <c r="U47" s="2242"/>
      <c r="V47" s="2242"/>
    </row>
    <row r="48" spans="1:30" s="1613" customFormat="1">
      <c r="A48" s="1459"/>
      <c r="B48" s="1459"/>
      <c r="C48" s="628"/>
      <c r="D48" s="628"/>
      <c r="E48" s="628"/>
      <c r="F48" s="628"/>
      <c r="G48" s="628"/>
      <c r="H48" s="628"/>
      <c r="I48" s="628"/>
      <c r="J48" s="2240"/>
      <c r="K48" s="2241"/>
      <c r="L48" s="2241"/>
      <c r="M48" s="628"/>
      <c r="N48" s="628"/>
      <c r="O48" s="628"/>
      <c r="P48" s="628"/>
      <c r="Q48" s="628"/>
      <c r="R48" s="628"/>
      <c r="S48" s="2242"/>
      <c r="T48" s="2242"/>
      <c r="U48" s="2242"/>
      <c r="V48" s="2242"/>
    </row>
    <row r="49" spans="1:22" s="1613" customFormat="1">
      <c r="A49" s="1459"/>
      <c r="B49" s="1459"/>
      <c r="C49" s="628"/>
      <c r="D49" s="628"/>
      <c r="E49" s="628"/>
      <c r="F49" s="628"/>
      <c r="G49" s="628"/>
      <c r="H49" s="628"/>
      <c r="I49" s="628"/>
      <c r="J49" s="2240"/>
      <c r="K49" s="2241"/>
      <c r="L49" s="2241"/>
      <c r="M49" s="628"/>
      <c r="N49" s="628"/>
      <c r="O49" s="628"/>
      <c r="P49" s="628"/>
      <c r="Q49" s="628"/>
      <c r="R49" s="628"/>
      <c r="S49" s="2242"/>
      <c r="T49" s="2242"/>
      <c r="U49" s="2242"/>
      <c r="V49" s="2242"/>
    </row>
    <row r="50" spans="1:22" s="1613" customFormat="1">
      <c r="A50" s="1459"/>
      <c r="B50" s="1459"/>
      <c r="C50" s="628"/>
      <c r="D50" s="628"/>
      <c r="E50" s="628"/>
      <c r="F50" s="628"/>
      <c r="G50" s="628"/>
      <c r="H50" s="628"/>
      <c r="I50" s="628"/>
      <c r="J50" s="2240"/>
      <c r="K50" s="2241"/>
      <c r="L50" s="2241"/>
      <c r="M50" s="628"/>
      <c r="N50" s="628"/>
      <c r="O50" s="628"/>
      <c r="P50" s="628"/>
      <c r="Q50" s="628"/>
      <c r="R50" s="628"/>
      <c r="S50" s="2242"/>
      <c r="T50" s="2242"/>
      <c r="U50" s="2242"/>
      <c r="V50" s="2242"/>
    </row>
    <row r="51" spans="1:22" s="1613" customFormat="1">
      <c r="A51" s="1459"/>
      <c r="B51" s="1459"/>
      <c r="C51" s="628"/>
      <c r="D51" s="628"/>
      <c r="E51" s="628"/>
      <c r="F51" s="628"/>
      <c r="G51" s="628"/>
      <c r="H51" s="628"/>
      <c r="I51" s="628"/>
      <c r="J51" s="2240"/>
      <c r="K51" s="2241"/>
      <c r="L51" s="2241"/>
      <c r="M51" s="628"/>
      <c r="N51" s="628"/>
      <c r="O51" s="628"/>
      <c r="P51" s="628"/>
      <c r="Q51" s="628"/>
      <c r="R51" s="628"/>
    </row>
    <row r="52" spans="1:22" s="1613" customFormat="1">
      <c r="A52" s="1459"/>
      <c r="B52" s="1459"/>
      <c r="C52" s="1459"/>
      <c r="D52" s="1459"/>
      <c r="E52" s="1459"/>
      <c r="F52" s="628"/>
      <c r="G52" s="1459"/>
      <c r="H52" s="1459"/>
      <c r="I52" s="1459"/>
      <c r="J52" s="2243"/>
      <c r="K52" s="2241"/>
      <c r="L52" s="2241"/>
      <c r="M52" s="2241"/>
      <c r="N52" s="1459"/>
      <c r="O52" s="1459"/>
      <c r="P52" s="1459"/>
      <c r="Q52" s="1459"/>
      <c r="R52" s="1459"/>
    </row>
    <row r="53" spans="1:22" s="1613" customFormat="1">
      <c r="A53" s="1459"/>
      <c r="B53" s="1459"/>
      <c r="C53" s="1459"/>
      <c r="D53" s="1459"/>
      <c r="E53" s="1459"/>
      <c r="F53" s="628"/>
      <c r="G53" s="1459"/>
      <c r="H53" s="1459"/>
      <c r="I53" s="1459"/>
      <c r="J53" s="2243"/>
      <c r="K53" s="2241"/>
      <c r="L53" s="2241"/>
      <c r="M53" s="2241"/>
      <c r="N53" s="1459"/>
      <c r="O53" s="1459"/>
      <c r="P53" s="1459"/>
      <c r="Q53" s="1459"/>
      <c r="R53" s="1459"/>
    </row>
    <row r="54" spans="1:22" s="1613" customFormat="1">
      <c r="A54" s="1459"/>
      <c r="B54" s="1459"/>
      <c r="C54" s="1459"/>
      <c r="D54" s="1459"/>
      <c r="E54" s="1459"/>
      <c r="F54" s="628"/>
      <c r="G54" s="1459"/>
      <c r="H54" s="1459"/>
      <c r="I54" s="1459"/>
      <c r="J54" s="2243"/>
      <c r="K54" s="2241"/>
      <c r="L54" s="2241"/>
      <c r="M54" s="2241"/>
      <c r="N54" s="1459"/>
      <c r="O54" s="1459"/>
      <c r="P54" s="1459"/>
      <c r="Q54" s="1459"/>
      <c r="R54" s="1459"/>
    </row>
    <row r="55" spans="1:22" s="1613" customFormat="1">
      <c r="A55" s="1459"/>
      <c r="B55" s="1459"/>
      <c r="C55" s="1459"/>
      <c r="D55" s="1459"/>
      <c r="E55" s="1459"/>
      <c r="F55" s="628"/>
      <c r="G55" s="1459"/>
      <c r="H55" s="1459"/>
      <c r="I55" s="1459"/>
      <c r="J55" s="2243"/>
      <c r="K55" s="2241"/>
      <c r="L55" s="2241"/>
      <c r="M55" s="2241"/>
      <c r="N55" s="1459"/>
      <c r="O55" s="1459"/>
      <c r="P55" s="1459"/>
      <c r="Q55" s="1459"/>
      <c r="R55" s="1459"/>
    </row>
    <row r="56" spans="1:22" s="1613" customFormat="1">
      <c r="A56" s="1459"/>
      <c r="B56" s="1459"/>
      <c r="C56" s="1459"/>
      <c r="D56" s="1459"/>
      <c r="E56" s="1459"/>
      <c r="F56" s="628"/>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1100-000000000000}">
      <formula1>"自然人,企业"</formula1>
    </dataValidation>
    <dataValidation type="list" allowBlank="1" showInputMessage="1" showErrorMessage="1" sqref="B10" xr:uid="{00000000-0002-0000-1100-000001000000}">
      <formula1>"北京市,其他："</formula1>
    </dataValidation>
    <dataValidation type="list" allowBlank="1" showInputMessage="1" showErrorMessage="1" sqref="C27" xr:uid="{00000000-0002-0000-1100-000002000000}">
      <formula1>"居住项目,商业项目,办公项目,工业项目,综合项目（居住、综合）,综合项目（商业、办公）"</formula1>
    </dataValidation>
    <dataValidation type="list" allowBlank="1" showInputMessage="1" showErrorMessage="1" sqref="C29" xr:uid="{00000000-0002-0000-1100-000003000000}">
      <formula1>"否,全部为保障性住房,含保障性住房"</formula1>
    </dataValidation>
    <dataValidation type="list" allowBlank="1" showInputMessage="1" showErrorMessage="1" sqref="C28" xr:uid="{00000000-0002-0000-1100-000004000000}">
      <formula1>"无,低密度住宅,商场,酒店,旅游地产,仓储物流,高新技术产业用地,其他特殊："</formula1>
    </dataValidation>
    <dataValidation type="list" showInputMessage="1" showErrorMessage="1" sqref="B31:B33" xr:uid="{00000000-0002-0000-1100-000005000000}">
      <formula1>"现房,在建,土地,-"</formula1>
    </dataValidation>
    <dataValidation type="list" allowBlank="1" showInputMessage="1" showErrorMessage="1" sqref="B37:F37" xr:uid="{00000000-0002-0000-1100-000006000000}">
      <formula1>土地级别</formula1>
    </dataValidation>
    <dataValidation type="list" allowBlank="1" showInputMessage="1" showErrorMessage="1" sqref="E38" xr:uid="{00000000-0002-0000-1100-000007000000}">
      <formula1>INDIRECT($E$37)</formula1>
    </dataValidation>
    <dataValidation type="list" allowBlank="1" showInputMessage="1" showErrorMessage="1" sqref="B38" xr:uid="{00000000-0002-0000-1100-000008000000}">
      <formula1>INDIRECT(B37)</formula1>
    </dataValidation>
    <dataValidation type="list" allowBlank="1" showInputMessage="1" showErrorMessage="1" sqref="C38" xr:uid="{00000000-0002-0000-1100-000009000000}">
      <formula1>INDIRECT($C$37)</formula1>
    </dataValidation>
    <dataValidation type="list" allowBlank="1" showInputMessage="1" showErrorMessage="1" sqref="D38" xr:uid="{00000000-0002-0000-1100-00000A000000}">
      <formula1>INDIRECT($D$37)</formula1>
    </dataValidation>
    <dataValidation type="list" allowBlank="1" showInputMessage="1" showErrorMessage="1" sqref="B9" xr:uid="{00000000-0002-0000-1100-00000B000000}">
      <formula1>"房地产抵押价值,房地产市场价值"</formula1>
    </dataValidation>
    <dataValidation type="list" allowBlank="1" showInputMessage="1" showErrorMessage="1" sqref="B8" xr:uid="{00000000-0002-0000-1100-00000C000000}">
      <formula1>"抵押,核定资产,出让"</formula1>
    </dataValidation>
    <dataValidation type="list" allowBlank="1" showInputMessage="1" showErrorMessage="1" sqref="H4 B4 F4 D4" xr:uid="{00000000-0002-0000-1100-00000D000000}">
      <formula1>注册房地产估价师</formula1>
    </dataValidation>
    <dataValidation type="list" allowBlank="1" showInputMessage="1" showErrorMessage="1" sqref="E8" xr:uid="{00000000-0002-0000-1100-00000E000000}">
      <formula1>价值类型2</formula1>
    </dataValidation>
    <dataValidation type="list" allowBlank="1" showInputMessage="1" showErrorMessage="1" sqref="E9" xr:uid="{00000000-0002-0000-1100-00000F000000}">
      <formula1>"抵押净值,——"</formula1>
    </dataValidation>
    <dataValidation type="list" allowBlank="1" showInputMessage="1" showErrorMessage="1" sqref="B34:H34" xr:uid="{00000000-0002-0000-1100-000010000000}">
      <formula1>七通一平</formula1>
    </dataValidation>
    <dataValidation type="list" allowBlank="1" showInputMessage="1" showErrorMessage="1" sqref="C19 E19 G19" xr:uid="{00000000-0002-0000-1100-000011000000}">
      <formula1>估价范围判定</formula1>
    </dataValidation>
    <dataValidation type="list" allowBlank="1" showInputMessage="1" showErrorMessage="1" sqref="B21:B22" xr:uid="{00000000-0002-0000-1100-000012000000}">
      <formula1>"《房屋所有权证》,《国有土地使用证》,《不动产权证书》,——"</formula1>
    </dataValidation>
    <dataValidation type="list" allowBlank="1" showInputMessage="1" showErrorMessage="1" sqref="C21:C22 E21" xr:uid="{00000000-0002-0000-1100-000013000000}">
      <formula1>"原件,复印件,——"</formula1>
    </dataValidation>
    <dataValidation type="list" allowBlank="1" showInputMessage="1" showErrorMessage="1" sqref="A13" xr:uid="{00000000-0002-0000-1100-000014000000}">
      <formula1>"出让,划拨"</formula1>
    </dataValidation>
    <dataValidation type="list" allowBlank="1" showInputMessage="1" showErrorMessage="1" sqref="C14:I14" xr:uid="{00000000-0002-0000-1100-000015000000}">
      <formula1>法定最高年限</formula1>
    </dataValidation>
    <dataValidation type="list" allowBlank="1" showInputMessage="1" showErrorMessage="1" sqref="A18" xr:uid="{00000000-0002-0000-1100-000016000000}">
      <formula1>"建筑与土地面积依据相同,——"</formula1>
    </dataValidation>
    <dataValidation type="list" allowBlank="1" showInputMessage="1" showErrorMessage="1" sqref="F38" xr:uid="{00000000-0002-0000-11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面积!Q9</f>
        <v>3457.5099999999984</v>
      </c>
      <c r="B3" s="11">
        <f>IF(C3="否",G5-AT5,G5)</f>
        <v>11833.989999999994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11833.989999999994</v>
      </c>
      <c r="H5" s="13">
        <f t="shared" ref="H5:AT5" si="0">SUM(H13:H656)</f>
        <v>11833.989999999994</v>
      </c>
      <c r="I5" s="13">
        <f t="shared" si="0"/>
        <v>127.79</v>
      </c>
      <c r="J5" s="13">
        <f t="shared" si="0"/>
        <v>0</v>
      </c>
      <c r="K5" s="13">
        <f t="shared" si="0"/>
        <v>1218.17</v>
      </c>
      <c r="L5" s="13">
        <f t="shared" si="0"/>
        <v>0</v>
      </c>
      <c r="M5" s="13">
        <f t="shared" si="0"/>
        <v>9026.5699999999961</v>
      </c>
      <c r="N5" s="13">
        <f t="shared" si="0"/>
        <v>0</v>
      </c>
      <c r="O5" s="13">
        <f t="shared" si="0"/>
        <v>1461.4599999999998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11833.989999999994</v>
      </c>
      <c r="BA5" s="15">
        <f t="shared" si="1"/>
        <v>11833.989999999994</v>
      </c>
      <c r="BB5" s="15">
        <f t="shared" si="1"/>
        <v>127.79</v>
      </c>
      <c r="BC5" s="15">
        <f t="shared" si="1"/>
        <v>1218.17</v>
      </c>
      <c r="BD5" s="15">
        <f t="shared" si="1"/>
        <v>9026.5699999999961</v>
      </c>
      <c r="BE5" s="15">
        <f t="shared" si="1"/>
        <v>1461.4599999999998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3457.51</v>
      </c>
      <c r="F6" s="13" t="s">
        <v>0</v>
      </c>
      <c r="G6" s="13" t="s">
        <v>1</v>
      </c>
      <c r="H6" s="17">
        <f>SUMIF(I$12:AB$12,"总值",I6:AB6)</f>
        <v>3457.51</v>
      </c>
      <c r="I6" s="13">
        <f t="shared" ref="I6:AB6" si="2">ROUND($A$3*I5/$B$3,2)</f>
        <v>37.340000000000003</v>
      </c>
      <c r="J6" s="13">
        <f t="shared" si="2"/>
        <v>0</v>
      </c>
      <c r="K6" s="13">
        <f t="shared" si="2"/>
        <v>355.91</v>
      </c>
      <c r="L6" s="13">
        <f t="shared" si="2"/>
        <v>0</v>
      </c>
      <c r="M6" s="13">
        <f t="shared" si="2"/>
        <v>2637.27</v>
      </c>
      <c r="N6" s="13">
        <f t="shared" si="2"/>
        <v>0</v>
      </c>
      <c r="O6" s="13">
        <f t="shared" si="2"/>
        <v>426.99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3457.51</v>
      </c>
      <c r="AZ6" s="13" t="s">
        <v>2</v>
      </c>
      <c r="BA6" s="13">
        <f>ROUND($AY$6*BA5/$AZ$5,2)</f>
        <v>3457.51</v>
      </c>
      <c r="BB6" s="13">
        <f>ROUND($AY$6*BB5/$AZ$5,2)</f>
        <v>37.340000000000003</v>
      </c>
      <c r="BC6" s="13">
        <f t="shared" ref="BC6:BH6" si="4">ROUND($AY$6*BC5/$AZ$5,2)</f>
        <v>355.91</v>
      </c>
      <c r="BD6" s="13">
        <f t="shared" si="4"/>
        <v>2637.27</v>
      </c>
      <c r="BE6" s="13">
        <f t="shared" si="4"/>
        <v>426.99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3451</v>
      </c>
      <c r="J9" s="758"/>
      <c r="K9" s="1488" t="s">
        <v>3451</v>
      </c>
      <c r="L9" s="758"/>
      <c r="M9" s="1488" t="s">
        <v>3451</v>
      </c>
      <c r="N9" s="758"/>
      <c r="O9" s="1488" t="s">
        <v>3452</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t="s">
        <v>21</v>
      </c>
      <c r="N10" s="758"/>
      <c r="O10" s="1494" t="s">
        <v>3340</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t="s">
        <v>3458</v>
      </c>
      <c r="J11" s="1500"/>
      <c r="K11" s="1499" t="s">
        <v>3458</v>
      </c>
      <c r="L11" s="1500"/>
      <c r="M11" s="1499" t="s">
        <v>3399</v>
      </c>
      <c r="N11" s="1500"/>
      <c r="O11" s="1499" t="s">
        <v>3340</v>
      </c>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办公</v>
      </c>
      <c r="BE11" s="1484" t="str">
        <f>O10</f>
        <v>车库</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t="str">
        <f>K11</f>
        <v>底商</v>
      </c>
      <c r="BD12" s="1509" t="str">
        <f>M11</f>
        <v>办公楼</v>
      </c>
      <c r="BE12" s="1484" t="str">
        <f>O11</f>
        <v>车库</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47" t="s">
        <v>3453</v>
      </c>
      <c r="D13" s="1510" t="s">
        <v>3457</v>
      </c>
      <c r="E13" s="13">
        <f>IF($C$3="是",ROUND($A$3*G13/$B$3,2),ROUND($A$3*(G13-AT13)/$B$3,2))</f>
        <v>37.340000000000003</v>
      </c>
      <c r="F13" s="29"/>
      <c r="G13" s="30">
        <f>H13+AC13+AT13</f>
        <v>127.79</v>
      </c>
      <c r="H13" s="17">
        <f>SUMIF(I$12:AB$12,"总值",I13:AB13)</f>
        <v>127.79</v>
      </c>
      <c r="I13" s="1511">
        <f>面积!E3</f>
        <v>127.79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1层</v>
      </c>
      <c r="AY13" s="1257">
        <f>ROUND($AY$6*AZ13/$AZ$5,2)</f>
        <v>37.340000000000003</v>
      </c>
      <c r="AZ13" s="13">
        <f>BA13+BL13</f>
        <v>127.79</v>
      </c>
      <c r="BA13" s="13">
        <f>SUM(BB13:BK13)</f>
        <v>127.79</v>
      </c>
      <c r="BB13" s="13">
        <f>IF($D13="是",I13-J13,0)</f>
        <v>127.79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47" t="s">
        <v>3454</v>
      </c>
      <c r="D14" s="1510" t="s">
        <v>3457</v>
      </c>
      <c r="E14" s="13">
        <f>IF($C$3="是",ROUND($A$3*G14/$B$3,2),ROUND($A$3*(G14-AT14)/$B$3,2))</f>
        <v>355.91</v>
      </c>
      <c r="F14" s="29"/>
      <c r="G14" s="30">
        <f>H14+AC14+AT14</f>
        <v>1218.17</v>
      </c>
      <c r="H14" s="17">
        <f>SUMIF(I$12:AB$12,"总值",I14:AB14)</f>
        <v>1218.17</v>
      </c>
      <c r="I14" s="1511"/>
      <c r="J14" s="1511"/>
      <c r="K14" s="1511">
        <f>面积!E2</f>
        <v>1218.17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1-2层</v>
      </c>
      <c r="AY14" s="1257">
        <f>ROUND($AY$6*AZ14/$AZ$5,2)</f>
        <v>355.91</v>
      </c>
      <c r="AZ14" s="13">
        <f>BA14+BL14</f>
        <v>1218.17</v>
      </c>
      <c r="BA14" s="13">
        <f>SUM(BB14:BK14)</f>
        <v>1218.17</v>
      </c>
      <c r="BB14" s="13">
        <f>IF($D14="是",I14-J14,0)</f>
        <v>0</v>
      </c>
      <c r="BC14" s="13">
        <f>IF($D14="是",K14-L14,0)</f>
        <v>1218.17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47" t="s">
        <v>3455</v>
      </c>
      <c r="D15" s="1510" t="s">
        <v>3457</v>
      </c>
      <c r="E15" s="13">
        <f>IF($C$3="是",ROUND($A$3*G15/$B$3,2),ROUND($A$3*(G15-AT15)/$B$3,2))</f>
        <v>2637.27</v>
      </c>
      <c r="F15" s="29"/>
      <c r="G15" s="30">
        <f>H15+AC15+AT15</f>
        <v>9026.5699999999961</v>
      </c>
      <c r="H15" s="17">
        <f>SUMIF(I$12:AB$12,"总值",I15:AB15)</f>
        <v>9026.5699999999961</v>
      </c>
      <c r="I15" s="1511"/>
      <c r="J15" s="1511"/>
      <c r="K15" s="1511"/>
      <c r="L15" s="1511"/>
      <c r="M15" s="1511">
        <f>面积!M4</f>
        <v>9026.5699999999961</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2-9层</v>
      </c>
      <c r="AY15" s="1257">
        <f>ROUND($AY$6*AZ15/$AZ$5,2)</f>
        <v>2637.27</v>
      </c>
      <c r="AZ15" s="13">
        <f>BA15+BL15</f>
        <v>9026.5699999999961</v>
      </c>
      <c r="BA15" s="13">
        <f>SUM(BB15:BK15)</f>
        <v>9026.5699999999961</v>
      </c>
      <c r="BB15" s="13">
        <f>IF($D15="是",I15-J15,0)</f>
        <v>0</v>
      </c>
      <c r="BC15" s="13">
        <f>IF($D15="是",K15-L15,0)</f>
        <v>0</v>
      </c>
      <c r="BD15" s="13">
        <f>IF($D15="是",M15-N15,0)</f>
        <v>9026.5699999999961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3147" t="s">
        <v>3456</v>
      </c>
      <c r="D16" s="1510" t="s">
        <v>3457</v>
      </c>
      <c r="E16" s="13">
        <f>IF($C$3="是",ROUND($A$3*G16/$B$3,2),ROUND($A$3*(G16-AT16)/$B$3,2))</f>
        <v>426.99</v>
      </c>
      <c r="F16" s="29"/>
      <c r="G16" s="30">
        <f>H16+AC16+AT16</f>
        <v>1461.4599999999998</v>
      </c>
      <c r="H16" s="17">
        <f>SUMIF(I$12:AB$12,"总值",I16:AB16)</f>
        <v>1461.4599999999998</v>
      </c>
      <c r="I16" s="1511"/>
      <c r="J16" s="1511"/>
      <c r="K16" s="1511"/>
      <c r="L16" s="1511"/>
      <c r="M16" s="1511"/>
      <c r="N16" s="1511"/>
      <c r="O16" s="1511">
        <f>面积!M5</f>
        <v>1461.4599999999998</v>
      </c>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 xml:space="preserve"> -1层</v>
      </c>
      <c r="AY16" s="1257">
        <f>ROUND($AY$6*AZ16/$AZ$5,2)</f>
        <v>426.99</v>
      </c>
      <c r="AZ16" s="13">
        <f>BA16+BL16</f>
        <v>1461.4599999999998</v>
      </c>
      <c r="BA16" s="13">
        <f>SUM(BB16:BK16)</f>
        <v>1461.4599999999998</v>
      </c>
      <c r="BB16" s="13">
        <f>IF($D16="是",I16-J16,0)</f>
        <v>0</v>
      </c>
      <c r="BC16" s="13">
        <f>IF($D16="是",K16-L16,0)</f>
        <v>0</v>
      </c>
      <c r="BD16" s="13">
        <f>IF($D16="是",M16-N16,0)</f>
        <v>0</v>
      </c>
      <c r="BE16" s="13">
        <f>IF($D16="是",O16-P16,0)</f>
        <v>1461.4599999999998</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200-000000000000}">
      <formula1>估价范围判定</formula1>
    </dataValidation>
    <dataValidation type="list" errorStyle="warning" allowBlank="1" showInputMessage="1" showErrorMessage="1" sqref="I9 K9 M9 O9 Q9 S9 U9 W9 Y9 AA9" xr:uid="{00000000-0002-0000-1200-000001000000}">
      <formula1>位置</formula1>
    </dataValidation>
    <dataValidation type="list" allowBlank="1" showErrorMessage="1" sqref="AA10 K10 M10 O10 Q10 S10 U10 W10 Y10" xr:uid="{00000000-0002-0000-1200-000002000000}">
      <formula1>主用途</formula1>
    </dataValidation>
    <dataValidation type="list" allowBlank="1" showInputMessage="1" showErrorMessage="1" sqref="I11 K11 M11 O11 Q11 S11 U11 W11 Y11 AA11" xr:uid="{00000000-0002-0000-1200-000003000000}">
      <formula1>用途明细</formula1>
    </dataValidation>
    <dataValidation type="list" allowBlank="1" showInputMessage="1" showErrorMessage="1" sqref="I10" xr:uid="{00000000-0002-0000-1200-000004000000}">
      <formula1>主用途</formula1>
    </dataValidation>
  </dataValidations>
  <pageMargins left="0.7" right="0.7" top="0.75" bottom="0.75" header="0.3" footer="0.3"/>
  <pageSetup paperSize="9" scale="18"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314" t="str">
        <f>项目基本情况!B1</f>
        <v>房地产市场价值预评估</v>
      </c>
      <c r="C37" s="3314"/>
      <c r="D37" s="3314"/>
      <c r="E37" s="3314"/>
      <c r="F37" s="3314"/>
      <c r="G37" s="3314"/>
      <c r="H37" s="3314"/>
      <c r="I37" s="331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FFFF00"/>
    <pageSetUpPr fitToPage="1"/>
  </sheetPr>
  <dimension ref="A1:S33"/>
  <sheetViews>
    <sheetView view="pageBreakPreview" zoomScale="70" zoomScaleNormal="100" zoomScaleSheetLayoutView="70" workbookViewId="0">
      <selection activeCell="G38" sqref="G3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425" t="s">
        <v>1131</v>
      </c>
      <c r="B2" s="3425"/>
      <c r="C2" s="3425"/>
      <c r="D2" s="745" t="s">
        <v>1107</v>
      </c>
      <c r="E2" s="1520" t="s">
        <v>1108</v>
      </c>
      <c r="F2" s="2436"/>
      <c r="G2" s="2429"/>
      <c r="H2" s="2430"/>
      <c r="I2" s="2143" t="s">
        <v>1132</v>
      </c>
      <c r="J2" s="2436"/>
      <c r="K2" s="2436"/>
      <c r="L2" s="2436"/>
      <c r="M2" s="2436"/>
      <c r="N2" s="2437"/>
      <c r="O2" s="2436"/>
      <c r="P2" s="2436"/>
    </row>
    <row r="3" spans="1:16" ht="15.75" thickBot="1">
      <c r="A3" s="3426" t="s">
        <v>1105</v>
      </c>
      <c r="B3" s="3426"/>
      <c r="C3" s="3426"/>
      <c r="D3" s="41">
        <f>'数据-基础表'!AY6</f>
        <v>3457.51</v>
      </c>
      <c r="E3" s="41">
        <f>'数据-基础表'!AZ5</f>
        <v>11833.989999999994</v>
      </c>
      <c r="F3" s="2436"/>
      <c r="G3" s="42"/>
      <c r="H3" s="43" t="s">
        <v>1106</v>
      </c>
      <c r="I3" s="799">
        <f>ROUND('数据-基础表'!B3/'数据-基础表'!A3,2)</f>
        <v>3.42</v>
      </c>
      <c r="J3" s="2436"/>
      <c r="K3" s="2436"/>
      <c r="L3" s="2436"/>
      <c r="M3" s="2436"/>
      <c r="N3" s="2437"/>
      <c r="O3" s="2436"/>
      <c r="P3" s="2436"/>
    </row>
    <row r="4" spans="1:16" ht="15">
      <c r="A4" s="3427"/>
      <c r="B4" s="3428"/>
      <c r="C4" s="3429"/>
      <c r="D4" s="1521" t="s">
        <v>1107</v>
      </c>
      <c r="E4" s="1522" t="s">
        <v>1108</v>
      </c>
      <c r="F4" s="2436"/>
      <c r="G4" s="2431" t="s">
        <v>1133</v>
      </c>
      <c r="H4" s="43" t="s">
        <v>1113</v>
      </c>
      <c r="I4" s="799">
        <f>ROUND(SUMIF('数据-基础表'!I9:AS9,"地上",'数据-基础表'!I5:AS5)/'数据-基础表'!A3,2)</f>
        <v>3</v>
      </c>
      <c r="J4" s="2436"/>
      <c r="K4" s="2436"/>
      <c r="L4" s="2436"/>
      <c r="M4" s="2436"/>
      <c r="N4" s="2437"/>
      <c r="O4" s="2436"/>
      <c r="P4" s="2436"/>
    </row>
    <row r="5" spans="1:16">
      <c r="A5" s="42" t="s">
        <v>1109</v>
      </c>
      <c r="B5" s="3430" t="s">
        <v>1110</v>
      </c>
      <c r="C5" s="3430"/>
      <c r="D5" s="43">
        <f>ROUND($D$3*E5/$E$3,2)</f>
        <v>0</v>
      </c>
      <c r="E5" s="44">
        <f>SUMIF('数据-基础表'!$11:$11,"住宅",'数据-基础表'!$5:$5)</f>
        <v>0</v>
      </c>
      <c r="F5" s="2436"/>
      <c r="G5" s="42"/>
      <c r="H5" s="43" t="s">
        <v>1106</v>
      </c>
      <c r="I5" s="799">
        <f>ROUND(E31/D31,2)</f>
        <v>3.42</v>
      </c>
      <c r="J5" s="2436"/>
      <c r="K5" s="2436"/>
      <c r="L5" s="2436"/>
      <c r="M5" s="2436"/>
      <c r="N5" s="2436"/>
      <c r="O5" s="2436"/>
      <c r="P5" s="2436"/>
    </row>
    <row r="6" spans="1:16" ht="15" thickBot="1">
      <c r="A6" s="1524"/>
      <c r="B6" s="3430" t="s">
        <v>1111</v>
      </c>
      <c r="C6" s="3430"/>
      <c r="D6" s="43">
        <f>ROUND($D$3*E6/$E$3,2)</f>
        <v>3457.51</v>
      </c>
      <c r="E6" s="44">
        <f>E3-E5</f>
        <v>11833.989999999994</v>
      </c>
      <c r="F6" s="2436"/>
      <c r="G6" s="1526" t="s">
        <v>1112</v>
      </c>
      <c r="H6" s="45" t="s">
        <v>1113</v>
      </c>
      <c r="I6" s="2432">
        <f>ROUND(F31/D31,2)</f>
        <v>3</v>
      </c>
      <c r="J6" s="2436"/>
      <c r="K6" s="2436"/>
      <c r="L6" s="2436"/>
      <c r="M6" s="2436"/>
      <c r="N6" s="2436"/>
      <c r="O6" s="2436"/>
      <c r="P6" s="2436"/>
    </row>
    <row r="7" spans="1:16" ht="15.75" thickBot="1">
      <c r="A7" s="3422"/>
      <c r="B7" s="3423"/>
      <c r="C7" s="3424"/>
      <c r="D7" s="1521" t="s">
        <v>1107</v>
      </c>
      <c r="E7" s="1525"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3030.52</v>
      </c>
      <c r="E8" s="46">
        <f>SUMIF('数据-基础表'!BB10:BK10,"地上",'数据-基础表'!BB5:BK5)</f>
        <v>10372.529999999995</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426.99</v>
      </c>
      <c r="E13" s="46">
        <f>SUMPRODUCT(('数据-基础表'!BB10:BK10="地下")*('数据-基础表'!BB11:BK11="车库")*('数据-基础表'!BB5:BK5))</f>
        <v>1461.4599999999998</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3457.51</v>
      </c>
      <c r="E16" s="48">
        <f>SUM(E8:E15)</f>
        <v>11833.989999999994</v>
      </c>
      <c r="F16" s="2436"/>
      <c r="G16" s="2436"/>
      <c r="H16" s="1528" t="s">
        <v>1135</v>
      </c>
      <c r="I16" s="1529"/>
      <c r="J16" s="1068"/>
      <c r="K16" s="3419" t="s">
        <v>1135</v>
      </c>
      <c r="L16" s="3420"/>
      <c r="M16" s="3420"/>
      <c r="N16" s="3420"/>
      <c r="O16" s="3420"/>
      <c r="P16" s="3421"/>
    </row>
    <row r="17" spans="1:19" ht="15">
      <c r="A17" s="1530" t="s">
        <v>1136</v>
      </c>
      <c r="B17" s="1531" t="s">
        <v>1137</v>
      </c>
      <c r="C17" s="1532" t="s">
        <v>1138</v>
      </c>
      <c r="D17" s="1533" t="s">
        <v>1126</v>
      </c>
      <c r="E17" s="1534" t="s">
        <v>1127</v>
      </c>
      <c r="F17" s="1535"/>
      <c r="G17" s="1536"/>
      <c r="H17" s="1537" t="s">
        <v>1139</v>
      </c>
      <c r="I17" s="1538" t="s">
        <v>1124</v>
      </c>
      <c r="J17" s="1068"/>
      <c r="K17" s="3416" t="s">
        <v>1140</v>
      </c>
      <c r="L17" s="3417"/>
      <c r="M17" s="3418"/>
      <c r="N17" s="3416" t="s">
        <v>1141</v>
      </c>
      <c r="O17" s="3417"/>
      <c r="P17" s="3418"/>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50" t="s">
        <v>3459</v>
      </c>
      <c r="D19" s="43">
        <f>ROUND($D$3*E19/$E$3,2)</f>
        <v>37.340000000000003</v>
      </c>
      <c r="E19" s="51">
        <f t="shared" ref="E19:E26" si="1">SUM(F19:G19)</f>
        <v>127.79</v>
      </c>
      <c r="F19" s="2555">
        <f>'数据-基础表'!I13</f>
        <v>127.79</v>
      </c>
      <c r="G19" s="1240"/>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37.340000000000003</v>
      </c>
      <c r="S19" s="51">
        <f t="shared" si="5"/>
        <v>127.79</v>
      </c>
    </row>
    <row r="20" spans="1:19">
      <c r="A20" s="1546"/>
      <c r="B20" s="45" t="s">
        <v>1153</v>
      </c>
      <c r="C20" s="3149" t="s">
        <v>3460</v>
      </c>
      <c r="D20" s="43">
        <f t="shared" ref="D20:D26" si="6">ROUND($D$3*E20/$E$3,2)</f>
        <v>355.91</v>
      </c>
      <c r="E20" s="51">
        <f t="shared" si="1"/>
        <v>1218.17</v>
      </c>
      <c r="F20" s="2555">
        <f>'数据-基础表'!K14</f>
        <v>1218.17</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355.91</v>
      </c>
      <c r="S20" s="51">
        <f t="shared" si="5"/>
        <v>1218.17</v>
      </c>
    </row>
    <row r="21" spans="1:19">
      <c r="A21" s="1546"/>
      <c r="B21" s="45" t="s">
        <v>1153</v>
      </c>
      <c r="C21" s="3150" t="s">
        <v>21</v>
      </c>
      <c r="D21" s="43">
        <f t="shared" si="6"/>
        <v>2637.27</v>
      </c>
      <c r="E21" s="51">
        <f t="shared" si="1"/>
        <v>9026.5699999999961</v>
      </c>
      <c r="F21" s="2555">
        <f>'数据-基础表'!M15</f>
        <v>9026.5699999999961</v>
      </c>
      <c r="G21" s="1240"/>
      <c r="H21" s="637">
        <f t="shared" si="7"/>
        <v>0</v>
      </c>
      <c r="I21" s="46">
        <f t="shared" si="2"/>
        <v>0</v>
      </c>
      <c r="J21" s="1068"/>
      <c r="K21" s="637">
        <f t="shared" si="3"/>
        <v>0</v>
      </c>
      <c r="L21" s="43">
        <f t="shared" si="4"/>
        <v>0</v>
      </c>
      <c r="M21" s="46">
        <f t="shared" si="8"/>
        <v>0</v>
      </c>
      <c r="N21" s="1547"/>
      <c r="O21" s="1548"/>
      <c r="P21" s="46">
        <f t="shared" si="9"/>
        <v>0</v>
      </c>
      <c r="R21" s="43">
        <f t="shared" si="5"/>
        <v>2637.27</v>
      </c>
      <c r="S21" s="51">
        <f t="shared" si="5"/>
        <v>9026.5699999999961</v>
      </c>
    </row>
    <row r="22" spans="1:19">
      <c r="A22" s="1546"/>
      <c r="B22" s="45" t="s">
        <v>1153</v>
      </c>
      <c r="C22" s="3113" t="s">
        <v>3340</v>
      </c>
      <c r="D22" s="43">
        <f t="shared" si="6"/>
        <v>426.99</v>
      </c>
      <c r="E22" s="51">
        <f t="shared" si="1"/>
        <v>1461.4599999999998</v>
      </c>
      <c r="F22" s="2556"/>
      <c r="G22" s="2557">
        <f>'数据-基础表'!O16</f>
        <v>1461.4599999999998</v>
      </c>
      <c r="H22" s="637">
        <f t="shared" si="7"/>
        <v>0</v>
      </c>
      <c r="I22" s="46">
        <f t="shared" si="2"/>
        <v>0</v>
      </c>
      <c r="J22" s="1068"/>
      <c r="K22" s="637">
        <f t="shared" si="3"/>
        <v>0</v>
      </c>
      <c r="L22" s="43">
        <f t="shared" si="4"/>
        <v>0</v>
      </c>
      <c r="M22" s="46">
        <f t="shared" si="8"/>
        <v>0</v>
      </c>
      <c r="N22" s="1547"/>
      <c r="O22" s="1548"/>
      <c r="P22" s="46">
        <f t="shared" si="9"/>
        <v>0</v>
      </c>
      <c r="R22" s="43">
        <f t="shared" si="5"/>
        <v>426.99</v>
      </c>
      <c r="S22" s="51">
        <f t="shared" si="5"/>
        <v>1461.4599999999998</v>
      </c>
    </row>
    <row r="23" spans="1:19">
      <c r="A23" s="1546"/>
      <c r="B23" s="45" t="s">
        <v>1153</v>
      </c>
      <c r="C23" s="3113"/>
      <c r="D23" s="43">
        <f>ROUND($D$3*E23/$E$3,2)</f>
        <v>0</v>
      </c>
      <c r="E23" s="51">
        <f>SUM(F23:G23)</f>
        <v>0</v>
      </c>
      <c r="F23" s="2556"/>
      <c r="G23" s="2557"/>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3"/>
      <c r="D24" s="43">
        <f>ROUND($D$3*E24/$E$3,2)</f>
        <v>0</v>
      </c>
      <c r="E24" s="51">
        <f>SUM(F24:G24)</f>
        <v>0</v>
      </c>
      <c r="F24" s="2556"/>
      <c r="G24" s="2557"/>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3"/>
      <c r="D25" s="43">
        <f t="shared" si="6"/>
        <v>0</v>
      </c>
      <c r="E25" s="51">
        <f t="shared" si="1"/>
        <v>0</v>
      </c>
      <c r="F25" s="2556"/>
      <c r="G25" s="2557"/>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3457.51</v>
      </c>
      <c r="E27" s="1070">
        <f>IF(SUM(E19:E26)='数据-基础表'!BA5,SUM(E19:E26),IF(F27="地上面积有误","面积有误","地下面积有误"))</f>
        <v>11833.989999999994</v>
      </c>
      <c r="F27" s="1069">
        <f>IF(SUM(F19:F26)=E8,SUM(F19:F26),"地上面积有误")</f>
        <v>10372.529999999995</v>
      </c>
      <c r="G27" s="1071">
        <f>SUM(G19:G26)</f>
        <v>1461.4599999999998</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3457.51</v>
      </c>
      <c r="S27" s="43">
        <f>IF(SUM(S19:S26)=$E$3,SUM(S19:S26),SUM(S19:S26)&amp;"误差"&amp;ROUND(SUM(S19:S26)-E3,2))</f>
        <v>11833.989999999994</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3">
        <f>D27+D30</f>
        <v>3457.51</v>
      </c>
      <c r="E31" s="643">
        <f>E27+E30</f>
        <v>11833.989999999994</v>
      </c>
      <c r="F31" s="644">
        <f>F27+F30</f>
        <v>10372.529999999995</v>
      </c>
      <c r="G31" s="645">
        <f>G27+G30</f>
        <v>1461.4599999999998</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1300-000000000000}">
      <formula1>类别</formula1>
    </dataValidation>
    <dataValidation type="list" allowBlank="1" showInputMessage="1" showErrorMessage="1" sqref="I17" xr:uid="{00000000-0002-0000-13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V18" sqref="V1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75" thickBot="1">
      <c r="A2" s="1559" t="s">
        <v>1161</v>
      </c>
      <c r="B2" s="981">
        <f>项目基本情况!D3</f>
        <v>45291</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3461</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1层商业</v>
      </c>
      <c r="B6" s="1584" t="str">
        <f>IF(A6=0,"","经营性")</f>
        <v>经营性</v>
      </c>
      <c r="C6" s="1585" t="s">
        <v>673</v>
      </c>
      <c r="D6" s="802">
        <f>SUMIF(项目基本情况!C$12:I$12,C6,项目基本情况!C$14:I$14)</f>
        <v>40</v>
      </c>
      <c r="E6" s="801">
        <f>IF(B6="","",SUMIF(项目基本情况!C$12:I$12,C6,项目基本情况!C$13:I$13))</f>
        <v>54787</v>
      </c>
      <c r="F6" s="61">
        <f>SUMIF(项目基本情况!C$12:I$12,C6,项目基本情况!C$15:I$15)</f>
        <v>26.01</v>
      </c>
      <c r="G6" s="62">
        <f>IF(ISERROR(ROUND(POWER(1+H6,D6-F6)*(POWER(1+H6,F6)-1)/(POWER(1+H6,D6)-1),3)),0,ROUND(POWER(1+H6,D6-F6)*(POWER(1+H6,F6)-1)/(POWER(1+H6,D6)-1),3))</f>
        <v>0.82299999999999995</v>
      </c>
      <c r="H6" s="691">
        <v>4.4999999999999998E-2</v>
      </c>
      <c r="I6" s="691">
        <v>0.06</v>
      </c>
      <c r="J6" s="63">
        <v>7.0000000000000007E-2</v>
      </c>
      <c r="K6" s="967">
        <f>SUMIF('数据-汇总表'!C$19:C$33,A6,'数据-汇总表'!E$19:E$33)</f>
        <v>127.79</v>
      </c>
      <c r="L6" s="692">
        <v>4000</v>
      </c>
      <c r="M6" s="64">
        <f t="shared" ref="M6:M14" si="0">ROUND(K6*L6/10000,0)</f>
        <v>51</v>
      </c>
      <c r="N6" s="690">
        <f>1-(2023-2014)/60</f>
        <v>0.85</v>
      </c>
      <c r="O6" s="64" t="str">
        <f>IF($N$5="成新度","——",ROUND(M6*N6,0))</f>
        <v>——</v>
      </c>
      <c r="P6" s="65" t="str">
        <f>IF($N$5="成新度","——",M6-O6)</f>
        <v>——</v>
      </c>
      <c r="Q6" s="70">
        <v>0.2</v>
      </c>
      <c r="R6" s="66">
        <f ca="1">SUMIF('数据-汇总表'!C$19:C$33,A6,'数据-汇总表'!R$19:R$27)</f>
        <v>37.340000000000003</v>
      </c>
      <c r="S6" s="49">
        <f>IF('数据-汇总表'!$I$17="按面积比例",SUMIF('数据-汇总表'!C$19:C$33,A6,'数据-汇总表'!K$19:K$33),SUMIF('数据-汇总表'!C$19:C$33,A6,'数据-汇总表'!N$19:N$33))</f>
        <v>0</v>
      </c>
      <c r="T6" s="1089">
        <f>ROUND($L$14*S6/10000,0)</f>
        <v>0</v>
      </c>
      <c r="U6" s="3123">
        <f>V18</f>
        <v>6.5</v>
      </c>
      <c r="V6" s="67">
        <v>2.5000000000000001E-2</v>
      </c>
      <c r="W6" s="67">
        <v>0.1</v>
      </c>
      <c r="X6" s="976"/>
      <c r="Y6" s="68">
        <f>N6</f>
        <v>0.85</v>
      </c>
      <c r="Z6" s="69"/>
      <c r="AA6" s="63"/>
      <c r="AB6" s="63"/>
      <c r="AC6" s="976"/>
      <c r="AD6" s="70"/>
      <c r="AE6" s="977">
        <f ca="1">IF(AN6="",0,SUMIF(INDIRECT("'"&amp;AN6&amp;"'"&amp;"!E:E"),$AE$5,INDIRECT("'"&amp;AN6&amp;"'"&amp;"!F:F")))</f>
        <v>26.01</v>
      </c>
      <c r="AF6" s="74"/>
      <c r="AG6" s="130">
        <f>IF(AF6="",0,AE6-AF6)</f>
        <v>0</v>
      </c>
      <c r="AH6" s="71"/>
      <c r="AI6" s="73">
        <v>365</v>
      </c>
      <c r="AJ6" s="74"/>
      <c r="AK6" s="75">
        <v>1.4999999999999999E-2</v>
      </c>
      <c r="AL6" s="76">
        <v>1.5E-3</v>
      </c>
      <c r="AM6" s="77">
        <v>0.01</v>
      </c>
      <c r="AN6" s="1586" t="s">
        <v>3696</v>
      </c>
      <c r="AO6" s="50">
        <f ca="1">SUMIF(INDIRECT("'"&amp;AN6&amp;"'"&amp;"!A:A"),"总价",INDIRECT("'"&amp;AN6&amp;"'"&amp;"!B:B"))</f>
        <v>349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1-2层商业</v>
      </c>
      <c r="B7" s="1584" t="str">
        <f t="shared" ref="B7:B13" si="1">IF(A7=0,"","经营性")</f>
        <v>经营性</v>
      </c>
      <c r="C7" s="1585" t="s">
        <v>673</v>
      </c>
      <c r="D7" s="802">
        <f>SUMIF(项目基本情况!C$12:I$12,C7,项目基本情况!C$14:I$14)</f>
        <v>40</v>
      </c>
      <c r="E7" s="801">
        <f>IF(B7="","",SUMIF(项目基本情况!C$12:I$12,C7,项目基本情况!C$13:I$13))</f>
        <v>54787</v>
      </c>
      <c r="F7" s="61">
        <f>SUMIF(项目基本情况!C$12:I$12,C7,项目基本情况!C$15:I$15)</f>
        <v>26.01</v>
      </c>
      <c r="G7" s="62">
        <f t="shared" ref="G7:G11" si="2">IF(ISERROR(ROUND(POWER(1+H7,D7-F7)*(POWER(1+H7,F7)-1)/(POWER(1+H7,D7)-1),3)),0,ROUND(POWER(1+H7,D7-F7)*(POWER(1+H7,F7)-1)/(POWER(1+H7,D7)-1),3))</f>
        <v>0.82299999999999995</v>
      </c>
      <c r="H7" s="691">
        <v>4.4999999999999998E-2</v>
      </c>
      <c r="I7" s="691">
        <v>5.5E-2</v>
      </c>
      <c r="J7" s="63">
        <v>7.0000000000000007E-2</v>
      </c>
      <c r="K7" s="967">
        <f>SUMIF('数据-汇总表'!C$19:C$33,A7,'数据-汇总表'!E$19:E$33)</f>
        <v>1218.17</v>
      </c>
      <c r="L7" s="692">
        <v>4000</v>
      </c>
      <c r="M7" s="64">
        <f t="shared" si="0"/>
        <v>487</v>
      </c>
      <c r="N7" s="690">
        <f>N6</f>
        <v>0.85</v>
      </c>
      <c r="O7" s="64" t="str">
        <f t="shared" ref="O7:O14" si="3">IF($N$5="成新度","——",ROUND(M7*N7,0))</f>
        <v>——</v>
      </c>
      <c r="P7" s="65" t="str">
        <f t="shared" ref="P7:P14" si="4">IF($N$5="成新度","——",M7-O7)</f>
        <v>——</v>
      </c>
      <c r="Q7" s="70">
        <v>0.2</v>
      </c>
      <c r="R7" s="66">
        <f ca="1">SUMIF('数据-汇总表'!C$19:C$33,A7,'数据-汇总表'!R$19:R$27)</f>
        <v>355.91</v>
      </c>
      <c r="S7" s="49">
        <f>IF('数据-汇总表'!$I$17="按面积比例",SUMIF('数据-汇总表'!C$19:C$33,A7,'数据-汇总表'!K$19:K$33),SUMIF('数据-汇总表'!C$19:C$33,A7,'数据-汇总表'!N$19:N$33))</f>
        <v>0</v>
      </c>
      <c r="T7" s="1089">
        <f t="shared" ref="T7:T13" si="5">ROUND($L$14*S7/10000,0)</f>
        <v>0</v>
      </c>
      <c r="U7" s="3123">
        <f>V20</f>
        <v>5.2</v>
      </c>
      <c r="V7" s="67">
        <v>2.5000000000000001E-2</v>
      </c>
      <c r="W7" s="67">
        <v>0.1</v>
      </c>
      <c r="X7" s="976"/>
      <c r="Y7" s="68">
        <f t="shared" ref="Y7:Y9" si="6">N7</f>
        <v>0.85</v>
      </c>
      <c r="Z7" s="69"/>
      <c r="AA7" s="63"/>
      <c r="AB7" s="63"/>
      <c r="AC7" s="976"/>
      <c r="AD7" s="70"/>
      <c r="AE7" s="977">
        <f t="shared" ref="AE7:AE13" ca="1" si="7">IF(AN7="",0,SUMIF(INDIRECT("'"&amp;AN7&amp;"'"&amp;"!E:E"),$AE$5,INDIRECT("'"&amp;AN7&amp;"'"&amp;"!F:F")))</f>
        <v>26.01</v>
      </c>
      <c r="AF7" s="74"/>
      <c r="AG7" s="130">
        <f t="shared" ref="AG7:AG13" si="8">IF(AF7="",0,AE7-AF7)</f>
        <v>0</v>
      </c>
      <c r="AH7" s="71"/>
      <c r="AI7" s="73">
        <v>365</v>
      </c>
      <c r="AJ7" s="74"/>
      <c r="AK7" s="75">
        <v>1.4999999999999999E-2</v>
      </c>
      <c r="AL7" s="76">
        <v>1.5E-3</v>
      </c>
      <c r="AM7" s="77">
        <v>0.01</v>
      </c>
      <c r="AN7" s="1586" t="s">
        <v>3697</v>
      </c>
      <c r="AO7" s="50">
        <f t="shared" ref="AO7:AO13" ca="1" si="9">SUMIF(INDIRECT("'"&amp;AN7&amp;"'"&amp;"!A:A"),"总价",INDIRECT("'"&amp;AN7&amp;"'"&amp;"!B:B"))</f>
        <v>2797</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办公</v>
      </c>
      <c r="B8" s="1584" t="str">
        <f t="shared" si="1"/>
        <v>经营性</v>
      </c>
      <c r="C8" s="1585" t="s">
        <v>21</v>
      </c>
      <c r="D8" s="802">
        <f>SUMIF(项目基本情况!C$12:I$12,C8,项目基本情况!C$14:I$14)</f>
        <v>50</v>
      </c>
      <c r="E8" s="801">
        <f>IF(B8="","",SUMIF(项目基本情况!C$12:I$12,C8,项目基本情况!C$13:I$13))</f>
        <v>58439</v>
      </c>
      <c r="F8" s="61">
        <f>SUMIF(项目基本情况!C$12:I$12,C8,项目基本情况!C$15:I$15)</f>
        <v>36.020000000000003</v>
      </c>
      <c r="G8" s="62">
        <f t="shared" si="2"/>
        <v>0.89400000000000002</v>
      </c>
      <c r="H8" s="691">
        <v>4.4999999999999998E-2</v>
      </c>
      <c r="I8" s="691">
        <v>5.5E-2</v>
      </c>
      <c r="J8" s="63">
        <v>7.0000000000000007E-2</v>
      </c>
      <c r="K8" s="967">
        <f>SUMIF('数据-汇总表'!C$19:C$33,A8,'数据-汇总表'!E$19:E$33)</f>
        <v>9026.5699999999961</v>
      </c>
      <c r="L8" s="692">
        <v>4000</v>
      </c>
      <c r="M8" s="64">
        <f>ROUND(K8*L8/10000,0)</f>
        <v>3611</v>
      </c>
      <c r="N8" s="690">
        <f>N6</f>
        <v>0.85</v>
      </c>
      <c r="O8" s="64" t="str">
        <f t="shared" si="3"/>
        <v>——</v>
      </c>
      <c r="P8" s="65" t="str">
        <f t="shared" si="4"/>
        <v>——</v>
      </c>
      <c r="Q8" s="70">
        <v>0.15</v>
      </c>
      <c r="R8" s="66">
        <f ca="1">SUMIF('数据-汇总表'!C$19:C$33,A8,'数据-汇总表'!R$19:R$27)</f>
        <v>2637.27</v>
      </c>
      <c r="S8" s="49">
        <f>IF('数据-汇总表'!$I$17="按面积比例",SUMIF('数据-汇总表'!C$19:C$33,A8,'数据-汇总表'!K$19:K$33),SUMIF('数据-汇总表'!C$19:C$33,A8,'数据-汇总表'!N$19:N$33))</f>
        <v>0</v>
      </c>
      <c r="T8" s="1089">
        <f t="shared" si="5"/>
        <v>0</v>
      </c>
      <c r="U8" s="3124">
        <v>4.5</v>
      </c>
      <c r="V8" s="693">
        <v>2.5000000000000001E-2</v>
      </c>
      <c r="W8" s="693">
        <v>0.1</v>
      </c>
      <c r="X8" s="976"/>
      <c r="Y8" s="68">
        <f t="shared" si="6"/>
        <v>0.85</v>
      </c>
      <c r="Z8" s="69"/>
      <c r="AA8" s="63"/>
      <c r="AB8" s="63"/>
      <c r="AC8" s="976"/>
      <c r="AD8" s="70"/>
      <c r="AE8" s="977">
        <f t="shared" ca="1" si="7"/>
        <v>36.020000000000003</v>
      </c>
      <c r="AF8" s="74"/>
      <c r="AG8" s="130">
        <f t="shared" si="8"/>
        <v>0</v>
      </c>
      <c r="AH8" s="694"/>
      <c r="AI8" s="73">
        <v>365</v>
      </c>
      <c r="AJ8" s="74"/>
      <c r="AK8" s="75">
        <v>1.4999999999999999E-2</v>
      </c>
      <c r="AL8" s="76">
        <v>1.5E-3</v>
      </c>
      <c r="AM8" s="77">
        <v>0.01</v>
      </c>
      <c r="AN8" s="1586" t="s">
        <v>3704</v>
      </c>
      <c r="AO8" s="50">
        <f t="shared" ca="1" si="9"/>
        <v>21843</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t="str">
        <f>'数据-汇总表'!C22</f>
        <v>车库</v>
      </c>
      <c r="B9" s="1584" t="str">
        <f t="shared" si="1"/>
        <v>经营性</v>
      </c>
      <c r="C9" s="1585" t="s">
        <v>3340</v>
      </c>
      <c r="D9" s="802">
        <f>SUMIF(项目基本情况!C$12:I$12,C9,项目基本情况!C$14:I$14)</f>
        <v>50</v>
      </c>
      <c r="E9" s="801">
        <f>IF(B9="","",SUMIF(项目基本情况!C$12:I$12,C9,项目基本情况!C$13:I$13))</f>
        <v>58439</v>
      </c>
      <c r="F9" s="61">
        <f>SUMIF(项目基本情况!C$12:I$12,C9,项目基本情况!C$15:I$15)</f>
        <v>36.020000000000003</v>
      </c>
      <c r="G9" s="62">
        <f t="shared" si="2"/>
        <v>0.88</v>
      </c>
      <c r="H9" s="63">
        <v>0.04</v>
      </c>
      <c r="I9" s="63">
        <v>0.05</v>
      </c>
      <c r="J9" s="63">
        <v>7.0000000000000007E-2</v>
      </c>
      <c r="K9" s="967">
        <f>SUMIF('数据-汇总表'!C$19:C$33,A9,'数据-汇总表'!E$19:E$33)</f>
        <v>1461.4599999999998</v>
      </c>
      <c r="L9" s="692">
        <v>4000</v>
      </c>
      <c r="M9" s="64">
        <f t="shared" si="0"/>
        <v>585</v>
      </c>
      <c r="N9" s="690">
        <f>N6</f>
        <v>0.85</v>
      </c>
      <c r="O9" s="64" t="str">
        <f t="shared" si="3"/>
        <v>——</v>
      </c>
      <c r="P9" s="65" t="str">
        <f t="shared" si="4"/>
        <v>——</v>
      </c>
      <c r="Q9" s="70">
        <v>0.1</v>
      </c>
      <c r="R9" s="66">
        <f ca="1">SUMIF('数据-汇总表'!C$19:C$33,A9,'数据-汇总表'!R$19:R$27)</f>
        <v>426.99</v>
      </c>
      <c r="S9" s="49">
        <f>IF('数据-汇总表'!$I$17="按面积比例",SUMIF('数据-汇总表'!C$19:C$33,A9,'数据-汇总表'!K$19:K$33),SUMIF('数据-汇总表'!C$19:C$33,A9,'数据-汇总表'!N$19:N$33))</f>
        <v>0</v>
      </c>
      <c r="T9" s="1089">
        <f t="shared" si="5"/>
        <v>0</v>
      </c>
      <c r="U9" s="3124">
        <v>900</v>
      </c>
      <c r="V9" s="67">
        <v>0.02</v>
      </c>
      <c r="W9" s="67">
        <v>0.05</v>
      </c>
      <c r="X9" s="976"/>
      <c r="Y9" s="68">
        <f t="shared" si="6"/>
        <v>0.85</v>
      </c>
      <c r="Z9" s="69"/>
      <c r="AA9" s="63"/>
      <c r="AB9" s="63"/>
      <c r="AC9" s="976"/>
      <c r="AD9" s="70"/>
      <c r="AE9" s="977">
        <f t="shared" ca="1" si="7"/>
        <v>36.020000000000003</v>
      </c>
      <c r="AF9" s="74"/>
      <c r="AG9" s="130">
        <f t="shared" si="8"/>
        <v>0</v>
      </c>
      <c r="AH9" s="71">
        <v>30</v>
      </c>
      <c r="AI9" s="73">
        <v>12</v>
      </c>
      <c r="AJ9" s="74"/>
      <c r="AK9" s="75">
        <v>0.01</v>
      </c>
      <c r="AL9" s="76">
        <v>1E-3</v>
      </c>
      <c r="AM9" s="77">
        <v>0.01</v>
      </c>
      <c r="AN9" s="1586" t="s">
        <v>3699</v>
      </c>
      <c r="AO9" s="50">
        <f t="shared" ca="1" si="9"/>
        <v>367</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0.88400000000000001</v>
      </c>
      <c r="H16" s="84">
        <f>ROUND(SUMPRODUCT(H6:H13,K6:K13)/SUMPRODUCT((H6:H13&gt;0)*(K6:K13)),3)</f>
        <v>4.3999999999999997E-2</v>
      </c>
      <c r="I16" s="85"/>
      <c r="J16" s="85"/>
      <c r="K16" s="86">
        <f>SUM(K6:K15)</f>
        <v>11833.989999999994</v>
      </c>
      <c r="L16" s="87">
        <f>ROUND(M16*10000/SUM(K6:K14),0)</f>
        <v>4000</v>
      </c>
      <c r="M16" s="87">
        <f>SUM(M6:M14)</f>
        <v>4734</v>
      </c>
      <c r="N16" s="88">
        <f>ROUND(SUMPRODUCT(M6:M14,N6:N14)/M16,3)</f>
        <v>0.85</v>
      </c>
      <c r="O16" s="87">
        <f>SUM(O6:O14)</f>
        <v>0</v>
      </c>
      <c r="P16" s="87">
        <f>SUM(P6:P14)</f>
        <v>0</v>
      </c>
      <c r="Q16" s="89">
        <f>ROUND(SUMPRODUCT(Q6:Q13,K6:K13)/SUMPRODUCT((Q6:Q13&gt;0)*(K6:K13)),2)</f>
        <v>0.15</v>
      </c>
      <c r="R16" s="971">
        <f ca="1">SUM(R6:R13)</f>
        <v>3457.51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3246" t="s">
        <v>3690</v>
      </c>
      <c r="V18" s="2446">
        <v>6.5</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2305</v>
      </c>
      <c r="D19" s="2449"/>
      <c r="E19" s="2436"/>
      <c r="F19" s="2436"/>
      <c r="G19" s="2436"/>
      <c r="H19" s="2436"/>
      <c r="I19" s="2436"/>
      <c r="J19" s="2436"/>
      <c r="K19" s="2447"/>
      <c r="L19" s="2447"/>
      <c r="M19" s="2446"/>
      <c r="N19" s="2446"/>
      <c r="O19" s="2446"/>
      <c r="P19" s="2446"/>
      <c r="Q19" s="2446"/>
      <c r="R19" s="2446"/>
      <c r="S19" s="2446"/>
      <c r="T19" s="2446"/>
      <c r="U19" s="3246" t="s">
        <v>3692</v>
      </c>
      <c r="V19" s="2446">
        <f>V18*W19</f>
        <v>3.9</v>
      </c>
      <c r="W19" s="2446">
        <v>0.6</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2</v>
      </c>
      <c r="C20" s="2559" t="s">
        <v>2303</v>
      </c>
      <c r="D20" s="2449"/>
      <c r="E20" s="2436"/>
      <c r="F20" s="2436"/>
      <c r="G20" s="2436"/>
      <c r="H20" s="2436"/>
      <c r="I20" s="2436"/>
      <c r="J20" s="2436"/>
      <c r="K20" s="2447"/>
      <c r="L20" s="2447"/>
      <c r="M20" s="2446"/>
      <c r="N20" s="2446"/>
      <c r="O20" s="2446"/>
      <c r="P20" s="2446"/>
      <c r="Q20" s="2446"/>
      <c r="R20" s="2446"/>
      <c r="S20" s="2446"/>
      <c r="T20" s="2446"/>
      <c r="U20" s="2446" t="s">
        <v>3691</v>
      </c>
      <c r="V20" s="2446">
        <f>(V18+V19)/2</f>
        <v>5.2</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5">
        <f ca="1">成本法!C10</f>
        <v>237</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8">
        <v>1.4999999999999999E-2</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6">
        <v>1.4999999999999999E-2</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3973</v>
      </c>
      <c r="B40" s="1012">
        <f ca="1">IF(A40="利息：取LPR",存贷款利率!G1,存贷款利率!G1+C40)</f>
        <v>4.1499999999999995E-2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7">
        <f>SUMIF(A54:A63,B53,B54:B63)</f>
        <v>6</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296</v>
      </c>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3146">
        <v>15</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3146">
        <v>10</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3146">
        <v>6</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3146">
        <v>3</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3146">
        <v>1.5</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5" type="noConversion"/>
  <dataValidations count="8">
    <dataValidation type="list" allowBlank="1" showInputMessage="1" showErrorMessage="1" sqref="B44" xr:uid="{00000000-0002-0000-1400-000000000000}">
      <formula1>"7%,5%,1%"</formula1>
    </dataValidation>
    <dataValidation type="list" allowBlank="1" showInputMessage="1" showErrorMessage="1" sqref="B53" xr:uid="{00000000-0002-0000-1400-000001000000}">
      <formula1>城镇土地纳税等级分级范围</formula1>
    </dataValidation>
    <dataValidation type="list" allowBlank="1" showInputMessage="1" showErrorMessage="1" sqref="N5" xr:uid="{00000000-0002-0000-1400-000002000000}">
      <formula1>"工程进度,成新度,工程进度/成新度"</formula1>
    </dataValidation>
    <dataValidation type="list" allowBlank="1" showInputMessage="1" showErrorMessage="1" sqref="C6:C15" xr:uid="{00000000-0002-0000-1400-000003000000}">
      <formula1>地类判定</formula1>
    </dataValidation>
    <dataValidation type="list" showInputMessage="1" showErrorMessage="1" sqref="AI6:AI13" xr:uid="{00000000-0002-0000-1400-000004000000}">
      <formula1>"365,12,1"</formula1>
    </dataValidation>
    <dataValidation type="list" allowBlank="1" showInputMessage="1" showErrorMessage="1" sqref="B14:B15" xr:uid="{00000000-0002-0000-1400-000005000000}">
      <formula1>类别</formula1>
    </dataValidation>
    <dataValidation type="list" allowBlank="1" showInputMessage="1" showErrorMessage="1" sqref="AN6:AN13" xr:uid="{00000000-0002-0000-1400-000006000000}">
      <formula1>估价方法</formula1>
    </dataValidation>
    <dataValidation type="list" allowBlank="1" showInputMessage="1" showErrorMessage="1" sqref="A40" xr:uid="{00000000-0002-0000-14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431" t="s">
        <v>2286</v>
      </c>
      <c r="B1" s="3432"/>
      <c r="C1" s="3432"/>
      <c r="D1" s="3432"/>
      <c r="E1" s="3432"/>
      <c r="F1" s="3432"/>
      <c r="G1" s="343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5" t="s">
        <v>2254</v>
      </c>
      <c r="C4" s="2266" t="s">
        <v>2255</v>
      </c>
      <c r="D4" s="2263"/>
      <c r="E4" s="2267"/>
      <c r="F4" s="1278" t="s">
        <v>2256</v>
      </c>
      <c r="G4" s="2268" t="s">
        <v>2257</v>
      </c>
      <c r="H4" s="748"/>
      <c r="I4" s="748"/>
      <c r="J4" s="748"/>
      <c r="K4" s="748"/>
      <c r="L4" s="748"/>
      <c r="M4" s="748"/>
      <c r="N4" s="748"/>
      <c r="O4" s="748"/>
      <c r="P4" s="748"/>
      <c r="Q4" s="748"/>
    </row>
    <row r="5" spans="1:29" ht="36.75">
      <c r="A5" s="2245"/>
      <c r="B5" s="315" t="s">
        <v>2258</v>
      </c>
      <c r="C5" s="2266" t="s">
        <v>2259</v>
      </c>
      <c r="D5" s="2263"/>
      <c r="E5" s="2267"/>
      <c r="F5" s="315" t="s">
        <v>2260</v>
      </c>
      <c r="G5" s="2268" t="s">
        <v>2261</v>
      </c>
      <c r="H5" s="748"/>
      <c r="I5" s="748"/>
      <c r="J5" s="748"/>
      <c r="K5" s="748"/>
      <c r="L5" s="748"/>
      <c r="M5" s="748"/>
      <c r="N5" s="748"/>
      <c r="O5" s="748"/>
      <c r="P5" s="748"/>
      <c r="Q5" s="748"/>
    </row>
    <row r="6" spans="1:29" ht="36">
      <c r="A6" s="2245"/>
      <c r="B6" s="315" t="s">
        <v>2262</v>
      </c>
      <c r="C6" s="2268" t="s">
        <v>2257</v>
      </c>
      <c r="D6" s="2263"/>
      <c r="E6" s="2267"/>
      <c r="F6" s="315" t="s">
        <v>2263</v>
      </c>
      <c r="G6" s="2268" t="s">
        <v>2264</v>
      </c>
      <c r="H6" s="748"/>
      <c r="I6" s="748"/>
      <c r="J6" s="748"/>
      <c r="K6" s="748"/>
      <c r="L6" s="748"/>
      <c r="M6" s="748"/>
      <c r="N6" s="748"/>
      <c r="O6" s="748"/>
      <c r="P6" s="748"/>
      <c r="Q6" s="748"/>
    </row>
    <row r="7" spans="1:29" ht="24.75" thickBot="1">
      <c r="A7" s="2245"/>
      <c r="B7" s="315" t="s">
        <v>2260</v>
      </c>
      <c r="C7" s="2268" t="s">
        <v>2261</v>
      </c>
      <c r="D7" s="2242"/>
      <c r="E7" s="2269"/>
      <c r="F7" s="2270" t="s">
        <v>2265</v>
      </c>
      <c r="G7" s="2271" t="s">
        <v>2266</v>
      </c>
      <c r="H7" s="748"/>
      <c r="I7" s="748"/>
      <c r="J7" s="748"/>
      <c r="K7" s="748"/>
      <c r="L7" s="748"/>
      <c r="M7" s="748"/>
      <c r="N7" s="748"/>
      <c r="O7" s="748"/>
      <c r="P7" s="748"/>
      <c r="Q7" s="748"/>
    </row>
    <row r="8" spans="1:29">
      <c r="A8" s="2245"/>
      <c r="B8" s="315" t="s">
        <v>2263</v>
      </c>
      <c r="C8" s="2268" t="s">
        <v>2264</v>
      </c>
      <c r="D8" s="2242"/>
      <c r="E8" s="2242"/>
      <c r="F8" s="121"/>
      <c r="G8" s="121"/>
      <c r="H8" s="748"/>
      <c r="I8" s="748"/>
      <c r="J8" s="748"/>
      <c r="K8" s="748"/>
      <c r="L8" s="748"/>
      <c r="M8" s="748"/>
      <c r="N8" s="748"/>
      <c r="O8" s="748"/>
      <c r="P8" s="748"/>
      <c r="Q8" s="748"/>
    </row>
    <row r="9" spans="1:29" ht="24">
      <c r="A9" s="2245"/>
      <c r="B9" s="315" t="s">
        <v>2267</v>
      </c>
      <c r="C9" s="2266" t="s">
        <v>2268</v>
      </c>
      <c r="D9" s="2263"/>
      <c r="E9" s="2242"/>
      <c r="F9" s="121"/>
      <c r="G9" s="121"/>
      <c r="H9" s="748"/>
      <c r="I9" s="748"/>
      <c r="J9" s="748"/>
      <c r="K9" s="748"/>
      <c r="L9" s="748"/>
      <c r="M9" s="748"/>
      <c r="N9" s="748"/>
      <c r="O9" s="748"/>
      <c r="P9" s="748"/>
      <c r="Q9" s="748"/>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5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0</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45291</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0</v>
      </c>
      <c r="C5" s="2297">
        <f ca="1">IF(B5=D14,结果表!H102,ROUND(B5*10000/$B$1,0))</f>
        <v>25977</v>
      </c>
      <c r="D5" s="2297" t="e">
        <f>ROUND(B5*10000/$B$2,0)</f>
        <v>#DIV/0!</v>
      </c>
      <c r="E5" s="2459"/>
      <c r="F5" s="2460"/>
      <c r="G5" s="2460"/>
      <c r="H5" s="2460"/>
      <c r="I5" s="2460"/>
      <c r="J5" s="2460"/>
      <c r="K5" s="2460"/>
    </row>
    <row r="6" spans="1:11" ht="16.5">
      <c r="A6" s="2297" t="s">
        <v>656</v>
      </c>
      <c r="B6" s="2297">
        <f>SUM(G14:G23)</f>
        <v>0</v>
      </c>
      <c r="C6" s="2297">
        <f ca="1">IF(B6=G14,结果表!H108,ROUND(B6*10000/$B$1,0))</f>
        <v>25977</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3363</v>
      </c>
      <c r="D10" s="2297" t="s">
        <v>3364</v>
      </c>
      <c r="E10" s="3133"/>
      <c r="F10" s="3137" t="s">
        <v>3365</v>
      </c>
      <c r="G10" s="3134"/>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c r="C14" s="2303"/>
      <c r="D14" s="2303"/>
      <c r="E14" s="2303" t="e">
        <f>ROUND(D14*10000/B14,0)</f>
        <v>#DIV/0!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1262</v>
      </c>
      <c r="B1" s="646"/>
      <c r="C1" s="1617"/>
      <c r="D1" s="646"/>
      <c r="E1" s="646"/>
      <c r="F1" s="1618" t="s">
        <v>1263</v>
      </c>
      <c r="G1" s="1450" t="s">
        <v>3450</v>
      </c>
      <c r="H1" s="1618" t="str">
        <f>IF(G1="现房","——","估价对象范围")</f>
        <v>——</v>
      </c>
      <c r="I1" s="1619" t="s">
        <v>3702</v>
      </c>
    </row>
    <row r="2" spans="1:12" ht="21.75" customHeight="1" thickBot="1">
      <c r="A2" s="3500" t="str">
        <f>项目基本情况!S2</f>
        <v>房地产</v>
      </c>
      <c r="B2" s="3501"/>
      <c r="C2" s="3501"/>
      <c r="D2" s="3501"/>
      <c r="E2" s="3501"/>
      <c r="F2" s="3501"/>
      <c r="G2" s="3501"/>
      <c r="H2" s="3501"/>
      <c r="I2" s="3502"/>
    </row>
    <row r="3" spans="1:12" ht="12.75">
      <c r="A3" s="3504" t="s">
        <v>1264</v>
      </c>
      <c r="B3" s="3505"/>
      <c r="C3" s="3505"/>
      <c r="D3" s="3505"/>
      <c r="E3" s="3505"/>
      <c r="F3" s="3505"/>
      <c r="G3" s="3505"/>
      <c r="H3" s="3505"/>
      <c r="I3" s="3505"/>
    </row>
    <row r="4" spans="1:12" ht="14.25">
      <c r="A4" s="1621" t="s">
        <v>1265</v>
      </c>
      <c r="B4" s="1622" t="s">
        <v>1266</v>
      </c>
      <c r="C4" s="1623" t="s">
        <v>3905</v>
      </c>
      <c r="D4" s="1623" t="s">
        <v>3705</v>
      </c>
      <c r="E4" s="3509" t="s">
        <v>1267</v>
      </c>
      <c r="F4" s="3510"/>
      <c r="G4" s="3510"/>
      <c r="H4" s="3510"/>
      <c r="I4" s="35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448" t="s">
        <v>1268</v>
      </c>
      <c r="B5" s="3503">
        <v>25</v>
      </c>
      <c r="C5" s="3506">
        <v>7</v>
      </c>
      <c r="D5" s="3494">
        <f>10-C5</f>
        <v>3</v>
      </c>
      <c r="E5" s="123" t="s">
        <v>1269</v>
      </c>
      <c r="F5" s="1624"/>
      <c r="G5" s="1624"/>
      <c r="H5" s="1624"/>
      <c r="I5" s="1278"/>
    </row>
    <row r="6" spans="1:12" ht="12.75">
      <c r="A6" s="3448"/>
      <c r="B6" s="3503"/>
      <c r="C6" s="3508"/>
      <c r="D6" s="3494"/>
      <c r="E6" s="123" t="s">
        <v>1270</v>
      </c>
      <c r="F6" s="1624"/>
      <c r="G6" s="1624"/>
      <c r="H6" s="1624"/>
      <c r="I6" s="1278"/>
    </row>
    <row r="7" spans="1:12" ht="12.75">
      <c r="A7" s="3448"/>
      <c r="B7" s="3503"/>
      <c r="C7" s="3507"/>
      <c r="D7" s="3494"/>
      <c r="E7" s="123" t="s">
        <v>1271</v>
      </c>
      <c r="F7" s="1624"/>
      <c r="G7" s="1624"/>
      <c r="H7" s="1624"/>
      <c r="I7" s="1278"/>
    </row>
    <row r="8" spans="1:12" ht="12.75">
      <c r="A8" s="3448" t="s">
        <v>1272</v>
      </c>
      <c r="B8" s="3503">
        <v>15</v>
      </c>
      <c r="C8" s="3506"/>
      <c r="D8" s="3494"/>
      <c r="E8" s="123" t="s">
        <v>1273</v>
      </c>
      <c r="F8" s="1624"/>
      <c r="G8" s="1624"/>
      <c r="H8" s="1624"/>
      <c r="I8" s="1278"/>
    </row>
    <row r="9" spans="1:12" ht="12.75">
      <c r="A9" s="3448"/>
      <c r="B9" s="3503"/>
      <c r="C9" s="3507"/>
      <c r="D9" s="3494"/>
      <c r="E9" s="123" t="s">
        <v>1274</v>
      </c>
      <c r="F9" s="1624"/>
      <c r="G9" s="1624"/>
      <c r="H9" s="1624"/>
      <c r="I9" s="1278"/>
    </row>
    <row r="10" spans="1:12" ht="12.75">
      <c r="A10" s="3448" t="s">
        <v>1275</v>
      </c>
      <c r="B10" s="3503">
        <v>15</v>
      </c>
      <c r="C10" s="3506"/>
      <c r="D10" s="3494"/>
      <c r="E10" s="123" t="s">
        <v>1276</v>
      </c>
      <c r="F10" s="1624"/>
      <c r="G10" s="1624"/>
      <c r="H10" s="1624"/>
      <c r="I10" s="1278"/>
    </row>
    <row r="11" spans="1:12" ht="12.75">
      <c r="A11" s="3448"/>
      <c r="B11" s="3503"/>
      <c r="C11" s="3507"/>
      <c r="D11" s="3494"/>
      <c r="E11" s="123" t="s">
        <v>1277</v>
      </c>
      <c r="F11" s="1624"/>
      <c r="G11" s="1624"/>
      <c r="H11" s="1624"/>
      <c r="I11" s="1278"/>
    </row>
    <row r="12" spans="1:12" ht="12.75">
      <c r="A12" s="3448" t="s">
        <v>1278</v>
      </c>
      <c r="B12" s="3503">
        <v>15</v>
      </c>
      <c r="C12" s="3506"/>
      <c r="D12" s="3494"/>
      <c r="E12" s="123" t="s">
        <v>1279</v>
      </c>
      <c r="F12" s="1624"/>
      <c r="G12" s="1624"/>
      <c r="H12" s="1624"/>
      <c r="I12" s="1278"/>
    </row>
    <row r="13" spans="1:12" ht="12.75">
      <c r="A13" s="3448"/>
      <c r="B13" s="3503"/>
      <c r="C13" s="3507"/>
      <c r="D13" s="3494"/>
      <c r="E13" s="123" t="s">
        <v>1280</v>
      </c>
      <c r="F13" s="1624"/>
      <c r="G13" s="1624"/>
      <c r="H13" s="1624"/>
      <c r="I13" s="1278"/>
    </row>
    <row r="14" spans="1:12" ht="12.75">
      <c r="A14" s="3448" t="s">
        <v>1281</v>
      </c>
      <c r="B14" s="3503">
        <v>30</v>
      </c>
      <c r="C14" s="3506"/>
      <c r="D14" s="3494"/>
      <c r="E14" s="123" t="s">
        <v>1282</v>
      </c>
      <c r="F14" s="1624"/>
      <c r="G14" s="1624"/>
      <c r="H14" s="1624"/>
      <c r="I14" s="1278"/>
    </row>
    <row r="15" spans="1:12" ht="12.75">
      <c r="A15" s="3448"/>
      <c r="B15" s="3503"/>
      <c r="C15" s="3508"/>
      <c r="D15" s="3494"/>
      <c r="E15" s="123" t="s">
        <v>1283</v>
      </c>
      <c r="F15" s="1624"/>
      <c r="G15" s="1624"/>
      <c r="H15" s="1624"/>
      <c r="I15" s="1278"/>
    </row>
    <row r="16" spans="1:12" ht="12.75">
      <c r="A16" s="3448"/>
      <c r="B16" s="3503"/>
      <c r="C16" s="3507"/>
      <c r="D16" s="3494"/>
      <c r="E16" s="123" t="s">
        <v>1284</v>
      </c>
      <c r="F16" s="1624"/>
      <c r="G16" s="1624"/>
      <c r="H16" s="1624"/>
      <c r="I16" s="1278"/>
    </row>
    <row r="17" spans="1:36" ht="15">
      <c r="A17" s="1625" t="s">
        <v>1285</v>
      </c>
      <c r="B17" s="54"/>
      <c r="C17" s="124">
        <f>SUM(C5:C16)</f>
        <v>7</v>
      </c>
      <c r="D17" s="124">
        <f>SUM(D5:D16)</f>
        <v>3</v>
      </c>
      <c r="E17" s="121"/>
      <c r="F17" s="121"/>
      <c r="G17" s="121"/>
      <c r="H17" s="121"/>
      <c r="I17" s="121"/>
      <c r="K17" s="294"/>
      <c r="L17" s="294" t="s">
        <v>1286</v>
      </c>
      <c r="M17" s="294" t="s">
        <v>1287</v>
      </c>
    </row>
    <row r="18" spans="1:36" ht="31.9" customHeight="1" thickBot="1">
      <c r="A18" s="1626" t="s">
        <v>1288</v>
      </c>
      <c r="B18" s="1539"/>
      <c r="C18" s="125">
        <f>ROUND(C17/SUM(C17:D17),2)</f>
        <v>0.7</v>
      </c>
      <c r="D18" s="125">
        <f>1-C18</f>
        <v>0.30000000000000004</v>
      </c>
      <c r="E18" s="3525" t="s">
        <v>2131</v>
      </c>
      <c r="F18" s="3526"/>
      <c r="G18" s="3526"/>
      <c r="H18" s="3526"/>
      <c r="I18" s="3526"/>
      <c r="K18" s="294" t="s">
        <v>1289</v>
      </c>
      <c r="L18" s="294">
        <f>IF(C1="",'数据-汇总表'!E3,SUMIF(项目类型,C1,'数据-汇总表'!E17:E26)+SUMIF(项目类型,C1,'数据-汇总表'!I17:I26))</f>
        <v>11833.989999999994</v>
      </c>
      <c r="M18" s="294">
        <f>IF(C1="",'数据-汇总表'!E3,SUMIF(项目类型,C1,'数据-汇总表'!E17:E26))</f>
        <v>11833.989999999994</v>
      </c>
    </row>
    <row r="19" spans="1:36" ht="15">
      <c r="A19" s="1627" t="s">
        <v>1290</v>
      </c>
      <c r="B19" s="1628" t="s">
        <v>1291</v>
      </c>
      <c r="C19" s="126">
        <f ca="1">SUMIF(INDIRECT("'"&amp;C4&amp;"'"&amp;"!A:A"),结果表!B19,INDIRECT("'"&amp;C4&amp;"'"&amp;"!B:B"))</f>
        <v>33049</v>
      </c>
      <c r="D19" s="127">
        <f ca="1">SUMIF(INDIRECT("'"&amp;D4&amp;"'"&amp;"!A:A"),结果表!B19,INDIRECT("'"&amp;D4&amp;"'"&amp;"!B:B"))</f>
        <v>25356</v>
      </c>
      <c r="E19" s="1627" t="s">
        <v>1292</v>
      </c>
      <c r="F19" s="1628" t="s">
        <v>1291</v>
      </c>
      <c r="G19" s="128">
        <f ca="1">ROUND(C19*$C$18+D19*$D$18,0)</f>
        <v>30741</v>
      </c>
      <c r="H19" s="1629" t="s">
        <v>1293</v>
      </c>
      <c r="I19" s="121">
        <v>45666</v>
      </c>
      <c r="K19" s="294" t="s">
        <v>1294</v>
      </c>
      <c r="L19" s="294">
        <f>IF(C1="",'数据-汇总表'!D3,SUMIF(项目类型,C1,'数据-汇总表'!D17:D26)+SUMIF(项目类型,C1,'数据-汇总表'!H17:H27))</f>
        <v>3457.51</v>
      </c>
      <c r="M19" s="294">
        <f>IF(C1="",'数据-汇总表'!D3,SUMIF(项目类型,C1,'数据-汇总表'!D17:D26))</f>
        <v>3457.51</v>
      </c>
    </row>
    <row r="20" spans="1:36" ht="15">
      <c r="A20" s="1630"/>
      <c r="B20" s="43" t="s">
        <v>1295</v>
      </c>
      <c r="C20" s="129">
        <f ca="1">SUMIF(INDIRECT("'"&amp;C4&amp;"'"&amp;"!A:A"),结果表!B20,INDIRECT("'"&amp;C4&amp;"'"&amp;"!B:B"))</f>
        <v>27927</v>
      </c>
      <c r="D20" s="130">
        <f ca="1">SUMIF(INDIRECT("'"&amp;D4&amp;"'"&amp;"!A:A"),结果表!B20,INDIRECT("'"&amp;D4&amp;"'"&amp;"!B:B"))</f>
        <v>21426</v>
      </c>
      <c r="E20" s="1630"/>
      <c r="F20" s="43" t="s">
        <v>1295</v>
      </c>
      <c r="G20" s="131">
        <f ca="1">ROUND(C20*$C$18+D20*$D$18,0)</f>
        <v>25977</v>
      </c>
      <c r="H20" s="757" t="s">
        <v>1296</v>
      </c>
      <c r="I20" s="121">
        <f ca="1">I19-G19</f>
        <v>14925</v>
      </c>
    </row>
    <row r="21" spans="1:36" ht="15" customHeight="1" thickBot="1">
      <c r="A21" s="449"/>
      <c r="B21" s="93" t="s">
        <v>1297</v>
      </c>
      <c r="C21" s="678">
        <f ca="1">ROUND(C19*10000/L19,0)</f>
        <v>95586</v>
      </c>
      <c r="D21" s="679">
        <f ca="1">ROUND(D19*10000/L19,0)</f>
        <v>73336</v>
      </c>
      <c r="E21" s="449"/>
      <c r="F21" s="93" t="s">
        <v>1297</v>
      </c>
      <c r="G21" s="132">
        <f ca="1">ROUND(G19*10000/L19,0)</f>
        <v>88911</v>
      </c>
      <c r="H21" s="1631" t="s">
        <v>1296</v>
      </c>
      <c r="I21" s="121"/>
    </row>
    <row r="22" spans="1:36" ht="15" thickBot="1">
      <c r="A22" s="1561" t="s">
        <v>1298</v>
      </c>
      <c r="B22" s="1632"/>
      <c r="C22" s="1633"/>
      <c r="D22" s="680">
        <f ca="1">IF(C19&lt;D19,D19/C19-1,C19/D19-1)</f>
        <v>0.30339958984066895</v>
      </c>
      <c r="E22" s="121"/>
      <c r="F22" s="121"/>
      <c r="G22" s="121"/>
      <c r="H22" s="121"/>
      <c r="I22" s="121"/>
    </row>
    <row r="23" spans="1:36" ht="13.5" thickBot="1">
      <c r="A23" s="646"/>
      <c r="B23" s="646"/>
      <c r="C23" s="646"/>
      <c r="D23" s="646"/>
      <c r="E23" s="121"/>
      <c r="F23" s="121"/>
      <c r="G23" s="121"/>
      <c r="H23" s="121"/>
      <c r="I23" s="121"/>
    </row>
    <row r="24" spans="1:36" ht="14.25">
      <c r="A24" s="3518" t="s">
        <v>1299</v>
      </c>
      <c r="B24" s="1628" t="s">
        <v>1291</v>
      </c>
      <c r="C24" s="128">
        <f>IF(B30=0,0,D30)</f>
        <v>0</v>
      </c>
      <c r="D24" s="1634"/>
      <c r="E24" s="121"/>
      <c r="F24" s="121"/>
      <c r="G24" s="121"/>
      <c r="H24" s="121"/>
      <c r="I24" s="121"/>
    </row>
    <row r="25" spans="1:36" ht="14.25">
      <c r="A25" s="3519"/>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f ca="1">IF(D32="总价",G19-C24,G20-C25)</f>
        <v>30741</v>
      </c>
      <c r="D32" s="1638" t="s">
        <v>3703</v>
      </c>
      <c r="E32" s="121"/>
      <c r="F32" s="121"/>
      <c r="G32" s="121"/>
      <c r="H32" s="121"/>
      <c r="I32" s="121"/>
    </row>
    <row r="33" spans="1:15" ht="15">
      <c r="A33" s="737"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#REF!</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495" t="s">
        <v>1312</v>
      </c>
      <c r="B36" s="1649" t="s">
        <v>1313</v>
      </c>
      <c r="C36" s="137"/>
      <c r="D36" s="1650"/>
      <c r="E36" s="1564"/>
      <c r="F36" s="1651"/>
      <c r="G36" s="121"/>
      <c r="H36" s="121"/>
      <c r="I36" s="121"/>
    </row>
    <row r="37" spans="1:15" ht="15.75" thickBot="1">
      <c r="A37" s="3496"/>
      <c r="B37" s="1552" t="s">
        <v>1314</v>
      </c>
      <c r="C37" s="139"/>
      <c r="D37" s="1068"/>
      <c r="E37" s="1068"/>
      <c r="F37" s="1651"/>
      <c r="G37" s="121"/>
      <c r="H37" s="121"/>
      <c r="I37" s="121"/>
    </row>
    <row r="38" spans="1:15" ht="15.75" thickBot="1">
      <c r="A38" s="3497"/>
      <c r="B38" s="1652" t="s">
        <v>1315</v>
      </c>
      <c r="C38" s="641"/>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515" t="s">
        <v>1326</v>
      </c>
      <c r="B45" s="3516"/>
      <c r="C45" s="3517"/>
      <c r="D45" s="147">
        <f ca="1">ROUND(H101*F45,0)</f>
        <v>30741</v>
      </c>
      <c r="E45" s="148" t="s">
        <v>1327</v>
      </c>
      <c r="F45" s="149">
        <v>1</v>
      </c>
      <c r="G45" s="150" t="s">
        <v>1328</v>
      </c>
      <c r="H45" s="121"/>
      <c r="I45" s="121"/>
      <c r="J45" s="3435" t="s">
        <v>1329</v>
      </c>
      <c r="K45" s="3435"/>
      <c r="L45" s="3435"/>
      <c r="M45" s="3435"/>
      <c r="N45" s="3435"/>
      <c r="O45" s="3435"/>
    </row>
    <row r="46" spans="1:15" ht="14.25" customHeight="1">
      <c r="A46" s="3512" t="s">
        <v>1330</v>
      </c>
      <c r="B46" s="3513"/>
      <c r="C46" s="3513"/>
      <c r="D46" s="3513"/>
      <c r="E46" s="3513"/>
      <c r="F46" s="3513"/>
      <c r="G46" s="3514"/>
      <c r="H46" s="1665"/>
      <c r="I46" s="151"/>
      <c r="J46" s="2307">
        <v>1</v>
      </c>
      <c r="K46" s="3436" t="s">
        <v>1331</v>
      </c>
      <c r="L46" s="3436"/>
      <c r="M46" s="3437"/>
      <c r="N46" s="3437"/>
      <c r="O46" s="3437"/>
    </row>
    <row r="47" spans="1:15" ht="12" customHeight="1">
      <c r="A47" s="152" t="s">
        <v>1332</v>
      </c>
      <c r="B47" s="153"/>
      <c r="C47" s="154"/>
      <c r="D47" s="1021" t="s">
        <v>1333</v>
      </c>
      <c r="E47" s="294" t="s">
        <v>1334</v>
      </c>
      <c r="F47" s="155" t="s">
        <v>1335</v>
      </c>
      <c r="G47" s="2330" t="s">
        <v>1336</v>
      </c>
      <c r="H47" s="2331"/>
      <c r="I47" s="151"/>
      <c r="J47" s="2307">
        <v>2</v>
      </c>
      <c r="K47" s="3436" t="s">
        <v>1337</v>
      </c>
      <c r="L47" s="3436"/>
      <c r="M47" s="3438">
        <f>'数据-取费表'!B2</f>
        <v>45291</v>
      </c>
      <c r="N47" s="3438"/>
      <c r="O47" s="3438"/>
    </row>
    <row r="48" spans="1:15" ht="25.5">
      <c r="A48" s="3498" t="s">
        <v>1338</v>
      </c>
      <c r="B48" s="3499"/>
      <c r="C48" s="3499"/>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436" t="s">
        <v>1340</v>
      </c>
      <c r="L48" s="3436"/>
      <c r="M48" s="3439">
        <f ca="1">H101</f>
        <v>30741</v>
      </c>
      <c r="N48" s="3439"/>
      <c r="O48" s="3439"/>
    </row>
    <row r="49" spans="1:35" ht="25.5" customHeight="1">
      <c r="A49" s="2149" t="s">
        <v>1341</v>
      </c>
      <c r="B49" s="3484" t="s">
        <v>1342</v>
      </c>
      <c r="C49" s="3484"/>
      <c r="D49" s="1475">
        <v>0</v>
      </c>
      <c r="E49" s="316" t="s">
        <v>1343</v>
      </c>
      <c r="F49" s="2230" t="s">
        <v>28</v>
      </c>
      <c r="G49" s="3467"/>
      <c r="H49" s="2131" t="s">
        <v>2134</v>
      </c>
      <c r="I49" s="2132"/>
      <c r="J49" s="2307">
        <v>4</v>
      </c>
      <c r="K49" s="3436" t="str">
        <f>IF(项目基本情况!E8="房地产抵押价值","房地产抵押价值","抵押担保权已注销时的房地产抵押价值")</f>
        <v>抵押担保权已注销时的房地产抵押价值</v>
      </c>
      <c r="L49" s="3436"/>
      <c r="M49" s="3439" t="str">
        <f>IF(项目基本情况!E8="房地产抵押价值",H107,H109)</f>
        <v>——</v>
      </c>
      <c r="N49" s="3439"/>
      <c r="O49" s="3439"/>
    </row>
    <row r="50" spans="1:35" ht="25.5" customHeight="1">
      <c r="A50" s="2335"/>
      <c r="B50" s="3484" t="s">
        <v>1344</v>
      </c>
      <c r="C50" s="3484"/>
      <c r="D50" s="2186"/>
      <c r="E50" s="323"/>
      <c r="F50" s="2230"/>
      <c r="G50" s="3468"/>
      <c r="H50" s="2133" t="s">
        <v>2135</v>
      </c>
      <c r="I50" s="2132"/>
      <c r="J50" s="3435" t="s">
        <v>1345</v>
      </c>
      <c r="K50" s="3435"/>
      <c r="L50" s="3435"/>
      <c r="M50" s="3435"/>
      <c r="N50" s="3435"/>
      <c r="O50" s="3435"/>
    </row>
    <row r="51" spans="1:35" ht="20.45" customHeight="1">
      <c r="A51" s="2336"/>
      <c r="B51" s="3484" t="s">
        <v>1346</v>
      </c>
      <c r="C51" s="3484"/>
      <c r="D51" s="1021"/>
      <c r="E51" s="319"/>
      <c r="F51" s="2230"/>
      <c r="G51" s="3469"/>
      <c r="H51" s="2133" t="s">
        <v>2136</v>
      </c>
      <c r="I51" s="2132"/>
      <c r="J51" s="2308" t="s">
        <v>1347</v>
      </c>
      <c r="K51" s="3436" t="s">
        <v>1348</v>
      </c>
      <c r="L51" s="3436"/>
      <c r="M51" s="2308" t="s">
        <v>1349</v>
      </c>
      <c r="N51" s="2308" t="s">
        <v>1350</v>
      </c>
      <c r="O51" s="2308" t="s">
        <v>1351</v>
      </c>
    </row>
    <row r="52" spans="1:35" ht="24" customHeight="1">
      <c r="A52" s="2150" t="s">
        <v>1352</v>
      </c>
      <c r="B52" s="3484" t="s">
        <v>1353</v>
      </c>
      <c r="C52" s="3484"/>
      <c r="D52" s="1021">
        <f ca="1">ROUND(D45*'数据-取费表'!B41/(1+'数据-取费表'!C42),0)</f>
        <v>1640</v>
      </c>
      <c r="E52" s="1253" t="s">
        <v>1354</v>
      </c>
      <c r="F52" s="2337">
        <f>'数据-取费表'!B41</f>
        <v>5.6000000000000001E-2</v>
      </c>
      <c r="G52" s="2338"/>
      <c r="H52" s="2328"/>
      <c r="I52" s="1666"/>
      <c r="J52" s="2307">
        <v>1</v>
      </c>
      <c r="K52" s="3461" t="s">
        <v>1355</v>
      </c>
      <c r="L52" s="3461"/>
      <c r="M52" s="2309" t="b">
        <f>D48</f>
        <v>0</v>
      </c>
      <c r="N52" s="2307" t="str">
        <f>E48</f>
        <v>销售额×税（费）率</v>
      </c>
      <c r="O52" s="2310">
        <f>F48</f>
        <v>5.6000000000000001E-2</v>
      </c>
    </row>
    <row r="53" spans="1:35" ht="12" customHeight="1">
      <c r="A53" s="2150" t="s">
        <v>1356</v>
      </c>
      <c r="B53" s="3485" t="s">
        <v>2291</v>
      </c>
      <c r="C53" s="3486"/>
      <c r="D53" s="1021">
        <f ca="1">ROUND(D45*'数据-取费表'!B41/(1+'数据-取费表'!C42),0)</f>
        <v>1640</v>
      </c>
      <c r="E53" s="1253" t="s">
        <v>1354</v>
      </c>
      <c r="F53" s="2337">
        <f>'数据-取费表'!B41</f>
        <v>5.6000000000000001E-2</v>
      </c>
      <c r="G53" s="2338"/>
      <c r="H53" s="2328"/>
      <c r="I53" s="1666"/>
      <c r="J53" s="2307">
        <v>2</v>
      </c>
      <c r="K53" s="3461" t="s">
        <v>1357</v>
      </c>
      <c r="L53" s="3461"/>
      <c r="M53" s="2309">
        <f t="shared" ref="M53:O54" ca="1" si="0">D55</f>
        <v>15</v>
      </c>
      <c r="N53" s="2307" t="str">
        <f t="shared" si="0"/>
        <v>销售额×税（费）率</v>
      </c>
      <c r="O53" s="2310" t="str">
        <f t="shared" si="0"/>
        <v>免征</v>
      </c>
    </row>
    <row r="54" spans="1:35" ht="12" customHeight="1">
      <c r="A54" s="2150" t="s">
        <v>1358</v>
      </c>
      <c r="B54" s="3485" t="s">
        <v>2292</v>
      </c>
      <c r="C54" s="3486"/>
      <c r="D54" s="1021">
        <f ca="1">C68</f>
        <v>1640</v>
      </c>
      <c r="E54" s="319" t="s">
        <v>1359</v>
      </c>
      <c r="F54" s="2337">
        <f>'数据-取费表'!B41</f>
        <v>5.6000000000000001E-2</v>
      </c>
      <c r="G54" s="2338"/>
      <c r="H54" s="2339"/>
      <c r="I54" s="1666"/>
      <c r="J54" s="2307">
        <v>3</v>
      </c>
      <c r="K54" s="3461" t="s">
        <v>1360</v>
      </c>
      <c r="L54" s="3461"/>
      <c r="M54" s="2309">
        <f t="shared" ca="1" si="0"/>
        <v>17399</v>
      </c>
      <c r="N54" s="2307" t="str">
        <f t="shared" si="0"/>
        <v>增值额×税（费）率</v>
      </c>
      <c r="O54" s="2311" t="str">
        <f t="shared" si="0"/>
        <v>免征</v>
      </c>
    </row>
    <row r="55" spans="1:35" ht="24" customHeight="1">
      <c r="A55" s="3521" t="s">
        <v>1361</v>
      </c>
      <c r="B55" s="3499"/>
      <c r="C55" s="3499"/>
      <c r="D55" s="12">
        <f ca="1">IF(H55="个人住宅",0,ROUND(D45*I55,0))</f>
        <v>15</v>
      </c>
      <c r="E55" s="1253" t="s">
        <v>1362</v>
      </c>
      <c r="F55" s="2337" t="str">
        <f>IF(H55="正常",I55,"免征")</f>
        <v>免征</v>
      </c>
      <c r="G55" s="2338"/>
      <c r="H55" s="2334"/>
      <c r="I55" s="157">
        <f>'数据-取费表'!B49</f>
        <v>5.0000000000000001E-4</v>
      </c>
      <c r="J55" s="2307">
        <f>IF(H59="非个人房产","",4)</f>
        <v>4</v>
      </c>
      <c r="K55" s="3461" t="str">
        <f>IF(H59="非个人房产","——","个人所得税")</f>
        <v>个人所得税</v>
      </c>
      <c r="L55" s="3461"/>
      <c r="M55" s="2312">
        <f ca="1">D59</f>
        <v>293</v>
      </c>
      <c r="N55" s="1880" t="str">
        <f>E59</f>
        <v>差额计税</v>
      </c>
      <c r="O55" s="2313">
        <f>F59</f>
        <v>0.01</v>
      </c>
    </row>
    <row r="56" spans="1:35" ht="24.75">
      <c r="A56" s="3521" t="s">
        <v>1363</v>
      </c>
      <c r="B56" s="3499"/>
      <c r="C56" s="3499"/>
      <c r="D56" s="12">
        <f ca="1">IF(H56="个人住宅",D57,D58)</f>
        <v>17399</v>
      </c>
      <c r="E56" s="1253" t="s">
        <v>1364</v>
      </c>
      <c r="F56" s="2337" t="str">
        <f>IF(H56="正常",F58,"免征")</f>
        <v>免征</v>
      </c>
      <c r="G56" s="2340" t="s">
        <v>1365</v>
      </c>
      <c r="H56" s="2341"/>
      <c r="I56" s="1667"/>
      <c r="J56" s="2307" t="str">
        <f>IF(项目基本情况!K6="上海银行",IF(J55="",4,J55+1),"")</f>
        <v/>
      </c>
      <c r="K56" s="3442" t="str">
        <f>IF(项目基本情况!K6="上海银行","其他处置费用","")</f>
        <v/>
      </c>
      <c r="L56" s="3443"/>
      <c r="M56" s="2309" t="str">
        <f>IF(项目基本情况!K6="上海银行",M69,"")</f>
        <v/>
      </c>
      <c r="N56" s="3442" t="str">
        <f>IF(项目基本情况!K6="上海银行","包含处置中涉及的律师、诉讼、拍卖、评估等费用","")</f>
        <v/>
      </c>
      <c r="O56" s="3445"/>
    </row>
    <row r="57" spans="1:35" ht="12.75">
      <c r="A57" s="2150" t="s">
        <v>1341</v>
      </c>
      <c r="B57" s="3485" t="s">
        <v>1366</v>
      </c>
      <c r="C57" s="3486"/>
      <c r="D57" s="1475">
        <v>0</v>
      </c>
      <c r="E57" s="316" t="s">
        <v>1343</v>
      </c>
      <c r="F57" s="294"/>
      <c r="G57" s="2338"/>
      <c r="H57" s="2342"/>
      <c r="I57" s="1667"/>
      <c r="J57" s="3461">
        <f>IF(AND(J55="",J56=""),4,IF(项目基本情况!K6="上海银行",结果表!J56+1,结果表!J55+1))</f>
        <v>5</v>
      </c>
      <c r="K57" s="3461" t="s">
        <v>1367</v>
      </c>
      <c r="L57" s="2314" t="s">
        <v>1368</v>
      </c>
      <c r="M57" s="2315"/>
      <c r="N57" s="2316">
        <f ca="1">SUMIF(M52:M56,"&lt;9e307")</f>
        <v>17707</v>
      </c>
      <c r="O57" s="2317"/>
      <c r="P57" s="2462" t="e">
        <f ca="1">N57/M49</f>
        <v>#VALUE!</v>
      </c>
    </row>
    <row r="58" spans="1:35" ht="24.75">
      <c r="A58" s="2150" t="s">
        <v>1352</v>
      </c>
      <c r="B58" s="3485" t="s">
        <v>1369</v>
      </c>
      <c r="C58" s="3484"/>
      <c r="D58" s="12">
        <f ca="1">IF(H58="转让取得",C81,C97)</f>
        <v>17399</v>
      </c>
      <c r="E58" s="1253" t="s">
        <v>1364</v>
      </c>
      <c r="F58" s="294" t="s">
        <v>28</v>
      </c>
      <c r="G58" s="2338"/>
      <c r="H58" s="2341"/>
      <c r="I58" s="1667"/>
      <c r="J58" s="3461"/>
      <c r="K58" s="3461"/>
      <c r="L58" s="2314" t="s">
        <v>1370</v>
      </c>
      <c r="M58" s="2318"/>
      <c r="N58" s="2319" t="str">
        <f ca="1">NUMBERSTRING(INT(N57*10000),2)&amp;"元整"</f>
        <v>壹亿柒仟柒佰零柒万元整</v>
      </c>
      <c r="O58" s="2320"/>
    </row>
    <row r="59" spans="1:35" ht="24.75" thickBot="1">
      <c r="A59" s="3465" t="s">
        <v>1371</v>
      </c>
      <c r="B59" s="3466"/>
      <c r="C59" s="3466"/>
      <c r="D59" s="2343">
        <f ca="1">IF(H59="非个人房产","——",IF(H59="个人住宅（满五唯一有凭证）",0,IF(H59="个人其他（无凭证）",ROUND(D45*F59,0),ROUND(C67*F59,0))))</f>
        <v>293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463">
        <f>J57+1</f>
        <v>6</v>
      </c>
      <c r="K59" s="3461" t="s">
        <v>1372</v>
      </c>
      <c r="L59" s="2307" t="s">
        <v>1368</v>
      </c>
      <c r="M59" s="2321"/>
      <c r="N59" s="2322" t="e">
        <f ca="1">M49-N57</f>
        <v>#VALUE!</v>
      </c>
      <c r="O59" s="2323"/>
    </row>
    <row r="60" spans="1:35" ht="12" customHeight="1">
      <c r="A60" s="1668"/>
      <c r="B60" s="646"/>
      <c r="C60" s="646"/>
      <c r="D60" s="646"/>
      <c r="E60" s="1463"/>
      <c r="F60" s="1667"/>
      <c r="G60" s="1667"/>
      <c r="H60" s="151"/>
      <c r="I60" s="121"/>
      <c r="J60" s="3464"/>
      <c r="K60" s="3461"/>
      <c r="L60" s="2314" t="s">
        <v>1370</v>
      </c>
      <c r="M60" s="2318"/>
      <c r="N60" s="2319" t="e">
        <f ca="1">NUMBERSTRING(INT(N59*10000),2)&amp;"元整"</f>
        <v>#VALUE!</v>
      </c>
      <c r="O60" s="2320"/>
    </row>
    <row r="61" spans="1:35" ht="13.5" thickBot="1">
      <c r="A61" s="3520" t="s">
        <v>1373</v>
      </c>
      <c r="B61" s="3520"/>
      <c r="C61" s="3520"/>
      <c r="D61" s="3520"/>
      <c r="E61" s="3520"/>
      <c r="F61" s="1667"/>
      <c r="G61" s="1667"/>
      <c r="H61" s="151"/>
      <c r="I61" s="121"/>
      <c r="J61" s="2307">
        <f>J59+1</f>
        <v>7</v>
      </c>
      <c r="K61" s="3461" t="s">
        <v>1374</v>
      </c>
      <c r="L61" s="3461"/>
      <c r="M61" s="2324"/>
      <c r="N61" s="2325" t="e">
        <f ca="1">ROUND(N59*10000/'数据-汇总表'!E3,0)</f>
        <v>#VALUE!</v>
      </c>
      <c r="O61" s="2326"/>
    </row>
    <row r="62" spans="1:35" ht="12.75">
      <c r="A62" s="3480" t="s">
        <v>1375</v>
      </c>
      <c r="B62" s="3481"/>
      <c r="C62" s="1862"/>
      <c r="D62" s="1862" t="s">
        <v>1376</v>
      </c>
      <c r="E62" s="158" t="s">
        <v>1377</v>
      </c>
      <c r="F62" s="1667"/>
      <c r="G62" s="1667"/>
      <c r="H62" s="151"/>
      <c r="I62" s="121"/>
    </row>
    <row r="63" spans="1:35" ht="12.75">
      <c r="A63" s="165" t="s">
        <v>330</v>
      </c>
      <c r="B63" s="159" t="s">
        <v>1378</v>
      </c>
      <c r="C63" s="2347">
        <f ca="1">ROUND((C64+C65)/(1+'数据-取费表'!C42),0)</f>
        <v>29277</v>
      </c>
      <c r="D63" s="159"/>
      <c r="E63" s="160"/>
      <c r="F63" s="1667"/>
      <c r="G63" s="1667"/>
      <c r="H63" s="151"/>
      <c r="I63" s="121"/>
      <c r="J63" s="3444" t="s">
        <v>1379</v>
      </c>
      <c r="K63" s="1242" t="s">
        <v>1380</v>
      </c>
      <c r="L63" s="1242" t="e">
        <f>IF(M49&gt;10000,M49*0.5%,IF(AND(M49&gt;1000,M49&lt;=10000),M49*1%,IF(AND(M49&gt;100,M49&lt;=1000),M49*3%,IF(AND(M49&gt;10,M49&lt;=100),M49*5%,M49*8%))))</f>
        <v>#VALUE!</v>
      </c>
      <c r="M63" s="294" t="e">
        <f>ROUND(L63,1)</f>
        <v>#VALUE!</v>
      </c>
      <c r="N63" s="2327"/>
      <c r="Z63" s="1620"/>
      <c r="AI63" s="1558"/>
    </row>
    <row r="64" spans="1:35" ht="14.25" customHeight="1">
      <c r="A64" s="161" t="s">
        <v>325</v>
      </c>
      <c r="B64" s="162" t="s">
        <v>1381</v>
      </c>
      <c r="C64" s="2348">
        <f ca="1">D45</f>
        <v>30741</v>
      </c>
      <c r="D64" s="162" t="s">
        <v>26</v>
      </c>
      <c r="E64" s="164"/>
      <c r="F64" s="1667"/>
      <c r="G64" s="1667"/>
      <c r="H64" s="151"/>
      <c r="I64" s="121"/>
      <c r="J64" s="3444"/>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0"/>
      <c r="AI64" s="1558"/>
    </row>
    <row r="65" spans="1:35" ht="14.25" customHeight="1">
      <c r="A65" s="161" t="s">
        <v>326</v>
      </c>
      <c r="B65" s="162" t="s">
        <v>1384</v>
      </c>
      <c r="C65" s="2349"/>
      <c r="D65" s="162"/>
      <c r="E65" s="164"/>
      <c r="F65" s="1667"/>
      <c r="G65" s="1667"/>
      <c r="H65" s="151"/>
      <c r="I65" s="121"/>
      <c r="J65" s="3444"/>
      <c r="K65" s="1242" t="s">
        <v>1385</v>
      </c>
      <c r="L65" s="1242" t="e">
        <f>IF(M49&gt;1000,M49*0.1%,IF(AND(M49&gt;500,M49&lt;=1000),M49*0.5%,IF(AND(M49&gt;50,M49&lt;=500),M49*1%,IF(AND(M49&gt;1,M49&lt;=50),M49*1.5%))))</f>
        <v>#VALUE!</v>
      </c>
      <c r="M65" s="294" t="e">
        <f t="shared" si="1"/>
        <v>#VALUE!</v>
      </c>
      <c r="N65" s="2328" t="s">
        <v>1383</v>
      </c>
      <c r="Z65" s="1620"/>
      <c r="AI65" s="1558"/>
    </row>
    <row r="66" spans="1:35" ht="14.25" customHeight="1">
      <c r="A66" s="165" t="s">
        <v>327</v>
      </c>
      <c r="B66" s="166" t="s">
        <v>1386</v>
      </c>
      <c r="C66" s="2350"/>
      <c r="D66" s="166" t="s">
        <v>26</v>
      </c>
      <c r="E66" s="1248" t="s">
        <v>671</v>
      </c>
      <c r="F66" s="1667"/>
      <c r="G66" s="1667"/>
      <c r="H66" s="151"/>
      <c r="I66" s="121"/>
      <c r="J66" s="3444"/>
      <c r="K66" s="1242" t="s">
        <v>1387</v>
      </c>
      <c r="L66" s="1242" t="e">
        <f>M49*0.5%</f>
        <v>#VALUE!</v>
      </c>
      <c r="M66" s="294" t="e">
        <f>IF(L66&gt;0.5,0.5,ROUND(L66,0))</f>
        <v>#VALUE!</v>
      </c>
      <c r="N66" s="2328" t="s">
        <v>1388</v>
      </c>
      <c r="Z66" s="1620"/>
      <c r="AI66" s="1558"/>
    </row>
    <row r="67" spans="1:35" ht="14.25" customHeight="1">
      <c r="A67" s="165" t="s">
        <v>328</v>
      </c>
      <c r="B67" s="166" t="s">
        <v>1389</v>
      </c>
      <c r="C67" s="2351">
        <f ca="1">C63-C66</f>
        <v>29277</v>
      </c>
      <c r="D67" s="162" t="s">
        <v>26</v>
      </c>
      <c r="E67" s="164"/>
      <c r="F67" s="1667"/>
      <c r="G67" s="1667"/>
      <c r="H67" s="151"/>
      <c r="I67" s="121"/>
      <c r="J67" s="3444"/>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0"/>
      <c r="AI67" s="1558"/>
    </row>
    <row r="68" spans="1:35" ht="14.25" customHeight="1" thickBot="1">
      <c r="A68" s="168" t="s">
        <v>329</v>
      </c>
      <c r="B68" s="169" t="s">
        <v>1391</v>
      </c>
      <c r="C68" s="2352">
        <f ca="1">IF(C67&lt;=0,0,ROUND(C67*D68,0))</f>
        <v>1640</v>
      </c>
      <c r="D68" s="2353">
        <f>'数据-取费表'!B41</f>
        <v>5.6000000000000001E-2</v>
      </c>
      <c r="E68" s="170"/>
      <c r="F68" s="1667"/>
      <c r="G68" s="1667"/>
      <c r="H68" s="151"/>
      <c r="I68" s="121"/>
      <c r="J68" s="3444"/>
      <c r="K68" s="1242" t="s">
        <v>1392</v>
      </c>
      <c r="L68" s="1242" t="e">
        <f>IF(M49&gt;10000,M49*0.5%,IF(AND(M49&gt;5000,M49&lt;=10000),M49*1%,IF(AND(M49&gt;1000,M49&lt;=5000),M49*2%,IF(AND(M49&gt;200,M49&lt;=1000),M49*3%,M49*5%))))</f>
        <v>#VALUE!</v>
      </c>
      <c r="M68" s="294" t="e">
        <f>ROUND(L68,1)</f>
        <v>#VALUE!</v>
      </c>
      <c r="N68" s="2327"/>
      <c r="Z68" s="1620"/>
      <c r="AI68" s="1558"/>
    </row>
    <row r="69" spans="1:35" ht="16.5" customHeight="1">
      <c r="A69" s="1669"/>
      <c r="B69" s="1670"/>
      <c r="C69" s="1671"/>
      <c r="D69" s="1672"/>
      <c r="E69" s="1673"/>
      <c r="F69" s="1463"/>
      <c r="G69" s="1463"/>
      <c r="H69" s="1464"/>
      <c r="I69" s="646"/>
      <c r="J69" s="3444"/>
      <c r="K69" s="1242" t="s">
        <v>1393</v>
      </c>
      <c r="L69" s="1242"/>
      <c r="M69" s="294" t="e">
        <f>ROUND(SUM(M63:M68),0)</f>
        <v>#VALUE!</v>
      </c>
      <c r="N69" s="2329" t="e">
        <f>M69/M49</f>
        <v>#VALUE!</v>
      </c>
      <c r="Z69" s="1620"/>
      <c r="AI69" s="1558"/>
    </row>
    <row r="70" spans="1:35" s="642" customFormat="1" ht="15" thickBot="1">
      <c r="A70" s="3488" t="s">
        <v>1394</v>
      </c>
      <c r="B70" s="3489"/>
      <c r="C70" s="3489"/>
      <c r="D70" s="3489"/>
      <c r="E70" s="3489"/>
      <c r="F70" s="3489"/>
      <c r="G70" s="3489"/>
      <c r="H70" s="3489"/>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480" t="s">
        <v>1375</v>
      </c>
      <c r="B71" s="3481"/>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51">
        <f ca="1">ROUND(D45/(1+'数据-取费表'!C42),0)</f>
        <v>29277</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51">
        <f ca="1">C74+C78</f>
        <v>176</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4"/>
      <c r="D75" s="162" t="s">
        <v>26</v>
      </c>
      <c r="E75" s="176" t="s">
        <v>1399</v>
      </c>
      <c r="F75" s="2355"/>
      <c r="G75" s="176"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7">
        <v>0.05</v>
      </c>
      <c r="E76" s="3485" t="s">
        <v>1402</v>
      </c>
      <c r="F76" s="3484"/>
      <c r="G76" s="3484"/>
      <c r="H76" s="348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9">
        <f ca="1">ROUND(D45*D78/(1+'数据-取费表'!C42),0)</f>
        <v>176</v>
      </c>
      <c r="D78" s="2360">
        <f>'数据-取费表'!B43</f>
        <v>6.000000000000001E-3</v>
      </c>
      <c r="E78" s="3477" t="s">
        <v>1406</v>
      </c>
      <c r="F78" s="3478"/>
      <c r="G78" s="3478"/>
      <c r="H78" s="347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51">
        <f ca="1">C72-C73</f>
        <v>29101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61">
        <f ca="1">IF(C79&lt;=0,0,C79/C73)</f>
        <v>165.34659090909091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62">
        <f ca="1">ROUND(IF(C79&lt;=0,0,IF(C80&gt;=200%,C79*60%-C73*35%,IF(C80&gt;=100%,C79*50%-C73*15%,IF(C80&gt;=50%,C79*40%-C73*5%,IF(C80&lt;50%,C79*30%,0))))),0)</f>
        <v>17399</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488" t="s">
        <v>1410</v>
      </c>
      <c r="B83" s="3489"/>
      <c r="C83" s="3489"/>
      <c r="D83" s="3489"/>
      <c r="E83" s="3489"/>
      <c r="F83" s="3489"/>
      <c r="G83" s="3489"/>
      <c r="H83" s="348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480" t="s">
        <v>1375</v>
      </c>
      <c r="B84" s="3481"/>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51">
        <f ca="1">ROUND(D45/(1+'数据-取费表'!C42),0)</f>
        <v>29277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51">
        <f ca="1">IF(H88="仅含出让金",C87+C90+C91+C92+C93+C94,C87+C91+C92+C93+C94)</f>
        <v>176</v>
      </c>
      <c r="D86" s="2364"/>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5"/>
      <c r="D88" s="2360"/>
      <c r="E88" s="185" t="s">
        <v>1413</v>
      </c>
      <c r="F88" s="2145"/>
      <c r="G88" s="186" t="s">
        <v>1414</v>
      </c>
      <c r="H88" s="1681"/>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9">
        <f>ROUND(C88*D89,0)</f>
        <v>0</v>
      </c>
      <c r="D89" s="2360">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5"/>
      <c r="D90" s="2360"/>
      <c r="E90" s="185" t="str">
        <f>IF(H88="-","土地取得成本中已包含该笔费用"," ")</f>
        <v xml:space="preserve"> </v>
      </c>
      <c r="F90" s="2145"/>
      <c r="G90" s="3446" t="s">
        <v>2129</v>
      </c>
      <c r="H90" s="3447"/>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9">
        <f>IF(H91="——",成本法!C33,I91)</f>
        <v>0</v>
      </c>
      <c r="D91" s="2360"/>
      <c r="E91" s="3477" t="s">
        <v>1419</v>
      </c>
      <c r="F91" s="3478"/>
      <c r="G91" s="347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9">
        <f>ROUND((C87+C90+C91)*D92,0)</f>
        <v>0</v>
      </c>
      <c r="D92" s="2366"/>
      <c r="E92" s="3477" t="s">
        <v>1422</v>
      </c>
      <c r="F92" s="3478"/>
      <c r="G92" s="3478"/>
      <c r="H92" s="3479"/>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9">
        <f ca="1">ROUND(D45*D93/(1+'数据-取费表'!C42),0)</f>
        <v>176</v>
      </c>
      <c r="D93" s="2360">
        <f>'数据-取费表'!B43</f>
        <v>6.000000000000001E-3</v>
      </c>
      <c r="E93" s="3477" t="s">
        <v>1406</v>
      </c>
      <c r="F93" s="3478"/>
      <c r="G93" s="3478"/>
      <c r="H93" s="347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5">
        <f>ROUND((C87+C90+C91)*D94,0)</f>
        <v>0</v>
      </c>
      <c r="D94" s="2360">
        <v>0.2</v>
      </c>
      <c r="E94" s="3522" t="s">
        <v>1426</v>
      </c>
      <c r="F94" s="3523"/>
      <c r="G94" s="3523"/>
      <c r="H94" s="352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51">
        <f ca="1">ROUND(C85-C86,0)</f>
        <v>29101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61">
        <f ca="1">IF(C95&lt;=0,0,C95/C86)</f>
        <v>165.34659090909091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62">
        <f ca="1">ROUND(IF(C95&lt;=0,0,IF(C96&gt;=200%,C95*60%-C86*35%,IF(C96&gt;=100%,C95*50%-C86*15%,IF(C96&gt;=50%,C95*40%-C86*5%,IF(C96&lt;50%,C95*30%,0))))),0)</f>
        <v>17399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427" t="s">
        <v>1428</v>
      </c>
      <c r="B100" s="3428"/>
      <c r="C100" s="3428"/>
      <c r="D100" s="3462"/>
      <c r="E100" s="3428" t="s">
        <v>1429</v>
      </c>
      <c r="F100" s="3428"/>
      <c r="G100" s="3428"/>
      <c r="H100" s="3462"/>
      <c r="I100" s="121"/>
    </row>
    <row r="101" spans="1:35" ht="18.75" customHeight="1">
      <c r="A101" s="3470" t="s">
        <v>1430</v>
      </c>
      <c r="B101" s="3471"/>
      <c r="C101" s="2368" t="str">
        <f>C4</f>
        <v>比较法-办公</v>
      </c>
      <c r="D101" s="2369" t="str">
        <f>D4</f>
        <v>收益法（汇总）</v>
      </c>
      <c r="E101" s="3440" t="s">
        <v>1431</v>
      </c>
      <c r="F101" s="3441"/>
      <c r="G101" s="1684" t="s">
        <v>1432</v>
      </c>
      <c r="H101" s="2378">
        <f ca="1">H118</f>
        <v>30741</v>
      </c>
      <c r="I101" s="121"/>
    </row>
    <row r="102" spans="1:35" ht="18.75" customHeight="1">
      <c r="A102" s="3472" t="s">
        <v>1433</v>
      </c>
      <c r="B102" s="2367" t="s">
        <v>1432</v>
      </c>
      <c r="C102" s="2368">
        <f ca="1">IF(D32="楼面单价",ROUND(C19,0),C19)</f>
        <v>33049</v>
      </c>
      <c r="D102" s="2369">
        <f ca="1">IF(D32="楼面单价",ROUND(D19,0),D19)</f>
        <v>25356</v>
      </c>
      <c r="E102" s="3440"/>
      <c r="F102" s="3441"/>
      <c r="G102" s="1684" t="s">
        <v>1434</v>
      </c>
      <c r="H102" s="2338">
        <f ca="1">I118</f>
        <v>25977</v>
      </c>
      <c r="I102" s="121"/>
    </row>
    <row r="103" spans="1:35" ht="42.75" customHeight="1">
      <c r="A103" s="3472"/>
      <c r="B103" s="2367" t="s">
        <v>1434</v>
      </c>
      <c r="C103" s="2370">
        <f ca="1">C20</f>
        <v>27927</v>
      </c>
      <c r="D103" s="2371">
        <f ca="1">D20</f>
        <v>21426</v>
      </c>
      <c r="E103" s="3433" t="s">
        <v>1435</v>
      </c>
      <c r="F103" s="3434"/>
      <c r="G103" s="1685" t="s">
        <v>1436</v>
      </c>
      <c r="H103" s="2378">
        <f>IF(D36="正常操作",H104+H105+H106,H105+H106)</f>
        <v>0</v>
      </c>
      <c r="I103" s="121"/>
    </row>
    <row r="104" spans="1:35" ht="18.75" customHeight="1">
      <c r="A104" s="3472" t="s">
        <v>1437</v>
      </c>
      <c r="B104" s="2372" t="s">
        <v>1432</v>
      </c>
      <c r="C104" s="2373">
        <f ca="1">H118</f>
        <v>30741</v>
      </c>
      <c r="D104" s="2374"/>
      <c r="E104" s="1552" t="s">
        <v>1438</v>
      </c>
      <c r="F104" s="1545"/>
      <c r="G104" s="1685" t="s">
        <v>1436</v>
      </c>
      <c r="H104" s="2379">
        <f>IF(D36="同一抵押权人同一抵押物续贷",C36&amp;"（续贷，未扣减，详见特别提示）",C36)</f>
        <v>0</v>
      </c>
      <c r="I104" s="121"/>
    </row>
    <row r="105" spans="1:35" ht="18.75" customHeight="1" thickBot="1">
      <c r="A105" s="3482"/>
      <c r="B105" s="2375" t="s">
        <v>1434</v>
      </c>
      <c r="C105" s="2376">
        <f ca="1">I118</f>
        <v>25977</v>
      </c>
      <c r="D105" s="2377"/>
      <c r="E105" s="1552" t="s">
        <v>1439</v>
      </c>
      <c r="F105" s="1545"/>
      <c r="G105" s="1685" t="s">
        <v>1436</v>
      </c>
      <c r="H105" s="2380">
        <f>C37</f>
        <v>0</v>
      </c>
      <c r="I105" s="121"/>
    </row>
    <row r="106" spans="1:35" ht="18.75" customHeight="1">
      <c r="A106" s="646" t="s">
        <v>1440</v>
      </c>
      <c r="B106" s="646"/>
      <c r="C106" s="646"/>
      <c r="D106" s="646"/>
      <c r="E106" s="1686" t="s">
        <v>1441</v>
      </c>
      <c r="F106" s="1545"/>
      <c r="G106" s="1685" t="s">
        <v>1436</v>
      </c>
      <c r="H106" s="2380">
        <f>C38</f>
        <v>0</v>
      </c>
      <c r="I106" s="121"/>
    </row>
    <row r="107" spans="1:35" ht="18.75" customHeight="1">
      <c r="A107" s="121"/>
      <c r="B107" s="121"/>
      <c r="C107" s="121"/>
      <c r="D107" s="121"/>
      <c r="E107" s="3473" t="str">
        <f>IF(项目基本情况!E8="已注销","——","3.房地产抵押价值")</f>
        <v>3.房地产抵押价值</v>
      </c>
      <c r="F107" s="3441"/>
      <c r="G107" s="1684" t="s">
        <v>1432</v>
      </c>
      <c r="H107" s="2378">
        <f ca="1">IF(E107="——","——",H101-H103)</f>
        <v>30741</v>
      </c>
      <c r="I107" s="121"/>
    </row>
    <row r="108" spans="1:35" ht="18.75" customHeight="1">
      <c r="A108" s="121"/>
      <c r="B108" s="121"/>
      <c r="C108" s="121"/>
      <c r="D108" s="121"/>
      <c r="E108" s="3473"/>
      <c r="F108" s="3441"/>
      <c r="G108" s="1684" t="s">
        <v>1434</v>
      </c>
      <c r="H108" s="2338">
        <f ca="1">IF(H107=H101,H102,ROUND(H107*10000/'数据-汇总表'!E3,0))</f>
        <v>25977</v>
      </c>
      <c r="I108" s="121"/>
    </row>
    <row r="109" spans="1:35" ht="18.75" customHeight="1">
      <c r="A109" s="121"/>
      <c r="B109" s="121"/>
      <c r="C109" s="121"/>
      <c r="D109" s="121"/>
      <c r="E109" s="3473" t="str">
        <f>IF(项目基本情况!E8="已注销及未注销","4.抵押担保权已注销时的房地产抵押价值",IF(项目基本情况!E8="已注销","3.抵押担保权已注销时的房地产抵押价值","——"))</f>
        <v>——</v>
      </c>
      <c r="F109" s="3441"/>
      <c r="G109" s="1684" t="s">
        <v>1432</v>
      </c>
      <c r="H109" s="2381" t="str">
        <f>IF(E109="——","——",H101-H105-H106)</f>
        <v>——</v>
      </c>
      <c r="I109" s="121"/>
    </row>
    <row r="110" spans="1:35" ht="18.75" customHeight="1">
      <c r="A110" s="121"/>
      <c r="B110" s="121"/>
      <c r="C110" s="121"/>
      <c r="D110" s="121"/>
      <c r="E110" s="3473"/>
      <c r="F110" s="3441"/>
      <c r="G110" s="1684" t="s">
        <v>1434</v>
      </c>
      <c r="H110" s="2338" t="str">
        <f>IF(H109="——","——",ROUND(H109*10000/'数据-汇总表'!E3,0))</f>
        <v>——</v>
      </c>
      <c r="I110" s="121"/>
    </row>
    <row r="111" spans="1:35" ht="18.75" customHeight="1">
      <c r="A111" s="121"/>
      <c r="B111" s="121"/>
      <c r="C111" s="121"/>
      <c r="D111" s="121"/>
      <c r="E111" s="3474" t="str">
        <f>IF(项目基本情况!E9="抵押净值",IF(OR(项目基本情况!E8="已注销",项目基本情况!E8="房地产抵押价值"),"4.抵押净值","5.抵押净值"),"——")</f>
        <v>——</v>
      </c>
      <c r="F111" s="3460"/>
      <c r="G111" s="1684" t="s">
        <v>1432</v>
      </c>
      <c r="H111" s="2378" t="str">
        <f>IF(E111="——","——",N59)</f>
        <v>——</v>
      </c>
      <c r="I111" s="121"/>
    </row>
    <row r="112" spans="1:35" ht="18.75" customHeight="1" thickBot="1">
      <c r="A112" s="121"/>
      <c r="B112" s="121"/>
      <c r="C112" s="121"/>
      <c r="D112" s="121"/>
      <c r="E112" s="3475"/>
      <c r="F112" s="3476"/>
      <c r="G112" s="1687" t="s">
        <v>1434</v>
      </c>
      <c r="H112" s="2382" t="str">
        <f>IF(E111="——","——",N61)</f>
        <v>——</v>
      </c>
      <c r="I112" s="121"/>
    </row>
    <row r="113" spans="1:27" ht="18.75" customHeight="1">
      <c r="A113" s="121"/>
      <c r="B113" s="121"/>
      <c r="C113" s="121"/>
      <c r="D113" s="121"/>
      <c r="E113" s="3483" t="s">
        <v>1440</v>
      </c>
      <c r="F113" s="3483"/>
      <c r="G113" s="3483"/>
      <c r="H113" s="3483"/>
      <c r="I113" s="121"/>
    </row>
    <row r="114" spans="1:27" ht="3.75" customHeight="1">
      <c r="A114" s="646"/>
      <c r="B114" s="646"/>
      <c r="C114" s="646"/>
      <c r="D114" s="646"/>
      <c r="E114" s="1668"/>
      <c r="F114" s="1668"/>
      <c r="G114" s="1668"/>
      <c r="H114" s="1668"/>
      <c r="I114" s="646"/>
    </row>
    <row r="115" spans="1:27" ht="18.75" customHeight="1">
      <c r="A115" s="3491" t="s">
        <v>1442</v>
      </c>
      <c r="B115" s="3492"/>
      <c r="C115" s="3492"/>
      <c r="D115" s="3492"/>
      <c r="E115" s="3492"/>
      <c r="F115" s="3492"/>
      <c r="G115" s="3492"/>
      <c r="H115" s="3492"/>
      <c r="I115" s="3493"/>
    </row>
    <row r="116" spans="1:27" ht="27" customHeight="1">
      <c r="A116" s="3448" t="s">
        <v>1443</v>
      </c>
      <c r="B116" s="3452" t="s">
        <v>1444</v>
      </c>
      <c r="C116" s="3452" t="s">
        <v>1445</v>
      </c>
      <c r="D116" s="3458" t="s">
        <v>1446</v>
      </c>
      <c r="E116" s="3459"/>
      <c r="F116" s="3490" t="s">
        <v>1447</v>
      </c>
      <c r="G116" s="3490"/>
      <c r="H116" s="3448" t="s">
        <v>1448</v>
      </c>
      <c r="I116" s="3448"/>
    </row>
    <row r="117" spans="1:27" ht="18.75" customHeight="1">
      <c r="A117" s="3448"/>
      <c r="B117" s="3453"/>
      <c r="C117" s="3453"/>
      <c r="D117" s="2147" t="s">
        <v>1449</v>
      </c>
      <c r="E117" s="2147" t="s">
        <v>1450</v>
      </c>
      <c r="F117" s="2147" t="s">
        <v>1449</v>
      </c>
      <c r="G117" s="2147" t="s">
        <v>1451</v>
      </c>
      <c r="H117" s="2147" t="s">
        <v>1449</v>
      </c>
      <c r="I117" s="2147" t="s">
        <v>1451</v>
      </c>
    </row>
    <row r="118" spans="1:27" ht="24.75" customHeight="1">
      <c r="A118" s="2383" t="str">
        <f>项目基本情况!S2</f>
        <v>房地产</v>
      </c>
      <c r="B118" s="2147">
        <f>M18</f>
        <v>11833.989999999994</v>
      </c>
      <c r="C118" s="2147">
        <f>M19</f>
        <v>3457.51</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30741</v>
      </c>
      <c r="I118" s="2147">
        <f ca="1">ROUND(IF(D32="楼面单价",C32,H118*10000/B118),0)</f>
        <v>25977</v>
      </c>
    </row>
    <row r="119" spans="1:27" ht="18.75" customHeight="1">
      <c r="A119" s="3448" t="s">
        <v>1452</v>
      </c>
      <c r="B119" s="3448"/>
      <c r="C119" s="3448"/>
      <c r="D119" s="3454" t="e">
        <f ca="1">NUMBERSTRING(INT(D118*10000),2)&amp;"元整"</f>
        <v>#REF!</v>
      </c>
      <c r="E119" s="3455"/>
      <c r="F119" s="3454" t="e">
        <f ca="1">NUMBERSTRING(INT(F118*10000),2)&amp;"元整"</f>
        <v>#REF!</v>
      </c>
      <c r="G119" s="3455"/>
      <c r="H119" s="3454" t="str">
        <f ca="1">NUMBERSTRING(INT(H118*10000),2)&amp;"元整"</f>
        <v>叁亿零柒佰肆拾壹万元整</v>
      </c>
      <c r="I119" s="3455"/>
    </row>
    <row r="120" spans="1:27" ht="18.75" customHeight="1">
      <c r="A120" s="3449" t="str">
        <f>IF(项目基本情况!B9="房地产市场价值","",MID(E103,3,LEN(E103)-2))</f>
        <v/>
      </c>
      <c r="B120" s="3450"/>
      <c r="C120" s="3451"/>
      <c r="D120" s="3449">
        <f>H103</f>
        <v>0</v>
      </c>
      <c r="E120" s="3450"/>
      <c r="F120" s="3450"/>
      <c r="G120" s="3450"/>
      <c r="H120" s="3450"/>
      <c r="I120" s="3451"/>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454" t="s">
        <v>1452</v>
      </c>
      <c r="B121" s="3456"/>
      <c r="C121" s="3455"/>
      <c r="D121" s="3454" t="str">
        <f>IF(D120=0,"零元整",NUMBERSTRING(INT(D120*10000),2)&amp;"元整")</f>
        <v>零元整</v>
      </c>
      <c r="E121" s="3456"/>
      <c r="F121" s="3456"/>
      <c r="G121" s="3456"/>
      <c r="H121" s="3456"/>
      <c r="I121" s="3455"/>
      <c r="AA121" s="684"/>
    </row>
    <row r="122" spans="1:27" ht="18.75" customHeight="1">
      <c r="A122" s="3460" t="str">
        <f>IF(项目基本情况!B9="房地产市场价值","",MID(E107,3,LEN(E107)-2))</f>
        <v/>
      </c>
      <c r="B122" s="3460"/>
      <c r="C122" s="3460"/>
      <c r="D122" s="3449">
        <f ca="1">H107</f>
        <v>30741</v>
      </c>
      <c r="E122" s="3450"/>
      <c r="F122" s="3450"/>
      <c r="G122" s="3450"/>
      <c r="H122" s="3450"/>
      <c r="I122" s="3451"/>
      <c r="AA122" s="684"/>
    </row>
    <row r="123" spans="1:27" ht="18.75" customHeight="1">
      <c r="A123" s="3448" t="s">
        <v>1452</v>
      </c>
      <c r="B123" s="3448"/>
      <c r="C123" s="3448"/>
      <c r="D123" s="3454" t="str">
        <f ca="1">NUMBERSTRING(INT(D122*10000),2)&amp;"元整"</f>
        <v>叁亿零柒佰肆拾壹万元整</v>
      </c>
      <c r="E123" s="3456"/>
      <c r="F123" s="3456"/>
      <c r="G123" s="3456"/>
      <c r="H123" s="3456"/>
      <c r="I123" s="3455"/>
      <c r="AA123" s="684"/>
    </row>
    <row r="124" spans="1:27" ht="18.75" customHeight="1">
      <c r="A124" s="3460" t="str">
        <f>IF(项目基本情况!B9="房地产市场价值","",MID(E109,3,LEN(E109)-2))</f>
        <v/>
      </c>
      <c r="B124" s="3460"/>
      <c r="C124" s="3460"/>
      <c r="D124" s="3449" t="str">
        <f>H109</f>
        <v>——</v>
      </c>
      <c r="E124" s="3450"/>
      <c r="F124" s="3450"/>
      <c r="G124" s="3450"/>
      <c r="H124" s="3450"/>
      <c r="I124" s="3451"/>
      <c r="AA124" s="684"/>
    </row>
    <row r="125" spans="1:27" ht="18.75" customHeight="1">
      <c r="A125" s="3448" t="s">
        <v>1452</v>
      </c>
      <c r="B125" s="3448"/>
      <c r="C125" s="3448"/>
      <c r="D125" s="3454" t="e">
        <f>NUMBERSTRING(INT(D124*10000),2)&amp;"元整"</f>
        <v>#VALUE!</v>
      </c>
      <c r="E125" s="3456"/>
      <c r="F125" s="3456"/>
      <c r="G125" s="3456"/>
      <c r="H125" s="3456"/>
      <c r="I125" s="3455"/>
      <c r="AA125" s="684"/>
    </row>
    <row r="126" spans="1:27" ht="18.75" customHeight="1">
      <c r="A126" s="3460" t="str">
        <f>IF(项目基本情况!B9="房地产市场价值","",MID(E111,3,LEN(E111)-2))</f>
        <v/>
      </c>
      <c r="B126" s="3460"/>
      <c r="C126" s="3460"/>
      <c r="D126" s="3449" t="str">
        <f>H111</f>
        <v>——</v>
      </c>
      <c r="E126" s="3450"/>
      <c r="F126" s="3450"/>
      <c r="G126" s="3450"/>
      <c r="H126" s="3450"/>
      <c r="I126" s="3451"/>
      <c r="AA126" s="684"/>
    </row>
    <row r="127" spans="1:27" ht="18.75" customHeight="1">
      <c r="A127" s="3448" t="s">
        <v>1452</v>
      </c>
      <c r="B127" s="3448"/>
      <c r="C127" s="3448"/>
      <c r="D127" s="3454" t="e">
        <f>NUMBERSTRING(INT(D126*10000),2)&amp;"元整"</f>
        <v>#VALUE!</v>
      </c>
      <c r="E127" s="3456"/>
      <c r="F127" s="3456"/>
      <c r="G127" s="3456"/>
      <c r="H127" s="3456"/>
      <c r="I127" s="3455"/>
      <c r="AA127" s="684"/>
    </row>
    <row r="128" spans="1:27" ht="21.75" customHeight="1">
      <c r="A128" s="3457" t="s">
        <v>1453</v>
      </c>
      <c r="B128" s="3457"/>
      <c r="C128" s="3457"/>
      <c r="D128" s="3457"/>
      <c r="E128" s="3457"/>
      <c r="F128" s="3457"/>
      <c r="G128" s="3457"/>
      <c r="H128" s="3457"/>
      <c r="I128" s="3457"/>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topLeftCell="C3" zoomScale="85" zoomScaleNormal="70" zoomScaleSheetLayoutView="85" workbookViewId="0">
      <selection activeCell="P49" sqref="P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10</v>
      </c>
    </row>
    <row r="2" spans="1:9" s="192" customFormat="1" ht="18" customHeight="1">
      <c r="A2" s="193" t="s">
        <v>1462</v>
      </c>
      <c r="B2" s="194">
        <f ca="1">IF(D2="——",C52,C52-E2)</f>
        <v>6376</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5388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237</v>
      </c>
      <c r="D5" s="203" t="s">
        <v>1469</v>
      </c>
      <c r="E5" s="204" t="s">
        <v>1470</v>
      </c>
      <c r="F5" s="204" t="s">
        <v>1471</v>
      </c>
      <c r="G5" s="205"/>
    </row>
    <row r="6" spans="1:9" s="206" customFormat="1" ht="13.5" customHeight="1">
      <c r="A6" s="729" t="s">
        <v>1472</v>
      </c>
      <c r="B6" s="207" t="s">
        <v>1473</v>
      </c>
      <c r="C6" s="208"/>
      <c r="D6" s="209"/>
      <c r="E6" s="210"/>
      <c r="F6" s="210"/>
      <c r="G6" s="211"/>
    </row>
    <row r="7" spans="1:9" s="206" customFormat="1" ht="13.5" customHeight="1">
      <c r="A7" s="729" t="s">
        <v>1474</v>
      </c>
      <c r="B7" s="207" t="s">
        <v>1475</v>
      </c>
      <c r="C7" s="212">
        <f>ROUND(C6*F7,0)</f>
        <v>0</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237</v>
      </c>
      <c r="D8" s="214"/>
      <c r="E8" s="212"/>
      <c r="F8" s="213"/>
      <c r="G8" s="1711"/>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c r="H9" s="1067"/>
      <c r="I9" s="1713" t="s">
        <v>1479</v>
      </c>
    </row>
    <row r="10" spans="1:9" s="206" customFormat="1" ht="13.5" customHeight="1">
      <c r="A10" s="730" t="s">
        <v>356</v>
      </c>
      <c r="B10" s="216" t="s">
        <v>1480</v>
      </c>
      <c r="C10" s="217">
        <f ca="1">ROUND(D10*E10/10000,0)</f>
        <v>237</v>
      </c>
      <c r="D10" s="792">
        <f ca="1">IF(B1="",'数据-汇总表'!E6,IF(INDIRECT("'数据-取费表'!c"&amp;$G$1)="住宅",INDIRECT("'数据-取费表'!s"&amp;$G$1),INDIRECT("'数据-取费表'!k"&amp;$G$1)+INDIRECT("'数据-取费表'!s"&amp;$G$1)))</f>
        <v>11833.989999999994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237</v>
      </c>
      <c r="D19" s="204">
        <f ca="1">D9+D10</f>
        <v>11833.989999999994</v>
      </c>
      <c r="E19" s="203">
        <f>'数据-取费表'!B31</f>
        <v>200</v>
      </c>
      <c r="F19" s="223"/>
      <c r="G19" s="1711"/>
    </row>
    <row r="20" spans="1:7" s="206" customFormat="1" ht="13.5" customHeight="1">
      <c r="A20" s="247" t="s">
        <v>1493</v>
      </c>
      <c r="B20" s="202" t="s">
        <v>1494</v>
      </c>
      <c r="C20" s="224">
        <f ca="1">ROUND((C5+C19)*F20,0)</f>
        <v>7</v>
      </c>
      <c r="D20" s="224"/>
      <c r="E20" s="224"/>
      <c r="F20" s="225">
        <f>'数据-取费表'!B37</f>
        <v>1.4999999999999999E-2</v>
      </c>
      <c r="G20" s="226" t="s">
        <v>1495</v>
      </c>
    </row>
    <row r="21" spans="1:7" s="206" customFormat="1" ht="13.5" customHeight="1">
      <c r="A21" s="247" t="s">
        <v>1496</v>
      </c>
      <c r="B21" s="202" t="s">
        <v>1497</v>
      </c>
      <c r="C21" s="227">
        <f>F21</f>
        <v>1.4999999999999999E-2</v>
      </c>
      <c r="D21" s="228" t="s">
        <v>1498</v>
      </c>
      <c r="E21" s="224"/>
      <c r="F21" s="225">
        <f>'数据-取费表'!B38</f>
        <v>1.4999999999999999E-2</v>
      </c>
      <c r="G21" s="226" t="s">
        <v>1499</v>
      </c>
    </row>
    <row r="22" spans="1:7" s="206" customFormat="1" ht="13.5" customHeight="1">
      <c r="A22" s="247" t="s">
        <v>1500</v>
      </c>
      <c r="B22" s="202" t="s">
        <v>1501</v>
      </c>
      <c r="C22" s="1038">
        <f ca="1">ROUND(SUM(C23:C25),0)</f>
        <v>40</v>
      </c>
      <c r="D22" s="227">
        <f ca="1">C26</f>
        <v>5.9999999999999995E-4</v>
      </c>
      <c r="E22" s="228" t="s">
        <v>1498</v>
      </c>
      <c r="F22" s="229">
        <f ca="1">'数据-取费表'!B40</f>
        <v>4.1499999999999995E-2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20</v>
      </c>
      <c r="D24" s="230"/>
      <c r="E24" s="230"/>
      <c r="F24" s="231"/>
      <c r="G24" s="232" t="s">
        <v>1507</v>
      </c>
    </row>
    <row r="25" spans="1:7" s="206" customFormat="1" ht="24">
      <c r="A25" s="731" t="s">
        <v>1508</v>
      </c>
      <c r="B25" s="207" t="s">
        <v>1509</v>
      </c>
      <c r="C25" s="1039">
        <f ca="1">ROUND(IF('数据-取费表'!B22&lt;=1,C20*F22*'数据-取费表'!B23/2,C20*(POWER((1+F22),'数据-取费表'!B23/2)-1)),0)</f>
        <v>0</v>
      </c>
      <c r="D25" s="230"/>
      <c r="E25" s="233"/>
      <c r="F25" s="231"/>
      <c r="G25" s="234" t="s">
        <v>1510</v>
      </c>
    </row>
    <row r="26" spans="1:7" s="206" customFormat="1">
      <c r="A26" s="731"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72</v>
      </c>
      <c r="D27" s="227">
        <f ca="1">C29</f>
        <v>2.3E-3</v>
      </c>
      <c r="E27" s="228" t="s">
        <v>1514</v>
      </c>
      <c r="F27" s="238">
        <f ca="1">IF(B1="",'数据-取费表'!Q16,INDIRECT("'数据-取费表'!q"&amp;$G$1))</f>
        <v>0.15</v>
      </c>
      <c r="G27" s="239" t="s">
        <v>1515</v>
      </c>
    </row>
    <row r="28" spans="1:7" s="206" customFormat="1" ht="13.5" customHeight="1">
      <c r="A28" s="731" t="s">
        <v>346</v>
      </c>
      <c r="B28" s="240" t="s">
        <v>1516</v>
      </c>
      <c r="C28" s="241">
        <f ca="1">ROUND((C5+C19+C20)*F27*'数据-取费表'!B21/'数据-取费表'!B20,0)</f>
        <v>72</v>
      </c>
      <c r="D28" s="227"/>
      <c r="E28" s="228"/>
      <c r="F28" s="238"/>
      <c r="G28" s="239"/>
    </row>
    <row r="29" spans="1:7" s="206" customFormat="1" ht="13.5" customHeight="1">
      <c r="A29" s="731" t="s">
        <v>347</v>
      </c>
      <c r="B29" s="240" t="s">
        <v>1517</v>
      </c>
      <c r="C29" s="230">
        <f ca="1">ROUND(C21*F27*'数据-取费表'!B21/'数据-取费表'!B20,4)</f>
        <v>2.3E-3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5184</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4734</v>
      </c>
      <c r="D34" s="209"/>
      <c r="E34" s="212"/>
      <c r="F34" s="249">
        <f ca="1">IF('数据-取费表'!B24=0,1,IF(B1="",'数据-取费表'!N16,INDIRECT("'数据-取费表'!n"&amp;$G$1)))</f>
        <v>1</v>
      </c>
      <c r="G34" s="211" t="s">
        <v>1526</v>
      </c>
    </row>
    <row r="35" spans="1:7" ht="13.5" customHeight="1">
      <c r="A35" s="731" t="s">
        <v>351</v>
      </c>
      <c r="B35" s="207" t="s">
        <v>1527</v>
      </c>
      <c r="C35" s="212">
        <f ca="1">ROUND(C34*F35,0)</f>
        <v>142</v>
      </c>
      <c r="D35" s="212"/>
      <c r="E35" s="212"/>
      <c r="F35" s="251">
        <f>'数据-取费表'!B33</f>
        <v>0.03</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1" t="s">
        <v>353</v>
      </c>
      <c r="B37" s="207" t="s">
        <v>1531</v>
      </c>
      <c r="C37" s="241">
        <f ca="1">ROUND(E37*D37*F34/10000,0)</f>
        <v>237</v>
      </c>
      <c r="D37" s="209">
        <f ca="1">D19</f>
        <v>11833.989999999994</v>
      </c>
      <c r="E37" s="241">
        <f>'数据-取费表'!B35</f>
        <v>200</v>
      </c>
      <c r="F37" s="251"/>
      <c r="G37" s="253" t="s">
        <v>1532</v>
      </c>
    </row>
    <row r="38" spans="1:7" ht="13.5" customHeight="1">
      <c r="A38" s="731" t="s">
        <v>354</v>
      </c>
      <c r="B38" s="207" t="s">
        <v>1533</v>
      </c>
      <c r="C38" s="212">
        <f ca="1">ROUND(C34*F38,0)</f>
        <v>71</v>
      </c>
      <c r="D38" s="212"/>
      <c r="E38" s="212"/>
      <c r="F38" s="251">
        <f>'数据-取费表'!B36</f>
        <v>1.4999999999999999E-2</v>
      </c>
      <c r="G38" s="211" t="s">
        <v>1528</v>
      </c>
    </row>
    <row r="39" spans="1:7" s="206" customFormat="1" ht="13.5" customHeight="1">
      <c r="A39" s="247" t="s">
        <v>1534</v>
      </c>
      <c r="B39" s="202" t="s">
        <v>1535</v>
      </c>
      <c r="C39" s="224">
        <f ca="1">ROUND(C33*F20,0)</f>
        <v>78</v>
      </c>
      <c r="D39" s="224"/>
      <c r="E39" s="224"/>
      <c r="F39" s="225">
        <f>F20</f>
        <v>1.4999999999999999E-2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218</v>
      </c>
      <c r="D41" s="227">
        <f ca="1">C44</f>
        <v>5.9999999999999995E-4</v>
      </c>
      <c r="E41" s="228" t="s">
        <v>1539</v>
      </c>
      <c r="F41" s="229">
        <f ca="1">F22</f>
        <v>4.1499999999999995E-2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215</v>
      </c>
      <c r="D42" s="230"/>
      <c r="E42" s="230"/>
      <c r="F42" s="231"/>
      <c r="G42" s="3527" t="s">
        <v>1544</v>
      </c>
    </row>
    <row r="43" spans="1:7" ht="13.5" customHeight="1">
      <c r="A43" s="731" t="s">
        <v>347</v>
      </c>
      <c r="B43" s="207" t="s">
        <v>1545</v>
      </c>
      <c r="C43" s="230">
        <f ca="1">ROUND(IF('数据-取费表'!B22&lt;=1,C39*F22*'数据-取费表'!B21/2,C39*(POWER((1+F22),'数据-取费表'!B21/2)-1)),0)</f>
        <v>3</v>
      </c>
      <c r="D43" s="230"/>
      <c r="E43" s="230"/>
      <c r="F43" s="231"/>
      <c r="G43" s="3528"/>
    </row>
    <row r="44" spans="1:7" ht="13.5" customHeight="1">
      <c r="A44" s="731" t="s">
        <v>348</v>
      </c>
      <c r="B44" s="207" t="s">
        <v>1546</v>
      </c>
      <c r="C44" s="230">
        <f ca="1">ROUND(IF('数据-取费表'!B22&lt;=1,C40*F22*'数据-取费表'!B21/2,C40*(POWER((1+F22),'数据-取费表'!B21/2)-1)),4)</f>
        <v>5.9999999999999995E-4</v>
      </c>
      <c r="D44" s="230"/>
      <c r="E44" s="230"/>
      <c r="F44" s="231"/>
      <c r="G44" s="3529"/>
    </row>
    <row r="45" spans="1:7" s="206" customFormat="1" ht="13.5" customHeight="1">
      <c r="A45" s="247" t="s">
        <v>1547</v>
      </c>
      <c r="B45" s="236" t="s">
        <v>1513</v>
      </c>
      <c r="C45" s="237">
        <f ca="1">C46</f>
        <v>789</v>
      </c>
      <c r="D45" s="227">
        <f ca="1">C47</f>
        <v>2.3E-3</v>
      </c>
      <c r="E45" s="228" t="s">
        <v>1539</v>
      </c>
      <c r="F45" s="238">
        <f ca="1">F27</f>
        <v>0.15</v>
      </c>
      <c r="G45" s="239" t="s">
        <v>1548</v>
      </c>
    </row>
    <row r="46" spans="1:7" s="206" customFormat="1" ht="13.5" customHeight="1">
      <c r="A46" s="731" t="s">
        <v>346</v>
      </c>
      <c r="B46" s="240" t="s">
        <v>1549</v>
      </c>
      <c r="C46" s="241">
        <f ca="1">ROUND((C33+C39)*F27,0)</f>
        <v>789</v>
      </c>
      <c r="D46" s="255"/>
      <c r="E46" s="228"/>
      <c r="F46" s="238"/>
      <c r="G46" s="239"/>
    </row>
    <row r="47" spans="1:7" s="206" customFormat="1" ht="13.5" customHeight="1">
      <c r="A47" s="731" t="s">
        <v>347</v>
      </c>
      <c r="B47" s="240" t="s">
        <v>1550</v>
      </c>
      <c r="C47" s="230">
        <f ca="1">ROUND(C40*F27,4)</f>
        <v>2.3E-3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6750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5738</v>
      </c>
      <c r="D51" s="224"/>
      <c r="E51" s="224"/>
      <c r="F51" s="256"/>
      <c r="G51" s="226" t="s">
        <v>1560</v>
      </c>
    </row>
    <row r="52" spans="1:7" s="200" customFormat="1" ht="16.5" thickBot="1">
      <c r="A52" s="257" t="s">
        <v>1561</v>
      </c>
      <c r="B52" s="258"/>
      <c r="C52" s="259">
        <f ca="1">C31+C51</f>
        <v>6376</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10</v>
      </c>
      <c r="H1" s="995" t="str">
        <f>IF(ISERROR(FIND("住宅",B1)),"非住宅","住宅")</f>
        <v>非住宅</v>
      </c>
    </row>
    <row r="2" spans="1:8" s="192" customFormat="1" ht="18" customHeight="1">
      <c r="A2" s="193" t="s">
        <v>1462</v>
      </c>
      <c r="B2" s="3119">
        <f ca="1">ROUND(IF(D2="——",C52/10000,C52/10000-E2),4)</f>
        <v>6375.08</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5387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2366798</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2366798</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2366798</v>
      </c>
      <c r="D10" s="792">
        <f ca="1">IF(B1="",'数据-汇总表'!E6,IF(INDIRECT("'数据-取费表'!c"&amp;$G$1)="住宅",INDIRECT("'数据-取费表'!s"&amp;$G$1),INDIRECT("'数据-取费表'!k"&amp;$G$1)+INDIRECT("'数据-取费表'!s"&amp;$G$1)))</f>
        <v>11833.989999999994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2366798</v>
      </c>
      <c r="D19" s="204">
        <f ca="1">D9+D10</f>
        <v>11833.989999999994</v>
      </c>
      <c r="E19" s="203">
        <f>'数据-取费表'!B31</f>
        <v>200</v>
      </c>
      <c r="F19" s="223"/>
      <c r="G19" s="1711"/>
    </row>
    <row r="20" spans="1:7" s="206" customFormat="1" ht="13.5" customHeight="1">
      <c r="A20" s="247" t="s">
        <v>1574</v>
      </c>
      <c r="B20" s="202" t="s">
        <v>1575</v>
      </c>
      <c r="C20" s="224">
        <f ca="1">ROUND((C5+C19)*F20,0)</f>
        <v>71004</v>
      </c>
      <c r="D20" s="224"/>
      <c r="E20" s="224"/>
      <c r="F20" s="225">
        <f>'数据-取费表'!B37</f>
        <v>1.4999999999999999E-2</v>
      </c>
      <c r="G20" s="226" t="s">
        <v>1576</v>
      </c>
    </row>
    <row r="21" spans="1:7" s="206" customFormat="1" ht="13.5" customHeight="1">
      <c r="A21" s="247" t="s">
        <v>1577</v>
      </c>
      <c r="B21" s="202" t="s">
        <v>1578</v>
      </c>
      <c r="C21" s="227">
        <f>F21</f>
        <v>1.4999999999999999E-2</v>
      </c>
      <c r="D21" s="228" t="s">
        <v>1579</v>
      </c>
      <c r="E21" s="224"/>
      <c r="F21" s="225">
        <f>'数据-取费表'!B38</f>
        <v>1.4999999999999999E-2</v>
      </c>
      <c r="G21" s="226" t="s">
        <v>1580</v>
      </c>
    </row>
    <row r="22" spans="1:7" s="206" customFormat="1" ht="13.5" customHeight="1">
      <c r="A22" s="247" t="s">
        <v>1581</v>
      </c>
      <c r="B22" s="202" t="s">
        <v>1582</v>
      </c>
      <c r="C22" s="224">
        <f ca="1">ROUND(SUM(C23:C25),0)</f>
        <v>403987</v>
      </c>
      <c r="D22" s="227">
        <f ca="1">C26</f>
        <v>5.9999999999999995E-4</v>
      </c>
      <c r="E22" s="228" t="s">
        <v>1579</v>
      </c>
      <c r="F22" s="229">
        <f ca="1">'数据-取费表'!B40</f>
        <v>4.1499999999999995E-2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200520</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200520</v>
      </c>
      <c r="D24" s="230"/>
      <c r="E24" s="230"/>
      <c r="F24" s="231"/>
      <c r="G24" s="232" t="s">
        <v>1586</v>
      </c>
    </row>
    <row r="25" spans="1:7" s="206" customFormat="1" ht="24">
      <c r="A25" s="731" t="s">
        <v>1476</v>
      </c>
      <c r="B25" s="207" t="s">
        <v>1587</v>
      </c>
      <c r="C25" s="230">
        <f ca="1">ROUND(IF('数据-取费表'!B22&lt;=1,C20*F22*'数据-取费表'!B22/2,C20*(POWER((1+F22),'数据-取费表'!B22/2)-1)),0)</f>
        <v>2947</v>
      </c>
      <c r="D25" s="230"/>
      <c r="E25" s="233"/>
      <c r="F25" s="231"/>
      <c r="G25" s="234" t="s">
        <v>1588</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720690</v>
      </c>
      <c r="D27" s="227">
        <f ca="1">C29</f>
        <v>2.3E-3</v>
      </c>
      <c r="E27" s="228" t="s">
        <v>1514</v>
      </c>
      <c r="F27" s="238">
        <f ca="1">IF(B1="",'数据-取费表'!Q16,INDIRECT("'数据-取费表'!q"&amp;$G$1))</f>
        <v>0.15</v>
      </c>
      <c r="G27" s="239" t="s">
        <v>1515</v>
      </c>
    </row>
    <row r="28" spans="1:7" s="206" customFormat="1" ht="13.5" customHeight="1">
      <c r="A28" s="731" t="s">
        <v>346</v>
      </c>
      <c r="B28" s="240" t="s">
        <v>1516</v>
      </c>
      <c r="C28" s="241">
        <f ca="1">ROUND((C5+C19+C20)*F27,0)</f>
        <v>720690</v>
      </c>
      <c r="D28" s="227"/>
      <c r="E28" s="228"/>
      <c r="F28" s="238"/>
      <c r="G28" s="239"/>
    </row>
    <row r="29" spans="1:7" s="206" customFormat="1" ht="13.5" customHeight="1">
      <c r="A29" s="731" t="s">
        <v>347</v>
      </c>
      <c r="B29" s="240" t="s">
        <v>1517</v>
      </c>
      <c r="C29" s="230">
        <f ca="1">ROUND(C21*F27,4)</f>
        <v>2.3E-3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6383804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51832876</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47335960</v>
      </c>
      <c r="D34" s="209"/>
      <c r="E34" s="212"/>
      <c r="F34" s="249"/>
      <c r="G34" s="211"/>
    </row>
    <row r="35" spans="1:7" ht="13.5" customHeight="1">
      <c r="A35" s="731" t="s">
        <v>351</v>
      </c>
      <c r="B35" s="207" t="s">
        <v>1527</v>
      </c>
      <c r="C35" s="212">
        <f ca="1">ROUND(C34*F35,0)</f>
        <v>1420079</v>
      </c>
      <c r="D35" s="212"/>
      <c r="E35" s="212"/>
      <c r="F35" s="251">
        <f>'数据-取费表'!B33</f>
        <v>0.03</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1" t="s">
        <v>353</v>
      </c>
      <c r="B37" s="207" t="s">
        <v>1531</v>
      </c>
      <c r="C37" s="241">
        <f ca="1">ROUND(E37*D37,0)</f>
        <v>2366798</v>
      </c>
      <c r="D37" s="209">
        <f ca="1">D19</f>
        <v>11833.989999999994</v>
      </c>
      <c r="E37" s="241">
        <f>'数据-取费表'!B35</f>
        <v>200</v>
      </c>
      <c r="F37" s="251"/>
      <c r="G37" s="253"/>
    </row>
    <row r="38" spans="1:7" ht="13.5" customHeight="1">
      <c r="A38" s="731" t="s">
        <v>354</v>
      </c>
      <c r="B38" s="207" t="s">
        <v>1533</v>
      </c>
      <c r="C38" s="212">
        <f ca="1">ROUND(C34*F38,0)</f>
        <v>710039</v>
      </c>
      <c r="D38" s="212"/>
      <c r="E38" s="212"/>
      <c r="F38" s="251">
        <f>'数据-取费表'!B36</f>
        <v>1.4999999999999999E-2</v>
      </c>
      <c r="G38" s="211" t="s">
        <v>1528</v>
      </c>
    </row>
    <row r="39" spans="1:7" s="206" customFormat="1" ht="13.5" customHeight="1">
      <c r="A39" s="247" t="s">
        <v>1534</v>
      </c>
      <c r="B39" s="202" t="s">
        <v>1535</v>
      </c>
      <c r="C39" s="224">
        <f ca="1">ROUND(C33*F20,0)</f>
        <v>777493</v>
      </c>
      <c r="D39" s="224"/>
      <c r="E39" s="224"/>
      <c r="F39" s="225">
        <f>F20</f>
        <v>1.4999999999999999E-2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2183330</v>
      </c>
      <c r="D41" s="227">
        <f ca="1">C44</f>
        <v>5.9999999999999995E-4</v>
      </c>
      <c r="E41" s="228" t="s">
        <v>1539</v>
      </c>
      <c r="F41" s="229">
        <f ca="1">F22</f>
        <v>4.1499999999999995E-2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2151064</v>
      </c>
      <c r="D42" s="230"/>
      <c r="E42" s="230"/>
      <c r="F42" s="231"/>
      <c r="G42" s="3527" t="s">
        <v>1591</v>
      </c>
    </row>
    <row r="43" spans="1:7" ht="13.5" customHeight="1">
      <c r="A43" s="731" t="s">
        <v>347</v>
      </c>
      <c r="B43" s="207" t="s">
        <v>1545</v>
      </c>
      <c r="C43" s="230">
        <f ca="1">ROUND(IF('数据-取费表'!B22&lt;=1,C39*F22*'数据-取费表'!B20/2,C39*(POWER((1+F22),'数据-取费表'!B20/2)-1)),0)</f>
        <v>32266</v>
      </c>
      <c r="D43" s="230"/>
      <c r="E43" s="230"/>
      <c r="F43" s="231"/>
      <c r="G43" s="3528"/>
    </row>
    <row r="44" spans="1:7" ht="13.5" customHeight="1">
      <c r="A44" s="731" t="s">
        <v>348</v>
      </c>
      <c r="B44" s="207" t="s">
        <v>1546</v>
      </c>
      <c r="C44" s="230">
        <f ca="1">ROUND(IF('数据-取费表'!B22&lt;=1,C40*F22*'数据-取费表'!B20/2,C40*(POWER((1+F22),'数据-取费表'!B20/2)-1)),4)</f>
        <v>5.9999999999999995E-4</v>
      </c>
      <c r="D44" s="230"/>
      <c r="E44" s="230"/>
      <c r="F44" s="231"/>
      <c r="G44" s="3529"/>
    </row>
    <row r="45" spans="1:7" s="206" customFormat="1" ht="13.5" customHeight="1">
      <c r="A45" s="247" t="s">
        <v>1547</v>
      </c>
      <c r="B45" s="236" t="s">
        <v>1513</v>
      </c>
      <c r="C45" s="237">
        <f ca="1">C46</f>
        <v>7891555</v>
      </c>
      <c r="D45" s="227">
        <f ca="1">C47</f>
        <v>2.3E-3</v>
      </c>
      <c r="E45" s="228" t="s">
        <v>1539</v>
      </c>
      <c r="F45" s="238">
        <f ca="1">F27</f>
        <v>0.15</v>
      </c>
      <c r="G45" s="239" t="s">
        <v>1548</v>
      </c>
    </row>
    <row r="46" spans="1:7" s="206" customFormat="1" ht="13.5" customHeight="1">
      <c r="A46" s="731" t="s">
        <v>346</v>
      </c>
      <c r="B46" s="240" t="s">
        <v>1549</v>
      </c>
      <c r="C46" s="241">
        <f ca="1">ROUND((C33+C39)*F27,0)</f>
        <v>7891555</v>
      </c>
      <c r="D46" s="255"/>
      <c r="E46" s="228"/>
      <c r="F46" s="238"/>
      <c r="G46" s="239"/>
    </row>
    <row r="47" spans="1:7" s="206" customFormat="1" ht="13.5" customHeight="1">
      <c r="A47" s="731" t="s">
        <v>347</v>
      </c>
      <c r="B47" s="240" t="s">
        <v>1550</v>
      </c>
      <c r="C47" s="230">
        <f ca="1">ROUND(C40*F27,4)</f>
        <v>2.3E-3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67490584</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57366996</v>
      </c>
      <c r="D51" s="224"/>
      <c r="E51" s="224"/>
      <c r="F51" s="256"/>
      <c r="G51" s="226" t="s">
        <v>1560</v>
      </c>
    </row>
    <row r="52" spans="1:7" s="200" customFormat="1" ht="16.5" thickBot="1">
      <c r="A52" s="257" t="s">
        <v>1561</v>
      </c>
      <c r="B52" s="258"/>
      <c r="C52" s="259">
        <f ca="1">C31+C51</f>
        <v>63750800</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5"/>
      <c r="F1" s="2565"/>
      <c r="G1" s="2446"/>
      <c r="H1" s="2565"/>
      <c r="I1" s="2565"/>
      <c r="J1" s="2565"/>
      <c r="K1" s="2566">
        <f>MATCH(C1,'数据-取费表'!A6:A16,0)+5</f>
        <v>10</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11833.989999999994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1.4999999999999999E-2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11833.989999999994</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237</v>
      </c>
      <c r="D20" s="793">
        <f ca="1">IF(C1="",'数据-汇总表'!E6,IF(INDIRECT("'数据-取费表'!c"&amp;$K$1)="住宅",INDIRECT("'数据-取费表'!s"&amp;$K$1),INDIRECT("'数据-取费表'!k"&amp;$K$1)+INDIRECT("'数据-取费表'!s"&amp;$K$1)))</f>
        <v>11833.989999999994</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1.4999999999999999E-2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1.4999999999999999E-2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0.15</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91"/>
  <sheetViews>
    <sheetView showWhiteSpace="0" zoomScale="85" zoomScaleNormal="85" workbookViewId="0">
      <selection activeCell="C37" sqref="C37"/>
    </sheetView>
  </sheetViews>
  <sheetFormatPr defaultColWidth="9" defaultRowHeight="13.5"/>
  <cols>
    <col min="1" max="16384" width="9" style="3244"/>
  </cols>
  <sheetData>
    <row r="1" spans="1:2">
      <c r="A1" s="3245" t="s">
        <v>3686</v>
      </c>
      <c r="B1" s="3245" t="s">
        <v>3687</v>
      </c>
    </row>
    <row r="34" spans="1:5">
      <c r="A34" s="3245" t="s">
        <v>3685</v>
      </c>
      <c r="B34" s="3245" t="s">
        <v>3972</v>
      </c>
    </row>
    <row r="35" spans="1:5">
      <c r="A35" s="3244" t="s">
        <v>3675</v>
      </c>
      <c r="B35" s="3245" t="s">
        <v>3682</v>
      </c>
      <c r="C35" s="3244">
        <v>5.5</v>
      </c>
      <c r="D35" s="3244">
        <v>1606</v>
      </c>
      <c r="E35" s="3245" t="s">
        <v>3683</v>
      </c>
    </row>
    <row r="36" spans="1:5">
      <c r="A36" s="3244" t="s">
        <v>3676</v>
      </c>
      <c r="B36" s="3245" t="s">
        <v>3677</v>
      </c>
      <c r="C36" s="3244">
        <v>5.65</v>
      </c>
      <c r="D36" s="3244">
        <v>230</v>
      </c>
    </row>
    <row r="37" spans="1:5">
      <c r="A37" s="3244" t="s">
        <v>3678</v>
      </c>
      <c r="B37" s="3245" t="s">
        <v>3679</v>
      </c>
      <c r="C37" s="3244">
        <v>8.67</v>
      </c>
      <c r="D37" s="3244">
        <v>150</v>
      </c>
      <c r="E37" s="3245" t="s">
        <v>3684</v>
      </c>
    </row>
    <row r="38" spans="1:5">
      <c r="A38" s="3244" t="s">
        <v>3680</v>
      </c>
      <c r="B38" s="3245" t="s">
        <v>3679</v>
      </c>
      <c r="C38" s="3244">
        <v>7</v>
      </c>
      <c r="D38" s="3244">
        <v>100</v>
      </c>
      <c r="E38" s="3245" t="s">
        <v>3681</v>
      </c>
    </row>
    <row r="39" spans="1:5">
      <c r="A39" s="3244" t="s">
        <v>3688</v>
      </c>
      <c r="B39" s="3245" t="s">
        <v>3679</v>
      </c>
      <c r="C39" s="3244">
        <v>8</v>
      </c>
      <c r="D39" s="3244">
        <v>50</v>
      </c>
      <c r="E39" s="3245" t="s">
        <v>3689</v>
      </c>
    </row>
    <row r="44" spans="1:5">
      <c r="A44" s="3244" t="s">
        <v>3708</v>
      </c>
    </row>
    <row r="78" spans="8:10">
      <c r="H78" s="3244">
        <v>2012</v>
      </c>
      <c r="I78" s="3244">
        <f>2022-H78</f>
        <v>10</v>
      </c>
      <c r="J78" s="3244">
        <f>50-I78</f>
        <v>40</v>
      </c>
    </row>
    <row r="91" spans="8:10">
      <c r="H91" s="3244">
        <f>2007</f>
        <v>2007</v>
      </c>
      <c r="I91" s="3244">
        <f>2022-H91</f>
        <v>15</v>
      </c>
      <c r="J91" s="3244">
        <f>50-I91</f>
        <v>35</v>
      </c>
    </row>
  </sheetData>
  <phoneticPr fontId="136" type="noConversion"/>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05BBA-461A-4299-B964-C625581E3CFC}">
  <dimension ref="A21:M26"/>
  <sheetViews>
    <sheetView workbookViewId="0">
      <selection activeCell="N26" sqref="N26"/>
    </sheetView>
  </sheetViews>
  <sheetFormatPr defaultRowHeight="13.5"/>
  <sheetData>
    <row r="21" spans="1:13">
      <c r="A21" s="1402" t="s">
        <v>3685</v>
      </c>
    </row>
    <row r="25" spans="1:13">
      <c r="L25" s="1402" t="s">
        <v>4015</v>
      </c>
      <c r="M25" s="1402" t="s">
        <v>4016</v>
      </c>
    </row>
    <row r="26" spans="1:13">
      <c r="L26" s="1402" t="s">
        <v>4013</v>
      </c>
      <c r="M26" s="1402" t="s">
        <v>4014</v>
      </c>
    </row>
  </sheetData>
  <phoneticPr fontId="1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受贵公司委托，我公司对房地产市场价值进行了预评估。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估价对象为房地产，为所有。根据《国有土地使用证》[]，估价对象（分摊）出让国有建设用地使用权面积为3457.51平方米，建筑面积为11833.99平方米。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估价对象为房地产,为开发建设的办公项目，该项目尚在开发建设中。根据《国有土地使用证》[]，估价对象（分摊）出让国有建设用地使用权面积为3457.51平方米，规划建筑面积为11833.99平方米。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2023年12月31日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5" zoomScaleNormal="70" zoomScaleSheetLayoutView="85" workbookViewId="0">
      <selection activeCell="E21" sqref="E2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t="s">
        <v>3459</v>
      </c>
      <c r="E1" s="3121" t="s">
        <v>3706</v>
      </c>
      <c r="F1" s="1732" t="s">
        <v>3707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665</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52000</v>
      </c>
      <c r="C3" s="344" t="s">
        <v>1768</v>
      </c>
      <c r="D3" s="343">
        <f>IF(D1="",'数据-汇总表'!E3,SUMIF('数据-汇总表'!$C19:$C33,D1,'数据-汇总表'!$E19:$E33))</f>
        <v>127.79</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3"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3"/>
      <c r="AC5" s="353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57"/>
      <c r="Q6" s="3558"/>
      <c r="R6" s="3538"/>
      <c r="S6" s="3539"/>
      <c r="T6" s="3559"/>
      <c r="U6" s="3560"/>
      <c r="V6" s="3533"/>
      <c r="W6" s="3533"/>
      <c r="X6" s="1262"/>
      <c r="Y6" s="3559"/>
      <c r="Z6" s="3560"/>
      <c r="AA6" s="3532"/>
      <c r="AB6" s="3533"/>
      <c r="AC6" s="3532"/>
    </row>
    <row r="7" spans="1:29" s="102" customFormat="1" ht="15.75" thickBot="1">
      <c r="A7" s="352" t="s">
        <v>1679</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38"/>
      <c r="L7" s="2486"/>
      <c r="M7" s="2437"/>
      <c r="N7" s="2437"/>
      <c r="O7" s="2437"/>
      <c r="P7" s="3534" t="s">
        <v>1680</v>
      </c>
      <c r="Q7" s="3561"/>
      <c r="R7" s="664" t="s">
        <v>14</v>
      </c>
      <c r="S7" s="665">
        <f t="shared" ref="S7:S15" si="0">F7</f>
        <v>100</v>
      </c>
      <c r="T7" s="664" t="s">
        <v>14</v>
      </c>
      <c r="U7" s="665">
        <f t="shared" ref="U7:U15" si="1">H7</f>
        <v>100</v>
      </c>
      <c r="V7" s="664" t="s">
        <v>14</v>
      </c>
      <c r="W7" s="665">
        <f t="shared" ref="W7:W15" si="2">J7</f>
        <v>100</v>
      </c>
      <c r="X7" s="666"/>
      <c r="Y7" s="3534" t="s">
        <v>1680</v>
      </c>
      <c r="Z7" s="353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534" t="s">
        <v>1683</v>
      </c>
      <c r="Q8" s="3535"/>
      <c r="R8" s="664" t="s">
        <v>14</v>
      </c>
      <c r="S8" s="665">
        <f t="shared" si="0"/>
        <v>100</v>
      </c>
      <c r="T8" s="664" t="s">
        <v>14</v>
      </c>
      <c r="U8" s="665">
        <f t="shared" si="1"/>
        <v>100</v>
      </c>
      <c r="V8" s="664" t="s">
        <v>14</v>
      </c>
      <c r="W8" s="665">
        <f t="shared" si="2"/>
        <v>100</v>
      </c>
      <c r="X8" s="666"/>
      <c r="Y8" s="3534" t="s">
        <v>1683</v>
      </c>
      <c r="Z8" s="35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548"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7"/>
      <c r="M10" s="2488"/>
      <c r="N10" s="2488"/>
      <c r="O10" s="2488"/>
      <c r="P10" s="3548"/>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548"/>
      <c r="Q11" s="530" t="str">
        <f t="shared" si="6"/>
        <v>容积率</v>
      </c>
      <c r="R11" s="664" t="s">
        <v>14</v>
      </c>
      <c r="S11" s="665">
        <f t="shared" si="0"/>
        <v>100</v>
      </c>
      <c r="T11" s="664" t="s">
        <v>14</v>
      </c>
      <c r="U11" s="665">
        <f t="shared" si="1"/>
        <v>100</v>
      </c>
      <c r="V11" s="664" t="s">
        <v>14</v>
      </c>
      <c r="W11" s="665">
        <f t="shared" si="2"/>
        <v>100</v>
      </c>
      <c r="X11" s="666"/>
      <c r="Y11" s="350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548"/>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48"/>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48"/>
      <c r="Q14" s="530">
        <f t="shared" si="6"/>
        <v>111</v>
      </c>
      <c r="R14" s="664" t="s">
        <v>14</v>
      </c>
      <c r="S14" s="665">
        <f t="shared" si="0"/>
        <v>100</v>
      </c>
      <c r="T14" s="664" t="s">
        <v>14</v>
      </c>
      <c r="U14" s="665">
        <f t="shared" si="1"/>
        <v>100</v>
      </c>
      <c r="V14" s="664" t="s">
        <v>14</v>
      </c>
      <c r="W14" s="665">
        <f t="shared" si="2"/>
        <v>100</v>
      </c>
      <c r="X14" s="666"/>
      <c r="Y14" s="3503"/>
      <c r="Z14" s="50">
        <f t="shared" si="7"/>
        <v>111</v>
      </c>
      <c r="AA14" s="50">
        <f t="shared" si="3"/>
        <v>1</v>
      </c>
      <c r="AB14" s="50">
        <f t="shared" si="4"/>
        <v>1</v>
      </c>
      <c r="AC14" s="50">
        <f t="shared" si="5"/>
        <v>1</v>
      </c>
    </row>
    <row r="15" spans="1:29" ht="71.25">
      <c r="A15" s="379" t="s">
        <v>1690</v>
      </c>
      <c r="B15" s="58" t="s">
        <v>1777</v>
      </c>
      <c r="C15" s="1747"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562" t="s">
        <v>1691</v>
      </c>
      <c r="Q15" s="1260" t="str">
        <f t="shared" si="6"/>
        <v>商业繁华度</v>
      </c>
      <c r="R15" s="667" t="s">
        <v>14</v>
      </c>
      <c r="S15" s="668">
        <f t="shared" si="0"/>
        <v>100</v>
      </c>
      <c r="T15" s="667" t="s">
        <v>14</v>
      </c>
      <c r="U15" s="668">
        <f t="shared" si="1"/>
        <v>100</v>
      </c>
      <c r="V15" s="667" t="s">
        <v>14</v>
      </c>
      <c r="W15" s="668">
        <f t="shared" si="2"/>
        <v>100</v>
      </c>
      <c r="X15" s="1262"/>
      <c r="Y15" s="3564"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90"/>
      <c r="M16" s="2485"/>
      <c r="N16" s="2485"/>
      <c r="O16" s="2485"/>
      <c r="P16" s="3563"/>
      <c r="Q16" s="1260"/>
      <c r="R16" s="667"/>
      <c r="S16" s="668"/>
      <c r="T16" s="667"/>
      <c r="U16" s="668"/>
      <c r="V16" s="667"/>
      <c r="W16" s="668"/>
      <c r="X16" s="1262"/>
      <c r="Y16" s="3565"/>
      <c r="Z16" s="1261"/>
      <c r="AA16" s="1261">
        <v>1</v>
      </c>
      <c r="AB16" s="1261">
        <v>1</v>
      </c>
      <c r="AC16" s="1261">
        <v>1</v>
      </c>
    </row>
    <row r="17" spans="1:29" ht="85.5">
      <c r="A17" s="367"/>
      <c r="B17" s="390" t="s">
        <v>1259</v>
      </c>
      <c r="C17" s="1751"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563"/>
      <c r="Q17" s="1260" t="str">
        <f>B17</f>
        <v>交通便捷度</v>
      </c>
      <c r="R17" s="667" t="s">
        <v>14</v>
      </c>
      <c r="S17" s="668">
        <f>F17</f>
        <v>100</v>
      </c>
      <c r="T17" s="667" t="s">
        <v>14</v>
      </c>
      <c r="U17" s="668">
        <f>H17</f>
        <v>100</v>
      </c>
      <c r="V17" s="667" t="s">
        <v>14</v>
      </c>
      <c r="W17" s="668">
        <f>J17</f>
        <v>100</v>
      </c>
      <c r="X17" s="1262"/>
      <c r="Y17" s="356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90"/>
      <c r="M18" s="2485"/>
      <c r="N18" s="2485"/>
      <c r="O18" s="2485"/>
      <c r="P18" s="3563"/>
      <c r="Q18" s="1260"/>
      <c r="R18" s="667"/>
      <c r="S18" s="668"/>
      <c r="T18" s="667"/>
      <c r="U18" s="668"/>
      <c r="V18" s="667"/>
      <c r="W18" s="668"/>
      <c r="X18" s="1262"/>
      <c r="Y18" s="3565"/>
      <c r="Z18" s="1261"/>
      <c r="AA18" s="1261">
        <v>1</v>
      </c>
      <c r="AB18" s="1261">
        <v>1</v>
      </c>
      <c r="AC18" s="1261">
        <v>1</v>
      </c>
    </row>
    <row r="19" spans="1:29" ht="42.75">
      <c r="A19" s="367"/>
      <c r="B19" s="390" t="s">
        <v>1778</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563"/>
      <c r="Q19" s="1260" t="str">
        <f>B19</f>
        <v>公共配套设施</v>
      </c>
      <c r="R19" s="667" t="s">
        <v>14</v>
      </c>
      <c r="S19" s="668">
        <f>F19</f>
        <v>100</v>
      </c>
      <c r="T19" s="667" t="s">
        <v>14</v>
      </c>
      <c r="U19" s="668">
        <f>H19</f>
        <v>100</v>
      </c>
      <c r="V19" s="667" t="s">
        <v>14</v>
      </c>
      <c r="W19" s="668">
        <f>J19</f>
        <v>100</v>
      </c>
      <c r="X19" s="1262"/>
      <c r="Y19" s="356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90"/>
      <c r="M20" s="2485"/>
      <c r="N20" s="2485"/>
      <c r="O20" s="2485"/>
      <c r="P20" s="3563"/>
      <c r="Q20" s="1260"/>
      <c r="R20" s="667"/>
      <c r="S20" s="668"/>
      <c r="T20" s="667"/>
      <c r="U20" s="668"/>
      <c r="V20" s="667"/>
      <c r="W20" s="668"/>
      <c r="X20" s="1262"/>
      <c r="Y20" s="3565"/>
      <c r="Z20" s="1261"/>
      <c r="AA20" s="1261">
        <v>1</v>
      </c>
      <c r="AB20" s="1261">
        <v>1</v>
      </c>
      <c r="AC20" s="1261">
        <v>1</v>
      </c>
    </row>
    <row r="21" spans="1:29" ht="28.5">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563"/>
      <c r="Q21" s="1260" t="str">
        <f>B21</f>
        <v>基础设施水平</v>
      </c>
      <c r="R21" s="667" t="s">
        <v>14</v>
      </c>
      <c r="S21" s="668">
        <f>F21</f>
        <v>100</v>
      </c>
      <c r="T21" s="667" t="s">
        <v>14</v>
      </c>
      <c r="U21" s="668">
        <f>H21</f>
        <v>100</v>
      </c>
      <c r="V21" s="667" t="s">
        <v>14</v>
      </c>
      <c r="W21" s="668">
        <f>J21</f>
        <v>100</v>
      </c>
      <c r="X21" s="1262"/>
      <c r="Y21" s="356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90"/>
      <c r="M22" s="2485"/>
      <c r="N22" s="2485"/>
      <c r="O22" s="2485"/>
      <c r="P22" s="3563"/>
      <c r="Q22" s="1260"/>
      <c r="R22" s="667"/>
      <c r="S22" s="668"/>
      <c r="T22" s="667"/>
      <c r="U22" s="668"/>
      <c r="V22" s="667"/>
      <c r="W22" s="668"/>
      <c r="X22" s="1262"/>
      <c r="Y22" s="3565"/>
      <c r="Z22" s="1261"/>
      <c r="AA22" s="1261">
        <v>1</v>
      </c>
      <c r="AB22" s="1261">
        <v>1</v>
      </c>
      <c r="AC22" s="1261">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563"/>
      <c r="Q23" s="1260" t="str">
        <f>B23</f>
        <v>自然及人文环境</v>
      </c>
      <c r="R23" s="667" t="s">
        <v>14</v>
      </c>
      <c r="S23" s="668">
        <f>F23</f>
        <v>100</v>
      </c>
      <c r="T23" s="667" t="s">
        <v>14</v>
      </c>
      <c r="U23" s="668">
        <f>H23</f>
        <v>100</v>
      </c>
      <c r="V23" s="667" t="s">
        <v>14</v>
      </c>
      <c r="W23" s="668">
        <f>J23</f>
        <v>100</v>
      </c>
      <c r="X23" s="1262"/>
      <c r="Y23" s="3565"/>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90"/>
      <c r="M24" s="2485"/>
      <c r="N24" s="2485"/>
      <c r="O24" s="2485"/>
      <c r="P24" s="3563"/>
      <c r="Q24" s="1260"/>
      <c r="R24" s="667"/>
      <c r="S24" s="668"/>
      <c r="T24" s="667"/>
      <c r="U24" s="668"/>
      <c r="V24" s="667"/>
      <c r="W24" s="668"/>
      <c r="X24" s="1262"/>
      <c r="Y24" s="3565"/>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563"/>
      <c r="Q25" s="1260" t="str">
        <f t="shared" ref="Q25:Q46" si="11">B25</f>
        <v>临街状况</v>
      </c>
      <c r="R25" s="667" t="s">
        <v>14</v>
      </c>
      <c r="S25" s="668">
        <f>F25</f>
        <v>100</v>
      </c>
      <c r="T25" s="667" t="s">
        <v>14</v>
      </c>
      <c r="U25" s="668">
        <f>H25</f>
        <v>100</v>
      </c>
      <c r="V25" s="667" t="s">
        <v>14</v>
      </c>
      <c r="W25" s="668">
        <f>J25</f>
        <v>100</v>
      </c>
      <c r="X25" s="1262"/>
      <c r="Y25" s="3565"/>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563"/>
      <c r="Q26" s="1260" t="str">
        <f t="shared" si="11"/>
        <v>平面位置/可视性</v>
      </c>
      <c r="R26" s="667" t="s">
        <v>14</v>
      </c>
      <c r="S26" s="668">
        <f>F26</f>
        <v>100</v>
      </c>
      <c r="T26" s="667" t="s">
        <v>14</v>
      </c>
      <c r="U26" s="668">
        <f>H26</f>
        <v>100</v>
      </c>
      <c r="V26" s="667" t="s">
        <v>14</v>
      </c>
      <c r="W26" s="668">
        <f>J26</f>
        <v>100</v>
      </c>
      <c r="X26" s="1262"/>
      <c r="Y26" s="3565"/>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563"/>
      <c r="Q27" s="530" t="str">
        <f t="shared" si="11"/>
        <v>人流量</v>
      </c>
      <c r="R27" s="664" t="s">
        <v>14</v>
      </c>
      <c r="S27" s="665">
        <f>F27</f>
        <v>100</v>
      </c>
      <c r="T27" s="664" t="s">
        <v>14</v>
      </c>
      <c r="U27" s="665">
        <f>H27</f>
        <v>100</v>
      </c>
      <c r="V27" s="664" t="s">
        <v>14</v>
      </c>
      <c r="W27" s="665">
        <f>J27</f>
        <v>100</v>
      </c>
      <c r="X27" s="666"/>
      <c r="Y27" s="3565"/>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563"/>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565"/>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563"/>
      <c r="Q29" s="1260">
        <f t="shared" si="11"/>
        <v>111</v>
      </c>
      <c r="R29" s="667" t="s">
        <v>14</v>
      </c>
      <c r="S29" s="668">
        <f t="shared" si="12"/>
        <v>100</v>
      </c>
      <c r="T29" s="667" t="s">
        <v>14</v>
      </c>
      <c r="U29" s="668">
        <f t="shared" si="13"/>
        <v>100</v>
      </c>
      <c r="V29" s="667" t="s">
        <v>14</v>
      </c>
      <c r="W29" s="668">
        <f t="shared" si="14"/>
        <v>100</v>
      </c>
      <c r="X29" s="1262"/>
      <c r="Y29" s="3565"/>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563"/>
      <c r="Q30" s="1260">
        <f t="shared" si="11"/>
        <v>111</v>
      </c>
      <c r="R30" s="667" t="s">
        <v>14</v>
      </c>
      <c r="S30" s="668">
        <f t="shared" si="12"/>
        <v>100</v>
      </c>
      <c r="T30" s="667" t="s">
        <v>14</v>
      </c>
      <c r="U30" s="668">
        <f t="shared" si="13"/>
        <v>100</v>
      </c>
      <c r="V30" s="667" t="s">
        <v>14</v>
      </c>
      <c r="W30" s="668">
        <f t="shared" si="14"/>
        <v>100</v>
      </c>
      <c r="X30" s="1262"/>
      <c r="Y30" s="3565"/>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563"/>
      <c r="Q31" s="1260">
        <f t="shared" si="11"/>
        <v>111</v>
      </c>
      <c r="R31" s="667" t="s">
        <v>14</v>
      </c>
      <c r="S31" s="668">
        <f t="shared" si="12"/>
        <v>100</v>
      </c>
      <c r="T31" s="667" t="s">
        <v>14</v>
      </c>
      <c r="U31" s="668">
        <f t="shared" si="13"/>
        <v>100</v>
      </c>
      <c r="V31" s="667" t="s">
        <v>14</v>
      </c>
      <c r="W31" s="668">
        <f t="shared" si="14"/>
        <v>100</v>
      </c>
      <c r="X31" s="1262"/>
      <c r="Y31" s="3565"/>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90"/>
      <c r="M32" s="2485"/>
      <c r="N32" s="2485"/>
      <c r="O32" s="2485"/>
      <c r="P32" s="3566" t="s">
        <v>1696</v>
      </c>
      <c r="Q32" s="1260" t="str">
        <f t="shared" si="11"/>
        <v>商业类型</v>
      </c>
      <c r="R32" s="667" t="s">
        <v>14</v>
      </c>
      <c r="S32" s="668">
        <f t="shared" si="12"/>
        <v>100</v>
      </c>
      <c r="T32" s="667" t="s">
        <v>14</v>
      </c>
      <c r="U32" s="668">
        <f t="shared" si="13"/>
        <v>100</v>
      </c>
      <c r="V32" s="667" t="s">
        <v>14</v>
      </c>
      <c r="W32" s="668">
        <f t="shared" si="14"/>
        <v>100</v>
      </c>
      <c r="X32" s="1262"/>
      <c r="Y32" s="356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89"/>
      <c r="M33" s="2491"/>
      <c r="N33" s="2491"/>
      <c r="O33" s="2491"/>
      <c r="P33" s="3567"/>
      <c r="Q33" s="531" t="str">
        <f t="shared" si="11"/>
        <v>项目建筑规模</v>
      </c>
      <c r="R33" s="669" t="s">
        <v>14</v>
      </c>
      <c r="S33" s="670">
        <f t="shared" si="12"/>
        <v>100</v>
      </c>
      <c r="T33" s="669" t="s">
        <v>14</v>
      </c>
      <c r="U33" s="670">
        <f t="shared" si="13"/>
        <v>100</v>
      </c>
      <c r="V33" s="669" t="s">
        <v>14</v>
      </c>
      <c r="W33" s="670">
        <f t="shared" si="14"/>
        <v>100</v>
      </c>
      <c r="X33" s="671"/>
      <c r="Y33" s="3569"/>
      <c r="Z33" s="672" t="str">
        <f t="shared" si="15"/>
        <v>项目建筑规模</v>
      </c>
      <c r="AA33" s="1261">
        <f t="shared" si="3"/>
        <v>1</v>
      </c>
      <c r="AB33" s="1261">
        <f t="shared" si="4"/>
        <v>1</v>
      </c>
      <c r="AC33" s="1261">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567"/>
      <c r="Q34" s="1260" t="str">
        <f t="shared" si="11"/>
        <v>建筑结构</v>
      </c>
      <c r="R34" s="667" t="s">
        <v>14</v>
      </c>
      <c r="S34" s="668">
        <f t="shared" si="12"/>
        <v>100</v>
      </c>
      <c r="T34" s="667" t="s">
        <v>14</v>
      </c>
      <c r="U34" s="668">
        <f t="shared" si="13"/>
        <v>100</v>
      </c>
      <c r="V34" s="667" t="s">
        <v>14</v>
      </c>
      <c r="W34" s="668">
        <f t="shared" si="14"/>
        <v>100</v>
      </c>
      <c r="X34" s="1262"/>
      <c r="Y34" s="356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567"/>
      <c r="Q35" s="1260" t="str">
        <f t="shared" si="11"/>
        <v>公共部分装修</v>
      </c>
      <c r="R35" s="667" t="s">
        <v>14</v>
      </c>
      <c r="S35" s="668">
        <f t="shared" si="12"/>
        <v>100</v>
      </c>
      <c r="T35" s="667" t="s">
        <v>14</v>
      </c>
      <c r="U35" s="668">
        <f t="shared" si="13"/>
        <v>100</v>
      </c>
      <c r="V35" s="667" t="s">
        <v>14</v>
      </c>
      <c r="W35" s="668">
        <f t="shared" si="14"/>
        <v>100</v>
      </c>
      <c r="X35" s="1262"/>
      <c r="Y35" s="3569"/>
      <c r="Z35" s="1261" t="str">
        <f t="shared" si="15"/>
        <v>公共部分装修</v>
      </c>
      <c r="AA35" s="1261">
        <f t="shared" si="3"/>
        <v>1</v>
      </c>
      <c r="AB35" s="1261">
        <f t="shared" si="4"/>
        <v>1</v>
      </c>
      <c r="AC35" s="1261">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0"/>
      <c r="M36" s="2485"/>
      <c r="N36" s="2485"/>
      <c r="O36" s="2485"/>
      <c r="P36" s="3567"/>
      <c r="Q36" s="1260" t="str">
        <f t="shared" si="11"/>
        <v>成新度</v>
      </c>
      <c r="R36" s="667" t="s">
        <v>14</v>
      </c>
      <c r="S36" s="668">
        <f t="shared" si="12"/>
        <v>100</v>
      </c>
      <c r="T36" s="667" t="s">
        <v>14</v>
      </c>
      <c r="U36" s="668">
        <f t="shared" si="13"/>
        <v>100</v>
      </c>
      <c r="V36" s="667" t="s">
        <v>14</v>
      </c>
      <c r="W36" s="668">
        <f t="shared" si="14"/>
        <v>100</v>
      </c>
      <c r="X36" s="1262"/>
      <c r="Y36" s="3569"/>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6"/>
      <c r="M37" s="2437"/>
      <c r="N37" s="2437"/>
      <c r="O37" s="2437"/>
      <c r="P37" s="3567"/>
      <c r="Q37" s="530" t="str">
        <f t="shared" si="11"/>
        <v>市政基础设施</v>
      </c>
      <c r="R37" s="664" t="s">
        <v>14</v>
      </c>
      <c r="S37" s="665">
        <f t="shared" si="12"/>
        <v>100</v>
      </c>
      <c r="T37" s="664" t="s">
        <v>14</v>
      </c>
      <c r="U37" s="665">
        <f t="shared" si="13"/>
        <v>100</v>
      </c>
      <c r="V37" s="664" t="s">
        <v>14</v>
      </c>
      <c r="W37" s="665">
        <f t="shared" si="14"/>
        <v>100</v>
      </c>
      <c r="X37" s="666"/>
      <c r="Y37" s="356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90"/>
      <c r="M38" s="2485"/>
      <c r="N38" s="2485"/>
      <c r="O38" s="2485"/>
      <c r="P38" s="3567" t="s">
        <v>1696</v>
      </c>
      <c r="Q38" s="1260" t="str">
        <f t="shared" si="11"/>
        <v>业态</v>
      </c>
      <c r="R38" s="667" t="s">
        <v>14</v>
      </c>
      <c r="S38" s="668">
        <f t="shared" si="12"/>
        <v>100</v>
      </c>
      <c r="T38" s="667" t="s">
        <v>14</v>
      </c>
      <c r="U38" s="668">
        <f t="shared" si="13"/>
        <v>100</v>
      </c>
      <c r="V38" s="667" t="s">
        <v>14</v>
      </c>
      <c r="W38" s="668">
        <f t="shared" si="14"/>
        <v>100</v>
      </c>
      <c r="X38" s="1262"/>
      <c r="Y38" s="356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567"/>
      <c r="Q39" s="1260" t="str">
        <f t="shared" si="11"/>
        <v>层高</v>
      </c>
      <c r="R39" s="667" t="s">
        <v>14</v>
      </c>
      <c r="S39" s="668">
        <f t="shared" si="12"/>
        <v>100</v>
      </c>
      <c r="T39" s="667" t="s">
        <v>14</v>
      </c>
      <c r="U39" s="668">
        <f t="shared" si="13"/>
        <v>100</v>
      </c>
      <c r="V39" s="667" t="s">
        <v>14</v>
      </c>
      <c r="W39" s="668">
        <f t="shared" si="14"/>
        <v>100</v>
      </c>
      <c r="X39" s="1262"/>
      <c r="Y39" s="3569"/>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67"/>
      <c r="Q40" s="1260" t="str">
        <f t="shared" si="11"/>
        <v>单套建筑面积</v>
      </c>
      <c r="R40" s="667" t="s">
        <v>14</v>
      </c>
      <c r="S40" s="668">
        <f t="shared" si="12"/>
        <v>100</v>
      </c>
      <c r="T40" s="667" t="s">
        <v>14</v>
      </c>
      <c r="U40" s="668">
        <f t="shared" si="13"/>
        <v>100</v>
      </c>
      <c r="V40" s="667" t="s">
        <v>14</v>
      </c>
      <c r="W40" s="668">
        <f t="shared" si="14"/>
        <v>100</v>
      </c>
      <c r="X40" s="1262"/>
      <c r="Y40" s="3569"/>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67"/>
      <c r="Q41" s="531" t="str">
        <f t="shared" si="11"/>
        <v>进深比</v>
      </c>
      <c r="R41" s="669" t="s">
        <v>14</v>
      </c>
      <c r="S41" s="670">
        <f t="shared" si="12"/>
        <v>100</v>
      </c>
      <c r="T41" s="669" t="s">
        <v>14</v>
      </c>
      <c r="U41" s="670">
        <f t="shared" si="13"/>
        <v>100</v>
      </c>
      <c r="V41" s="669" t="s">
        <v>14</v>
      </c>
      <c r="W41" s="670">
        <f t="shared" si="14"/>
        <v>100</v>
      </c>
      <c r="X41" s="671"/>
      <c r="Y41" s="3569"/>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90"/>
      <c r="M42" s="2485"/>
      <c r="N42" s="2485"/>
      <c r="O42" s="2485"/>
      <c r="P42" s="3567"/>
      <c r="Q42" s="1260" t="str">
        <f t="shared" si="11"/>
        <v>内部装修</v>
      </c>
      <c r="R42" s="667" t="s">
        <v>14</v>
      </c>
      <c r="S42" s="668">
        <f t="shared" si="12"/>
        <v>100</v>
      </c>
      <c r="T42" s="667" t="s">
        <v>14</v>
      </c>
      <c r="U42" s="668">
        <f t="shared" si="13"/>
        <v>100</v>
      </c>
      <c r="V42" s="667" t="s">
        <v>14</v>
      </c>
      <c r="W42" s="668">
        <f t="shared" si="14"/>
        <v>100</v>
      </c>
      <c r="X42" s="1262"/>
      <c r="Y42" s="356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90"/>
      <c r="M43" s="2485"/>
      <c r="N43" s="2485"/>
      <c r="O43" s="2485"/>
      <c r="P43" s="3567"/>
      <c r="Q43" s="1260" t="str">
        <f t="shared" si="11"/>
        <v>内部装修维护情况</v>
      </c>
      <c r="R43" s="667" t="s">
        <v>14</v>
      </c>
      <c r="S43" s="668">
        <f t="shared" si="12"/>
        <v>100</v>
      </c>
      <c r="T43" s="667" t="s">
        <v>14</v>
      </c>
      <c r="U43" s="668">
        <f t="shared" si="13"/>
        <v>100</v>
      </c>
      <c r="V43" s="667" t="s">
        <v>14</v>
      </c>
      <c r="W43" s="668">
        <f t="shared" si="14"/>
        <v>100</v>
      </c>
      <c r="X43" s="1262"/>
      <c r="Y43" s="356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567"/>
      <c r="Q44" s="530">
        <f t="shared" si="11"/>
        <v>111</v>
      </c>
      <c r="R44" s="664" t="s">
        <v>14</v>
      </c>
      <c r="S44" s="665">
        <f t="shared" si="12"/>
        <v>100</v>
      </c>
      <c r="T44" s="664" t="s">
        <v>14</v>
      </c>
      <c r="U44" s="665">
        <f t="shared" si="13"/>
        <v>100</v>
      </c>
      <c r="V44" s="664" t="s">
        <v>14</v>
      </c>
      <c r="W44" s="665">
        <f t="shared" si="14"/>
        <v>100</v>
      </c>
      <c r="X44" s="666"/>
      <c r="Y44" s="356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567"/>
      <c r="Q45" s="1260">
        <f t="shared" si="11"/>
        <v>111</v>
      </c>
      <c r="R45" s="667" t="s">
        <v>14</v>
      </c>
      <c r="S45" s="668">
        <f t="shared" si="12"/>
        <v>100</v>
      </c>
      <c r="T45" s="667" t="s">
        <v>14</v>
      </c>
      <c r="U45" s="668">
        <f t="shared" si="13"/>
        <v>100</v>
      </c>
      <c r="V45" s="667" t="s">
        <v>14</v>
      </c>
      <c r="W45" s="668">
        <f t="shared" si="14"/>
        <v>100</v>
      </c>
      <c r="X45" s="1262"/>
      <c r="Y45" s="3569"/>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568"/>
      <c r="Q46" s="1260">
        <f t="shared" si="11"/>
        <v>111</v>
      </c>
      <c r="R46" s="667" t="s">
        <v>14</v>
      </c>
      <c r="S46" s="668">
        <f t="shared" si="12"/>
        <v>100</v>
      </c>
      <c r="T46" s="667" t="s">
        <v>14</v>
      </c>
      <c r="U46" s="668">
        <f t="shared" si="13"/>
        <v>100</v>
      </c>
      <c r="V46" s="667" t="s">
        <v>14</v>
      </c>
      <c r="W46" s="668">
        <f t="shared" si="14"/>
        <v>100</v>
      </c>
      <c r="X46" s="1262"/>
      <c r="Y46" s="3570"/>
      <c r="Z46" s="1261">
        <f t="shared" si="15"/>
        <v>111</v>
      </c>
      <c r="AA46" s="1261">
        <f t="shared" si="3"/>
        <v>1</v>
      </c>
      <c r="AB46" s="1261">
        <f t="shared" si="4"/>
        <v>1</v>
      </c>
      <c r="AC46" s="1261">
        <f t="shared" si="5"/>
        <v>1</v>
      </c>
    </row>
    <row r="47" spans="1:29" ht="15">
      <c r="A47" s="416" t="s">
        <v>1708</v>
      </c>
      <c r="B47" s="417"/>
      <c r="C47" s="1078" t="s">
        <v>0</v>
      </c>
      <c r="D47" s="418"/>
      <c r="E47" s="419">
        <v>51000</v>
      </c>
      <c r="F47" s="420"/>
      <c r="G47" s="421">
        <v>56000</v>
      </c>
      <c r="H47" s="422"/>
      <c r="I47" s="419">
        <v>49000</v>
      </c>
      <c r="J47" s="422"/>
      <c r="K47" s="674"/>
      <c r="L47" s="2492"/>
      <c r="M47" s="2485"/>
      <c r="N47" s="2485"/>
      <c r="O47" s="2485"/>
      <c r="P47" s="3571" t="str">
        <f>A47</f>
        <v>成交单价（元/平方米）</v>
      </c>
      <c r="Q47" s="3571"/>
      <c r="R47" s="3533">
        <f>E47</f>
        <v>51000</v>
      </c>
      <c r="S47" s="3533"/>
      <c r="T47" s="3533">
        <f>G47</f>
        <v>56000</v>
      </c>
      <c r="U47" s="3533"/>
      <c r="V47" s="3533">
        <f>I47</f>
        <v>49000</v>
      </c>
      <c r="W47" s="3533"/>
      <c r="X47" s="385"/>
      <c r="Y47" s="673"/>
      <c r="Z47" s="385"/>
      <c r="AA47" s="385"/>
      <c r="AB47" s="385"/>
      <c r="AC47" s="385"/>
    </row>
    <row r="48" spans="1:29" ht="15.75" thickBot="1">
      <c r="A48" s="423" t="s">
        <v>1793</v>
      </c>
      <c r="B48" s="424"/>
      <c r="C48" s="1079">
        <f>R49</f>
        <v>52000</v>
      </c>
      <c r="D48" s="2138" t="s">
        <v>2138</v>
      </c>
      <c r="E48" s="1080">
        <f>R48</f>
        <v>51000</v>
      </c>
      <c r="F48" s="2139"/>
      <c r="G48" s="1079">
        <f>T48</f>
        <v>56000</v>
      </c>
      <c r="H48" s="2139"/>
      <c r="I48" s="1080">
        <f>V48</f>
        <v>49000</v>
      </c>
      <c r="J48" s="2139"/>
      <c r="K48" s="2141">
        <f>F48+H48+J48</f>
        <v>0</v>
      </c>
      <c r="L48" s="2492"/>
      <c r="M48" s="2485"/>
      <c r="N48" s="2485"/>
      <c r="O48" s="2485"/>
      <c r="P48" s="3571" t="str">
        <f>A48</f>
        <v>比较价值（元/平方米）</v>
      </c>
      <c r="Q48" s="3571"/>
      <c r="R48" s="3533">
        <f>IF(F1="售价",ROUND(PRODUCT(R47,AA7:AA46),0),ROUND(PRODUCT(R47,AA7:AA46),1))</f>
        <v>51000</v>
      </c>
      <c r="S48" s="3533"/>
      <c r="T48" s="3533">
        <f>IF(F1="售价",ROUND(PRODUCT(T47,AB7:AB46),0),ROUND(PRODUCT(T47,AB7:AB46),1))</f>
        <v>56000</v>
      </c>
      <c r="U48" s="3533"/>
      <c r="V48" s="3533">
        <f>IF(F1="售价",ROUND(PRODUCT(V47,AC7:AC46),0),ROUND(PRODUCT(V47,AC7:AC46),1))</f>
        <v>49000</v>
      </c>
      <c r="W48" s="3533"/>
      <c r="X48" s="385"/>
      <c r="Y48" s="385"/>
      <c r="Z48" s="385"/>
      <c r="AA48" s="385"/>
      <c r="AB48" s="385"/>
      <c r="AC48" s="385"/>
    </row>
    <row r="49" spans="1:29" ht="15.75" thickBot="1">
      <c r="A49" s="427" t="s">
        <v>1794</v>
      </c>
      <c r="B49" s="428"/>
      <c r="C49" s="351">
        <f>R49</f>
        <v>52000</v>
      </c>
      <c r="D49" s="351"/>
      <c r="E49" s="351"/>
      <c r="F49" s="351"/>
      <c r="G49" s="351"/>
      <c r="H49" s="351"/>
      <c r="I49" s="351"/>
      <c r="J49" s="351"/>
      <c r="K49" s="675"/>
      <c r="L49" s="2492"/>
      <c r="M49" s="2485"/>
      <c r="N49" s="2485"/>
      <c r="O49" s="2485"/>
      <c r="P49" s="3572" t="str">
        <f>A49</f>
        <v>估价对象XX用房的比较价值（楼面单价，元/平方米）</v>
      </c>
      <c r="Q49" s="3573"/>
      <c r="R49" s="3574">
        <f>IF(F1="售价",ROUND(IF(D48="简单平均",AVERAGE(R48:V48),R48*F48+T48*H48+V48*J48),0),ROUND(IF(D48="简单平均",AVERAGE(R48:V48),R48*F48+T48*H48+V48*J48),1))</f>
        <v>52000</v>
      </c>
      <c r="S49" s="3574"/>
      <c r="T49" s="3574"/>
      <c r="U49" s="3574"/>
      <c r="V49" s="3574"/>
      <c r="W49" s="35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9.8039215686274606E-2</v>
      </c>
      <c r="F53" s="435" t="str">
        <f>IF(OR(E53&gt;=0.2,E53&lt;=-0.2),"超过20%","")</f>
        <v/>
      </c>
      <c r="G53" s="434">
        <f>IF(G48&lt;I48,I48/G48-1,G48/I48-1)</f>
        <v>0.14285714285714279</v>
      </c>
      <c r="H53" s="435" t="str">
        <f>IF(OR(G53&gt;=0.2,G53&lt;=-0.2),"超过20%","")</f>
        <v/>
      </c>
      <c r="I53" s="434">
        <f>IF(I48&lt;E48,E48/I48-1,I48/E48-1)</f>
        <v>4.081632653061229E-2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9.8039215686274606E-2</v>
      </c>
      <c r="F54" s="435" t="str">
        <f>IF(OR(E54&gt;=0.3,E54&lt;=-0.3),"超过30%","")</f>
        <v/>
      </c>
      <c r="G54" s="434">
        <f>IF(G47&lt;I47,I47/G47-1,G47/I47-1)</f>
        <v>0.14285714285714279</v>
      </c>
      <c r="H54" s="435" t="str">
        <f>IF(OR(G54&gt;=0.3,G54&lt;=-0.3),"超过30%","")</f>
        <v/>
      </c>
      <c r="I54" s="434">
        <f>IF(I47&lt;E47,E47/I47-1,I47/E47-1)</f>
        <v>4.081632653061229E-2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5"/>
      <c r="M57" s="883"/>
      <c r="N57" s="883"/>
      <c r="O57" s="883"/>
      <c r="P57" s="2505"/>
      <c r="Q57" s="2506"/>
      <c r="R57" s="2485"/>
      <c r="S57" s="2485"/>
      <c r="T57" s="2485"/>
      <c r="U57" s="2485"/>
      <c r="V57" s="2485"/>
      <c r="W57" s="2485"/>
      <c r="X57" s="2485"/>
      <c r="Y57" s="2485"/>
      <c r="Z57" s="2485"/>
      <c r="AA57" s="2485"/>
      <c r="AB57" s="2485"/>
      <c r="AC57" s="2485"/>
    </row>
    <row r="58" spans="1:29" s="442" customFormat="1" ht="15">
      <c r="A58" s="440" t="s">
        <v>1679</v>
      </c>
      <c r="B58" s="441"/>
      <c r="C58" s="1100" t="str">
        <f>YEAR(C7)&amp;"-"&amp;MONTH(C7)</f>
        <v>2023-12</v>
      </c>
      <c r="D58" s="1101">
        <f>EDATE(C58,-1)</f>
        <v>45231</v>
      </c>
      <c r="E58" s="1101">
        <f t="shared" ref="E58:N58" si="16">EDATE(D58,-1)</f>
        <v>45200</v>
      </c>
      <c r="F58" s="1101">
        <f t="shared" si="16"/>
        <v>45170</v>
      </c>
      <c r="G58" s="1101">
        <f t="shared" si="16"/>
        <v>45139</v>
      </c>
      <c r="H58" s="1101">
        <f t="shared" si="16"/>
        <v>45108</v>
      </c>
      <c r="I58" s="1101">
        <f t="shared" si="16"/>
        <v>45078</v>
      </c>
      <c r="J58" s="1101">
        <f t="shared" si="16"/>
        <v>45047</v>
      </c>
      <c r="K58" s="1101">
        <f t="shared" si="16"/>
        <v>45017</v>
      </c>
      <c r="L58" s="1101">
        <f t="shared" si="16"/>
        <v>44986</v>
      </c>
      <c r="M58" s="1101">
        <f t="shared" si="16"/>
        <v>44958</v>
      </c>
      <c r="N58" s="1101">
        <f t="shared" si="16"/>
        <v>44927</v>
      </c>
      <c r="O58" s="1101">
        <f>EDATE(N58,-1)</f>
        <v>44896</v>
      </c>
      <c r="P58" s="2507"/>
      <c r="Q58" s="2508"/>
      <c r="R58" s="2508"/>
      <c r="S58" s="2508"/>
      <c r="T58" s="2508"/>
      <c r="U58" s="2508"/>
      <c r="V58" s="2508"/>
      <c r="W58" s="2508"/>
      <c r="X58" s="2508"/>
      <c r="Y58" s="2508"/>
      <c r="Z58" s="2508"/>
      <c r="AA58" s="2508"/>
      <c r="AB58" s="2508"/>
      <c r="AC58" s="2508"/>
    </row>
    <row r="59" spans="1:29" s="102" customFormat="1" ht="15">
      <c r="A59" s="443"/>
      <c r="B59" s="444"/>
      <c r="C59" s="1099">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0"/>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cfRule type="containsText" dxfId="156" priority="17" stopIfTrue="1" operator="containsText" text="超过">
      <formula>NOT(ISERROR(SEARCH("超过",F52)))</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G54">
    <cfRule type="expression" dxfId="153" priority="13"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conditionalFormatting sqref="J52:J54">
    <cfRule type="containsText" dxfId="14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zoomScale="85" zoomScaleNormal="70" zoomScaleSheetLayoutView="85" workbookViewId="0">
      <selection activeCell="E21" sqref="E2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t="s">
        <v>3701</v>
      </c>
      <c r="E1" s="3121" t="s">
        <v>3706</v>
      </c>
      <c r="F1" s="1732" t="s">
        <v>3707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5068</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41600</v>
      </c>
      <c r="C3" s="344" t="s">
        <v>1768</v>
      </c>
      <c r="D3" s="343">
        <f>IF(D1="",'数据-汇总表'!E3,SUMIF('数据-汇总表'!$C19:$C33,D1,'数据-汇总表'!$E19:$E33))</f>
        <v>1218.17</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3"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3"/>
      <c r="AC5" s="353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57"/>
      <c r="Q6" s="3558"/>
      <c r="R6" s="3538"/>
      <c r="S6" s="3539"/>
      <c r="T6" s="3559"/>
      <c r="U6" s="3560"/>
      <c r="V6" s="3533"/>
      <c r="W6" s="3533"/>
      <c r="X6" s="1262"/>
      <c r="Y6" s="3559"/>
      <c r="Z6" s="3560"/>
      <c r="AA6" s="3532"/>
      <c r="AB6" s="3533"/>
      <c r="AC6" s="3532"/>
    </row>
    <row r="7" spans="1:29" s="102" customFormat="1" ht="15.75" thickBot="1">
      <c r="A7" s="352" t="s">
        <v>1679</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38"/>
      <c r="L7" s="2486"/>
      <c r="M7" s="2437"/>
      <c r="N7" s="2437"/>
      <c r="O7" s="2437"/>
      <c r="P7" s="3534" t="s">
        <v>1680</v>
      </c>
      <c r="Q7" s="3561"/>
      <c r="R7" s="664" t="s">
        <v>14</v>
      </c>
      <c r="S7" s="665">
        <f t="shared" ref="S7:S15" si="0">F7</f>
        <v>100</v>
      </c>
      <c r="T7" s="664" t="s">
        <v>14</v>
      </c>
      <c r="U7" s="665">
        <f t="shared" ref="U7:U15" si="1">H7</f>
        <v>100</v>
      </c>
      <c r="V7" s="664" t="s">
        <v>14</v>
      </c>
      <c r="W7" s="665">
        <f t="shared" ref="W7:W15" si="2">J7</f>
        <v>100</v>
      </c>
      <c r="X7" s="666"/>
      <c r="Y7" s="3534" t="s">
        <v>1680</v>
      </c>
      <c r="Z7" s="353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534" t="s">
        <v>1683</v>
      </c>
      <c r="Q8" s="3535"/>
      <c r="R8" s="664" t="s">
        <v>14</v>
      </c>
      <c r="S8" s="665">
        <f t="shared" si="0"/>
        <v>100</v>
      </c>
      <c r="T8" s="664" t="s">
        <v>14</v>
      </c>
      <c r="U8" s="665">
        <f t="shared" si="1"/>
        <v>100</v>
      </c>
      <c r="V8" s="664" t="s">
        <v>14</v>
      </c>
      <c r="W8" s="665">
        <f t="shared" si="2"/>
        <v>100</v>
      </c>
      <c r="X8" s="666"/>
      <c r="Y8" s="3534" t="s">
        <v>1683</v>
      </c>
      <c r="Z8" s="35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548"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7"/>
      <c r="M10" s="2488"/>
      <c r="N10" s="2488"/>
      <c r="O10" s="2488"/>
      <c r="P10" s="3548"/>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548"/>
      <c r="Q11" s="530" t="str">
        <f t="shared" si="6"/>
        <v>容积率</v>
      </c>
      <c r="R11" s="664" t="s">
        <v>14</v>
      </c>
      <c r="S11" s="665">
        <f t="shared" si="0"/>
        <v>100</v>
      </c>
      <c r="T11" s="664" t="s">
        <v>14</v>
      </c>
      <c r="U11" s="665">
        <f t="shared" si="1"/>
        <v>100</v>
      </c>
      <c r="V11" s="664" t="s">
        <v>14</v>
      </c>
      <c r="W11" s="665">
        <f t="shared" si="2"/>
        <v>100</v>
      </c>
      <c r="X11" s="666"/>
      <c r="Y11" s="350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548"/>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48"/>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48"/>
      <c r="Q14" s="530">
        <f t="shared" si="6"/>
        <v>111</v>
      </c>
      <c r="R14" s="664" t="s">
        <v>14</v>
      </c>
      <c r="S14" s="665">
        <f t="shared" si="0"/>
        <v>100</v>
      </c>
      <c r="T14" s="664" t="s">
        <v>14</v>
      </c>
      <c r="U14" s="665">
        <f t="shared" si="1"/>
        <v>100</v>
      </c>
      <c r="V14" s="664" t="s">
        <v>14</v>
      </c>
      <c r="W14" s="665">
        <f t="shared" si="2"/>
        <v>100</v>
      </c>
      <c r="X14" s="666"/>
      <c r="Y14" s="3503"/>
      <c r="Z14" s="50">
        <f t="shared" si="7"/>
        <v>111</v>
      </c>
      <c r="AA14" s="50">
        <f t="shared" si="3"/>
        <v>1</v>
      </c>
      <c r="AB14" s="50">
        <f t="shared" si="4"/>
        <v>1</v>
      </c>
      <c r="AC14" s="50">
        <f t="shared" si="5"/>
        <v>1</v>
      </c>
    </row>
    <row r="15" spans="1:29" ht="71.25">
      <c r="A15" s="379" t="s">
        <v>1690</v>
      </c>
      <c r="B15" s="58" t="s">
        <v>1777</v>
      </c>
      <c r="C15" s="1747"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562" t="s">
        <v>1691</v>
      </c>
      <c r="Q15" s="1260" t="str">
        <f t="shared" si="6"/>
        <v>商业繁华度</v>
      </c>
      <c r="R15" s="667" t="s">
        <v>14</v>
      </c>
      <c r="S15" s="668">
        <f t="shared" si="0"/>
        <v>100</v>
      </c>
      <c r="T15" s="667" t="s">
        <v>14</v>
      </c>
      <c r="U15" s="668">
        <f t="shared" si="1"/>
        <v>100</v>
      </c>
      <c r="V15" s="667" t="s">
        <v>14</v>
      </c>
      <c r="W15" s="668">
        <f t="shared" si="2"/>
        <v>100</v>
      </c>
      <c r="X15" s="1262"/>
      <c r="Y15" s="3564"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90"/>
      <c r="M16" s="2485"/>
      <c r="N16" s="2485"/>
      <c r="O16" s="2485"/>
      <c r="P16" s="3563"/>
      <c r="Q16" s="1260"/>
      <c r="R16" s="667"/>
      <c r="S16" s="668"/>
      <c r="T16" s="667"/>
      <c r="U16" s="668"/>
      <c r="V16" s="667"/>
      <c r="W16" s="668"/>
      <c r="X16" s="1262"/>
      <c r="Y16" s="3565"/>
      <c r="Z16" s="1261"/>
      <c r="AA16" s="1261">
        <v>1</v>
      </c>
      <c r="AB16" s="1261">
        <v>1</v>
      </c>
      <c r="AC16" s="1261">
        <v>1</v>
      </c>
    </row>
    <row r="17" spans="1:29" ht="85.5">
      <c r="A17" s="367"/>
      <c r="B17" s="390" t="s">
        <v>1259</v>
      </c>
      <c r="C17" s="1751"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563"/>
      <c r="Q17" s="1260" t="str">
        <f>B17</f>
        <v>交通便捷度</v>
      </c>
      <c r="R17" s="667" t="s">
        <v>14</v>
      </c>
      <c r="S17" s="668">
        <f>F17</f>
        <v>100</v>
      </c>
      <c r="T17" s="667" t="s">
        <v>14</v>
      </c>
      <c r="U17" s="668">
        <f>H17</f>
        <v>100</v>
      </c>
      <c r="V17" s="667" t="s">
        <v>14</v>
      </c>
      <c r="W17" s="668">
        <f>J17</f>
        <v>100</v>
      </c>
      <c r="X17" s="1262"/>
      <c r="Y17" s="356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90"/>
      <c r="M18" s="2485"/>
      <c r="N18" s="2485"/>
      <c r="O18" s="2485"/>
      <c r="P18" s="3563"/>
      <c r="Q18" s="1260"/>
      <c r="R18" s="667"/>
      <c r="S18" s="668"/>
      <c r="T18" s="667"/>
      <c r="U18" s="668"/>
      <c r="V18" s="667"/>
      <c r="W18" s="668"/>
      <c r="X18" s="1262"/>
      <c r="Y18" s="3565"/>
      <c r="Z18" s="1261"/>
      <c r="AA18" s="1261">
        <v>1</v>
      </c>
      <c r="AB18" s="1261">
        <v>1</v>
      </c>
      <c r="AC18" s="1261">
        <v>1</v>
      </c>
    </row>
    <row r="19" spans="1:29" ht="42.75">
      <c r="A19" s="367"/>
      <c r="B19" s="390" t="s">
        <v>1778</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563"/>
      <c r="Q19" s="1260" t="str">
        <f>B19</f>
        <v>公共配套设施</v>
      </c>
      <c r="R19" s="667" t="s">
        <v>14</v>
      </c>
      <c r="S19" s="668">
        <f>F19</f>
        <v>100</v>
      </c>
      <c r="T19" s="667" t="s">
        <v>14</v>
      </c>
      <c r="U19" s="668">
        <f>H19</f>
        <v>100</v>
      </c>
      <c r="V19" s="667" t="s">
        <v>14</v>
      </c>
      <c r="W19" s="668">
        <f>J19</f>
        <v>100</v>
      </c>
      <c r="X19" s="1262"/>
      <c r="Y19" s="356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90"/>
      <c r="M20" s="2485"/>
      <c r="N20" s="2485"/>
      <c r="O20" s="2485"/>
      <c r="P20" s="3563"/>
      <c r="Q20" s="1260"/>
      <c r="R20" s="667"/>
      <c r="S20" s="668"/>
      <c r="T20" s="667"/>
      <c r="U20" s="668"/>
      <c r="V20" s="667"/>
      <c r="W20" s="668"/>
      <c r="X20" s="1262"/>
      <c r="Y20" s="3565"/>
      <c r="Z20" s="1261"/>
      <c r="AA20" s="1261">
        <v>1</v>
      </c>
      <c r="AB20" s="1261">
        <v>1</v>
      </c>
      <c r="AC20" s="1261">
        <v>1</v>
      </c>
    </row>
    <row r="21" spans="1:29" ht="28.5">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563"/>
      <c r="Q21" s="1260" t="str">
        <f>B21</f>
        <v>基础设施水平</v>
      </c>
      <c r="R21" s="667" t="s">
        <v>14</v>
      </c>
      <c r="S21" s="668">
        <f>F21</f>
        <v>100</v>
      </c>
      <c r="T21" s="667" t="s">
        <v>14</v>
      </c>
      <c r="U21" s="668">
        <f>H21</f>
        <v>100</v>
      </c>
      <c r="V21" s="667" t="s">
        <v>14</v>
      </c>
      <c r="W21" s="668">
        <f>J21</f>
        <v>100</v>
      </c>
      <c r="X21" s="1262"/>
      <c r="Y21" s="356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90"/>
      <c r="M22" s="2485"/>
      <c r="N22" s="2485"/>
      <c r="O22" s="2485"/>
      <c r="P22" s="3563"/>
      <c r="Q22" s="1260"/>
      <c r="R22" s="667"/>
      <c r="S22" s="668"/>
      <c r="T22" s="667"/>
      <c r="U22" s="668"/>
      <c r="V22" s="667"/>
      <c r="W22" s="668"/>
      <c r="X22" s="1262"/>
      <c r="Y22" s="3565"/>
      <c r="Z22" s="1261"/>
      <c r="AA22" s="1261">
        <v>1</v>
      </c>
      <c r="AB22" s="1261">
        <v>1</v>
      </c>
      <c r="AC22" s="1261">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563"/>
      <c r="Q23" s="1260" t="str">
        <f>B23</f>
        <v>自然及人文环境</v>
      </c>
      <c r="R23" s="667" t="s">
        <v>14</v>
      </c>
      <c r="S23" s="668">
        <f>F23</f>
        <v>100</v>
      </c>
      <c r="T23" s="667" t="s">
        <v>14</v>
      </c>
      <c r="U23" s="668">
        <f>H23</f>
        <v>100</v>
      </c>
      <c r="V23" s="667" t="s">
        <v>14</v>
      </c>
      <c r="W23" s="668">
        <f>J23</f>
        <v>100</v>
      </c>
      <c r="X23" s="1262"/>
      <c r="Y23" s="3565"/>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90"/>
      <c r="M24" s="2485"/>
      <c r="N24" s="2485"/>
      <c r="O24" s="2485"/>
      <c r="P24" s="3563"/>
      <c r="Q24" s="1260"/>
      <c r="R24" s="667"/>
      <c r="S24" s="668"/>
      <c r="T24" s="667"/>
      <c r="U24" s="668"/>
      <c r="V24" s="667"/>
      <c r="W24" s="668"/>
      <c r="X24" s="1262"/>
      <c r="Y24" s="3565"/>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563"/>
      <c r="Q25" s="1260" t="str">
        <f t="shared" ref="Q25:Q46" si="11">B25</f>
        <v>临街状况</v>
      </c>
      <c r="R25" s="667" t="s">
        <v>14</v>
      </c>
      <c r="S25" s="668">
        <f>F25</f>
        <v>100</v>
      </c>
      <c r="T25" s="667" t="s">
        <v>14</v>
      </c>
      <c r="U25" s="668">
        <f>H25</f>
        <v>100</v>
      </c>
      <c r="V25" s="667" t="s">
        <v>14</v>
      </c>
      <c r="W25" s="668">
        <f>J25</f>
        <v>100</v>
      </c>
      <c r="X25" s="1262"/>
      <c r="Y25" s="3565"/>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563"/>
      <c r="Q26" s="1260" t="str">
        <f t="shared" si="11"/>
        <v>平面位置/可视性</v>
      </c>
      <c r="R26" s="667" t="s">
        <v>14</v>
      </c>
      <c r="S26" s="668">
        <f>F26</f>
        <v>100</v>
      </c>
      <c r="T26" s="667" t="s">
        <v>14</v>
      </c>
      <c r="U26" s="668">
        <f>H26</f>
        <v>100</v>
      </c>
      <c r="V26" s="667" t="s">
        <v>14</v>
      </c>
      <c r="W26" s="668">
        <f>J26</f>
        <v>100</v>
      </c>
      <c r="X26" s="1262"/>
      <c r="Y26" s="3565"/>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563"/>
      <c r="Q27" s="530" t="str">
        <f t="shared" si="11"/>
        <v>人流量</v>
      </c>
      <c r="R27" s="664" t="s">
        <v>14</v>
      </c>
      <c r="S27" s="665">
        <f>F27</f>
        <v>100</v>
      </c>
      <c r="T27" s="664" t="s">
        <v>14</v>
      </c>
      <c r="U27" s="665">
        <f>H27</f>
        <v>100</v>
      </c>
      <c r="V27" s="664" t="s">
        <v>14</v>
      </c>
      <c r="W27" s="665">
        <f>J27</f>
        <v>100</v>
      </c>
      <c r="X27" s="666"/>
      <c r="Y27" s="3565"/>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563"/>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565"/>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563"/>
      <c r="Q29" s="1260">
        <f t="shared" si="11"/>
        <v>111</v>
      </c>
      <c r="R29" s="667" t="s">
        <v>14</v>
      </c>
      <c r="S29" s="668">
        <f t="shared" si="12"/>
        <v>100</v>
      </c>
      <c r="T29" s="667" t="s">
        <v>14</v>
      </c>
      <c r="U29" s="668">
        <f t="shared" si="13"/>
        <v>100</v>
      </c>
      <c r="V29" s="667" t="s">
        <v>14</v>
      </c>
      <c r="W29" s="668">
        <f t="shared" si="14"/>
        <v>100</v>
      </c>
      <c r="X29" s="1262"/>
      <c r="Y29" s="3565"/>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563"/>
      <c r="Q30" s="1260">
        <f t="shared" si="11"/>
        <v>111</v>
      </c>
      <c r="R30" s="667" t="s">
        <v>14</v>
      </c>
      <c r="S30" s="668">
        <f t="shared" si="12"/>
        <v>100</v>
      </c>
      <c r="T30" s="667" t="s">
        <v>14</v>
      </c>
      <c r="U30" s="668">
        <f t="shared" si="13"/>
        <v>100</v>
      </c>
      <c r="V30" s="667" t="s">
        <v>14</v>
      </c>
      <c r="W30" s="668">
        <f t="shared" si="14"/>
        <v>100</v>
      </c>
      <c r="X30" s="1262"/>
      <c r="Y30" s="3565"/>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563"/>
      <c r="Q31" s="1260">
        <f t="shared" si="11"/>
        <v>111</v>
      </c>
      <c r="R31" s="667" t="s">
        <v>14</v>
      </c>
      <c r="S31" s="668">
        <f t="shared" si="12"/>
        <v>100</v>
      </c>
      <c r="T31" s="667" t="s">
        <v>14</v>
      </c>
      <c r="U31" s="668">
        <f t="shared" si="13"/>
        <v>100</v>
      </c>
      <c r="V31" s="667" t="s">
        <v>14</v>
      </c>
      <c r="W31" s="668">
        <f t="shared" si="14"/>
        <v>100</v>
      </c>
      <c r="X31" s="1262"/>
      <c r="Y31" s="3565"/>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90"/>
      <c r="M32" s="2485"/>
      <c r="N32" s="2485"/>
      <c r="O32" s="2485"/>
      <c r="P32" s="3566" t="s">
        <v>1696</v>
      </c>
      <c r="Q32" s="1260" t="str">
        <f t="shared" si="11"/>
        <v>商业类型</v>
      </c>
      <c r="R32" s="667" t="s">
        <v>14</v>
      </c>
      <c r="S32" s="668">
        <f t="shared" si="12"/>
        <v>100</v>
      </c>
      <c r="T32" s="667" t="s">
        <v>14</v>
      </c>
      <c r="U32" s="668">
        <f t="shared" si="13"/>
        <v>100</v>
      </c>
      <c r="V32" s="667" t="s">
        <v>14</v>
      </c>
      <c r="W32" s="668">
        <f t="shared" si="14"/>
        <v>100</v>
      </c>
      <c r="X32" s="1262"/>
      <c r="Y32" s="356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89"/>
      <c r="M33" s="2491"/>
      <c r="N33" s="2491"/>
      <c r="O33" s="2491"/>
      <c r="P33" s="3567"/>
      <c r="Q33" s="531" t="str">
        <f t="shared" si="11"/>
        <v>项目建筑规模</v>
      </c>
      <c r="R33" s="669" t="s">
        <v>14</v>
      </c>
      <c r="S33" s="670">
        <f t="shared" si="12"/>
        <v>100</v>
      </c>
      <c r="T33" s="669" t="s">
        <v>14</v>
      </c>
      <c r="U33" s="670">
        <f t="shared" si="13"/>
        <v>100</v>
      </c>
      <c r="V33" s="669" t="s">
        <v>14</v>
      </c>
      <c r="W33" s="670">
        <f t="shared" si="14"/>
        <v>100</v>
      </c>
      <c r="X33" s="671"/>
      <c r="Y33" s="3569"/>
      <c r="Z33" s="672" t="str">
        <f t="shared" si="15"/>
        <v>项目建筑规模</v>
      </c>
      <c r="AA33" s="1261">
        <f t="shared" si="3"/>
        <v>1</v>
      </c>
      <c r="AB33" s="1261">
        <f t="shared" si="4"/>
        <v>1</v>
      </c>
      <c r="AC33" s="1261">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567"/>
      <c r="Q34" s="1260" t="str">
        <f t="shared" si="11"/>
        <v>建筑结构</v>
      </c>
      <c r="R34" s="667" t="s">
        <v>14</v>
      </c>
      <c r="S34" s="668">
        <f t="shared" si="12"/>
        <v>100</v>
      </c>
      <c r="T34" s="667" t="s">
        <v>14</v>
      </c>
      <c r="U34" s="668">
        <f t="shared" si="13"/>
        <v>100</v>
      </c>
      <c r="V34" s="667" t="s">
        <v>14</v>
      </c>
      <c r="W34" s="668">
        <f t="shared" si="14"/>
        <v>100</v>
      </c>
      <c r="X34" s="1262"/>
      <c r="Y34" s="356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567"/>
      <c r="Q35" s="1260" t="str">
        <f t="shared" si="11"/>
        <v>公共部分装修</v>
      </c>
      <c r="R35" s="667" t="s">
        <v>14</v>
      </c>
      <c r="S35" s="668">
        <f t="shared" si="12"/>
        <v>100</v>
      </c>
      <c r="T35" s="667" t="s">
        <v>14</v>
      </c>
      <c r="U35" s="668">
        <f t="shared" si="13"/>
        <v>100</v>
      </c>
      <c r="V35" s="667" t="s">
        <v>14</v>
      </c>
      <c r="W35" s="668">
        <f t="shared" si="14"/>
        <v>100</v>
      </c>
      <c r="X35" s="1262"/>
      <c r="Y35" s="3569"/>
      <c r="Z35" s="1261" t="str">
        <f t="shared" si="15"/>
        <v>公共部分装修</v>
      </c>
      <c r="AA35" s="1261">
        <f t="shared" si="3"/>
        <v>1</v>
      </c>
      <c r="AB35" s="1261">
        <f t="shared" si="4"/>
        <v>1</v>
      </c>
      <c r="AC35" s="1261">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0"/>
      <c r="M36" s="2485"/>
      <c r="N36" s="2485"/>
      <c r="O36" s="2485"/>
      <c r="P36" s="3567"/>
      <c r="Q36" s="1260" t="str">
        <f t="shared" si="11"/>
        <v>成新度</v>
      </c>
      <c r="R36" s="667" t="s">
        <v>14</v>
      </c>
      <c r="S36" s="668">
        <f t="shared" si="12"/>
        <v>100</v>
      </c>
      <c r="T36" s="667" t="s">
        <v>14</v>
      </c>
      <c r="U36" s="668">
        <f t="shared" si="13"/>
        <v>100</v>
      </c>
      <c r="V36" s="667" t="s">
        <v>14</v>
      </c>
      <c r="W36" s="668">
        <f t="shared" si="14"/>
        <v>100</v>
      </c>
      <c r="X36" s="1262"/>
      <c r="Y36" s="3569"/>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6"/>
      <c r="M37" s="2437"/>
      <c r="N37" s="2437"/>
      <c r="O37" s="2437"/>
      <c r="P37" s="3567"/>
      <c r="Q37" s="530" t="str">
        <f t="shared" si="11"/>
        <v>市政基础设施</v>
      </c>
      <c r="R37" s="664" t="s">
        <v>14</v>
      </c>
      <c r="S37" s="665">
        <f t="shared" si="12"/>
        <v>100</v>
      </c>
      <c r="T37" s="664" t="s">
        <v>14</v>
      </c>
      <c r="U37" s="665">
        <f t="shared" si="13"/>
        <v>100</v>
      </c>
      <c r="V37" s="664" t="s">
        <v>14</v>
      </c>
      <c r="W37" s="665">
        <f t="shared" si="14"/>
        <v>100</v>
      </c>
      <c r="X37" s="666"/>
      <c r="Y37" s="356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90"/>
      <c r="M38" s="2485"/>
      <c r="N38" s="2485"/>
      <c r="O38" s="2485"/>
      <c r="P38" s="3567" t="s">
        <v>1696</v>
      </c>
      <c r="Q38" s="1260" t="str">
        <f t="shared" si="11"/>
        <v>业态</v>
      </c>
      <c r="R38" s="667" t="s">
        <v>14</v>
      </c>
      <c r="S38" s="668">
        <f t="shared" si="12"/>
        <v>100</v>
      </c>
      <c r="T38" s="667" t="s">
        <v>14</v>
      </c>
      <c r="U38" s="668">
        <f t="shared" si="13"/>
        <v>100</v>
      </c>
      <c r="V38" s="667" t="s">
        <v>14</v>
      </c>
      <c r="W38" s="668">
        <f t="shared" si="14"/>
        <v>100</v>
      </c>
      <c r="X38" s="1262"/>
      <c r="Y38" s="356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567"/>
      <c r="Q39" s="1260" t="str">
        <f t="shared" si="11"/>
        <v>层高</v>
      </c>
      <c r="R39" s="667" t="s">
        <v>14</v>
      </c>
      <c r="S39" s="668">
        <f t="shared" si="12"/>
        <v>100</v>
      </c>
      <c r="T39" s="667" t="s">
        <v>14</v>
      </c>
      <c r="U39" s="668">
        <f t="shared" si="13"/>
        <v>100</v>
      </c>
      <c r="V39" s="667" t="s">
        <v>14</v>
      </c>
      <c r="W39" s="668">
        <f t="shared" si="14"/>
        <v>100</v>
      </c>
      <c r="X39" s="1262"/>
      <c r="Y39" s="3569"/>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67"/>
      <c r="Q40" s="1260" t="str">
        <f t="shared" si="11"/>
        <v>单套建筑面积</v>
      </c>
      <c r="R40" s="667" t="s">
        <v>14</v>
      </c>
      <c r="S40" s="668">
        <f t="shared" si="12"/>
        <v>100</v>
      </c>
      <c r="T40" s="667" t="s">
        <v>14</v>
      </c>
      <c r="U40" s="668">
        <f t="shared" si="13"/>
        <v>100</v>
      </c>
      <c r="V40" s="667" t="s">
        <v>14</v>
      </c>
      <c r="W40" s="668">
        <f t="shared" si="14"/>
        <v>100</v>
      </c>
      <c r="X40" s="1262"/>
      <c r="Y40" s="3569"/>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67"/>
      <c r="Q41" s="531" t="str">
        <f t="shared" si="11"/>
        <v>进深比</v>
      </c>
      <c r="R41" s="669" t="s">
        <v>14</v>
      </c>
      <c r="S41" s="670">
        <f t="shared" si="12"/>
        <v>100</v>
      </c>
      <c r="T41" s="669" t="s">
        <v>14</v>
      </c>
      <c r="U41" s="670">
        <f t="shared" si="13"/>
        <v>100</v>
      </c>
      <c r="V41" s="669" t="s">
        <v>14</v>
      </c>
      <c r="W41" s="670">
        <f t="shared" si="14"/>
        <v>100</v>
      </c>
      <c r="X41" s="671"/>
      <c r="Y41" s="3569"/>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90"/>
      <c r="M42" s="2485"/>
      <c r="N42" s="2485"/>
      <c r="O42" s="2485"/>
      <c r="P42" s="3567"/>
      <c r="Q42" s="1260" t="str">
        <f t="shared" si="11"/>
        <v>内部装修</v>
      </c>
      <c r="R42" s="667" t="s">
        <v>14</v>
      </c>
      <c r="S42" s="668">
        <f t="shared" si="12"/>
        <v>100</v>
      </c>
      <c r="T42" s="667" t="s">
        <v>14</v>
      </c>
      <c r="U42" s="668">
        <f t="shared" si="13"/>
        <v>100</v>
      </c>
      <c r="V42" s="667" t="s">
        <v>14</v>
      </c>
      <c r="W42" s="668">
        <f t="shared" si="14"/>
        <v>100</v>
      </c>
      <c r="X42" s="1262"/>
      <c r="Y42" s="356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90"/>
      <c r="M43" s="2485"/>
      <c r="N43" s="2485"/>
      <c r="O43" s="2485"/>
      <c r="P43" s="3567"/>
      <c r="Q43" s="1260" t="str">
        <f t="shared" si="11"/>
        <v>内部装修维护情况</v>
      </c>
      <c r="R43" s="667" t="s">
        <v>14</v>
      </c>
      <c r="S43" s="668">
        <f t="shared" si="12"/>
        <v>100</v>
      </c>
      <c r="T43" s="667" t="s">
        <v>14</v>
      </c>
      <c r="U43" s="668">
        <f t="shared" si="13"/>
        <v>100</v>
      </c>
      <c r="V43" s="667" t="s">
        <v>14</v>
      </c>
      <c r="W43" s="668">
        <f t="shared" si="14"/>
        <v>100</v>
      </c>
      <c r="X43" s="1262"/>
      <c r="Y43" s="356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567"/>
      <c r="Q44" s="530">
        <f t="shared" si="11"/>
        <v>111</v>
      </c>
      <c r="R44" s="664" t="s">
        <v>14</v>
      </c>
      <c r="S44" s="665">
        <f t="shared" si="12"/>
        <v>100</v>
      </c>
      <c r="T44" s="664" t="s">
        <v>14</v>
      </c>
      <c r="U44" s="665">
        <f t="shared" si="13"/>
        <v>100</v>
      </c>
      <c r="V44" s="664" t="s">
        <v>14</v>
      </c>
      <c r="W44" s="665">
        <f t="shared" si="14"/>
        <v>100</v>
      </c>
      <c r="X44" s="666"/>
      <c r="Y44" s="356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567"/>
      <c r="Q45" s="1260">
        <f t="shared" si="11"/>
        <v>111</v>
      </c>
      <c r="R45" s="667" t="s">
        <v>14</v>
      </c>
      <c r="S45" s="668">
        <f t="shared" si="12"/>
        <v>100</v>
      </c>
      <c r="T45" s="667" t="s">
        <v>14</v>
      </c>
      <c r="U45" s="668">
        <f t="shared" si="13"/>
        <v>100</v>
      </c>
      <c r="V45" s="667" t="s">
        <v>14</v>
      </c>
      <c r="W45" s="668">
        <f t="shared" si="14"/>
        <v>100</v>
      </c>
      <c r="X45" s="1262"/>
      <c r="Y45" s="3569"/>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568"/>
      <c r="Q46" s="1260">
        <f t="shared" si="11"/>
        <v>111</v>
      </c>
      <c r="R46" s="667" t="s">
        <v>14</v>
      </c>
      <c r="S46" s="668">
        <f t="shared" si="12"/>
        <v>100</v>
      </c>
      <c r="T46" s="667" t="s">
        <v>14</v>
      </c>
      <c r="U46" s="668">
        <f t="shared" si="13"/>
        <v>100</v>
      </c>
      <c r="V46" s="667" t="s">
        <v>14</v>
      </c>
      <c r="W46" s="668">
        <f t="shared" si="14"/>
        <v>100</v>
      </c>
      <c r="X46" s="1262"/>
      <c r="Y46" s="3570"/>
      <c r="Z46" s="1261">
        <f t="shared" si="15"/>
        <v>111</v>
      </c>
      <c r="AA46" s="1261">
        <f t="shared" si="3"/>
        <v>1</v>
      </c>
      <c r="AB46" s="1261">
        <f t="shared" si="4"/>
        <v>1</v>
      </c>
      <c r="AC46" s="1261">
        <f t="shared" si="5"/>
        <v>1</v>
      </c>
    </row>
    <row r="47" spans="1:29" ht="15">
      <c r="A47" s="416" t="s">
        <v>1708</v>
      </c>
      <c r="B47" s="417"/>
      <c r="C47" s="1078" t="s">
        <v>0</v>
      </c>
      <c r="D47" s="418"/>
      <c r="E47" s="419">
        <f>51000*0.8</f>
        <v>40800</v>
      </c>
      <c r="F47" s="420"/>
      <c r="G47" s="421">
        <f>56000*0.8</f>
        <v>44800</v>
      </c>
      <c r="H47" s="422"/>
      <c r="I47" s="419">
        <f>49000*0.8</f>
        <v>39200</v>
      </c>
      <c r="J47" s="422"/>
      <c r="K47" s="674"/>
      <c r="L47" s="2492"/>
      <c r="M47" s="2485"/>
      <c r="N47" s="2485"/>
      <c r="O47" s="2485"/>
      <c r="P47" s="3571" t="str">
        <f>A47</f>
        <v>成交单价（元/平方米）</v>
      </c>
      <c r="Q47" s="3571"/>
      <c r="R47" s="3533">
        <f>E47</f>
        <v>40800</v>
      </c>
      <c r="S47" s="3533"/>
      <c r="T47" s="3533">
        <f>G47</f>
        <v>44800</v>
      </c>
      <c r="U47" s="3533"/>
      <c r="V47" s="3533">
        <f>I47</f>
        <v>39200</v>
      </c>
      <c r="W47" s="3533"/>
      <c r="X47" s="385"/>
      <c r="Y47" s="673"/>
      <c r="Z47" s="385"/>
      <c r="AA47" s="385"/>
      <c r="AB47" s="385"/>
      <c r="AC47" s="385"/>
    </row>
    <row r="48" spans="1:29" ht="15.75" thickBot="1">
      <c r="A48" s="423" t="s">
        <v>1793</v>
      </c>
      <c r="B48" s="424"/>
      <c r="C48" s="1079">
        <f>R49</f>
        <v>41600</v>
      </c>
      <c r="D48" s="2138" t="s">
        <v>2138</v>
      </c>
      <c r="E48" s="1080">
        <f>R48</f>
        <v>40800</v>
      </c>
      <c r="F48" s="2139"/>
      <c r="G48" s="1079">
        <f>T48</f>
        <v>44800</v>
      </c>
      <c r="H48" s="2139"/>
      <c r="I48" s="1080">
        <f>V48</f>
        <v>39200</v>
      </c>
      <c r="J48" s="2139"/>
      <c r="K48" s="2141">
        <f>F48+H48+J48</f>
        <v>0</v>
      </c>
      <c r="L48" s="2492"/>
      <c r="M48" s="2485"/>
      <c r="N48" s="2485"/>
      <c r="O48" s="2485"/>
      <c r="P48" s="3571" t="str">
        <f>A48</f>
        <v>比较价值（元/平方米）</v>
      </c>
      <c r="Q48" s="3571"/>
      <c r="R48" s="3533">
        <f>IF(F1="售价",ROUND(PRODUCT(R47,AA7:AA46),0),ROUND(PRODUCT(R47,AA7:AA46),1))</f>
        <v>40800</v>
      </c>
      <c r="S48" s="3533"/>
      <c r="T48" s="3533">
        <f>IF(F1="售价",ROUND(PRODUCT(T47,AB7:AB46),0),ROUND(PRODUCT(T47,AB7:AB46),1))</f>
        <v>44800</v>
      </c>
      <c r="U48" s="3533"/>
      <c r="V48" s="3533">
        <f>IF(F1="售价",ROUND(PRODUCT(V47,AC7:AC46),0),ROUND(PRODUCT(V47,AC7:AC46),1))</f>
        <v>39200</v>
      </c>
      <c r="W48" s="3533"/>
      <c r="X48" s="385"/>
      <c r="Y48" s="385"/>
      <c r="Z48" s="385"/>
      <c r="AA48" s="385"/>
      <c r="AB48" s="385"/>
      <c r="AC48" s="385"/>
    </row>
    <row r="49" spans="1:29" ht="15.75" thickBot="1">
      <c r="A49" s="427" t="s">
        <v>1794</v>
      </c>
      <c r="B49" s="428"/>
      <c r="C49" s="351">
        <f>R49</f>
        <v>41600</v>
      </c>
      <c r="D49" s="351"/>
      <c r="E49" s="351"/>
      <c r="F49" s="351"/>
      <c r="G49" s="351"/>
      <c r="H49" s="351"/>
      <c r="I49" s="351"/>
      <c r="J49" s="351"/>
      <c r="K49" s="675"/>
      <c r="L49" s="2492"/>
      <c r="M49" s="2485"/>
      <c r="N49" s="2485"/>
      <c r="O49" s="2485"/>
      <c r="P49" s="3572" t="str">
        <f>A49</f>
        <v>估价对象XX用房的比较价值（楼面单价，元/平方米）</v>
      </c>
      <c r="Q49" s="3573"/>
      <c r="R49" s="3574">
        <f>IF(F1="售价",ROUND(IF(D48="简单平均",AVERAGE(R48:V48),R48*F48+T48*H48+V48*J48),0),ROUND(IF(D48="简单平均",AVERAGE(R48:V48),R48*F48+T48*H48+V48*J48),1))</f>
        <v>41600</v>
      </c>
      <c r="S49" s="3574"/>
      <c r="T49" s="3574"/>
      <c r="U49" s="3574"/>
      <c r="V49" s="3574"/>
      <c r="W49" s="35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9.8039215686274606E-2</v>
      </c>
      <c r="F53" s="435" t="str">
        <f>IF(OR(E53&gt;=0.2,E53&lt;=-0.2),"超过20%","")</f>
        <v/>
      </c>
      <c r="G53" s="434">
        <f>IF(G48&lt;I48,I48/G48-1,G48/I48-1)</f>
        <v>0.14285714285714279</v>
      </c>
      <c r="H53" s="435" t="str">
        <f>IF(OR(G53&gt;=0.2,G53&lt;=-0.2),"超过20%","")</f>
        <v/>
      </c>
      <c r="I53" s="434">
        <f>IF(I48&lt;E48,E48/I48-1,I48/E48-1)</f>
        <v>4.081632653061229E-2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9.8039215686274606E-2</v>
      </c>
      <c r="F54" s="435" t="str">
        <f>IF(OR(E54&gt;=0.3,E54&lt;=-0.3),"超过30%","")</f>
        <v/>
      </c>
      <c r="G54" s="434">
        <f>IF(G47&lt;I47,I47/G47-1,G47/I47-1)</f>
        <v>0.14285714285714279</v>
      </c>
      <c r="H54" s="435" t="str">
        <f>IF(OR(G54&gt;=0.3,G54&lt;=-0.3),"超过30%","")</f>
        <v/>
      </c>
      <c r="I54" s="434">
        <f>IF(I47&lt;E47,E47/I47-1,I47/E47-1)</f>
        <v>4.081632653061229E-2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5"/>
      <c r="M57" s="883"/>
      <c r="N57" s="883"/>
      <c r="O57" s="883"/>
      <c r="P57" s="2505"/>
      <c r="Q57" s="2506"/>
      <c r="R57" s="2485"/>
      <c r="S57" s="2485"/>
      <c r="T57" s="2485"/>
      <c r="U57" s="2485"/>
      <c r="V57" s="2485"/>
      <c r="W57" s="2485"/>
      <c r="X57" s="2485"/>
      <c r="Y57" s="2485"/>
      <c r="Z57" s="2485"/>
      <c r="AA57" s="2485"/>
      <c r="AB57" s="2485"/>
      <c r="AC57" s="2485"/>
    </row>
    <row r="58" spans="1:29" s="442" customFormat="1" ht="15">
      <c r="A58" s="440" t="s">
        <v>1679</v>
      </c>
      <c r="B58" s="441"/>
      <c r="C58" s="1100" t="str">
        <f>YEAR(C7)&amp;"-"&amp;MONTH(C7)</f>
        <v>2023-12</v>
      </c>
      <c r="D58" s="1101">
        <f>EDATE(C58,-1)</f>
        <v>45231</v>
      </c>
      <c r="E58" s="1101">
        <f t="shared" ref="E58:N58" si="16">EDATE(D58,-1)</f>
        <v>45200</v>
      </c>
      <c r="F58" s="1101">
        <f t="shared" si="16"/>
        <v>45170</v>
      </c>
      <c r="G58" s="1101">
        <f t="shared" si="16"/>
        <v>45139</v>
      </c>
      <c r="H58" s="1101">
        <f t="shared" si="16"/>
        <v>45108</v>
      </c>
      <c r="I58" s="1101">
        <f t="shared" si="16"/>
        <v>45078</v>
      </c>
      <c r="J58" s="1101">
        <f t="shared" si="16"/>
        <v>45047</v>
      </c>
      <c r="K58" s="1101">
        <f t="shared" si="16"/>
        <v>45017</v>
      </c>
      <c r="L58" s="1101">
        <f t="shared" si="16"/>
        <v>44986</v>
      </c>
      <c r="M58" s="1101">
        <f t="shared" si="16"/>
        <v>44958</v>
      </c>
      <c r="N58" s="1101">
        <f t="shared" si="16"/>
        <v>44927</v>
      </c>
      <c r="O58" s="1101">
        <f>EDATE(N58,-1)</f>
        <v>44896</v>
      </c>
      <c r="P58" s="2507"/>
      <c r="Q58" s="2508"/>
      <c r="R58" s="2508"/>
      <c r="S58" s="2508"/>
      <c r="T58" s="2508"/>
      <c r="U58" s="2508"/>
      <c r="V58" s="2508"/>
      <c r="W58" s="2508"/>
      <c r="X58" s="2508"/>
      <c r="Y58" s="2508"/>
      <c r="Z58" s="2508"/>
      <c r="AA58" s="2508"/>
      <c r="AB58" s="2508"/>
      <c r="AC58" s="2508"/>
    </row>
    <row r="59" spans="1:29" s="102" customFormat="1" ht="15">
      <c r="A59" s="443"/>
      <c r="B59" s="444"/>
      <c r="C59" s="1099">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1718</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0"/>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E1" xr:uid="{00000000-0002-0000-1D00-000000000000}">
      <formula1>"项目模式,单套模式"</formula1>
    </dataValidation>
    <dataValidation type="list" allowBlank="1" showInputMessage="1" showErrorMessage="1" sqref="D48" xr:uid="{00000000-0002-0000-1D00-000001000000}">
      <formula1>"简单平均,加权平均"</formula1>
    </dataValidation>
    <dataValidation type="list" allowBlank="1" showInputMessage="1" showErrorMessage="1" sqref="F2" xr:uid="{00000000-0002-0000-1D00-000002000000}">
      <formula1>估价方法</formula1>
    </dataValidation>
    <dataValidation type="list" allowBlank="1" showInputMessage="1" showErrorMessage="1" sqref="C2" xr:uid="{00000000-0002-0000-1D00-000003000000}">
      <formula1>"需扣减承租人权益,——"</formula1>
    </dataValidation>
    <dataValidation type="list" allowBlank="1" showInputMessage="1" showErrorMessage="1" sqref="F1" xr:uid="{00000000-0002-0000-1D00-000004000000}">
      <formula1>"售价,租金"</formula1>
    </dataValidation>
    <dataValidation type="list" allowBlank="1" showInputMessage="1" showErrorMessage="1" sqref="C22 E22 G22 I22" xr:uid="{00000000-0002-0000-1D00-000005000000}">
      <formula1>基础设施水平</formula1>
    </dataValidation>
    <dataValidation type="list" allowBlank="1" showInputMessage="1" showErrorMessage="1" sqref="C16 E16 G16 I16" xr:uid="{00000000-0002-0000-1D00-000006000000}">
      <formula1>商业繁华度</formula1>
    </dataValidation>
    <dataValidation type="list" allowBlank="1" showInputMessage="1" showErrorMessage="1" sqref="C8 E8 G8 I8" xr:uid="{00000000-0002-0000-1D00-000007000000}">
      <formula1>商业交易情况</formula1>
    </dataValidation>
    <dataValidation type="list" allowBlank="1" showInputMessage="1" showErrorMessage="1" sqref="C39 E39 G39 I39" xr:uid="{00000000-0002-0000-1D00-000008000000}">
      <formula1>商业层高</formula1>
    </dataValidation>
    <dataValidation type="list" allowBlank="1" showInputMessage="1" showErrorMessage="1" sqref="C38 E38 G38 I38" xr:uid="{00000000-0002-0000-1D00-000009000000}">
      <formula1>商业业态</formula1>
    </dataValidation>
    <dataValidation type="list" allowBlank="1" showInputMessage="1" showErrorMessage="1" sqref="E9 G9 I9" xr:uid="{00000000-0002-0000-1D00-00000A000000}">
      <formula1>商业用途</formula1>
    </dataValidation>
    <dataValidation type="list" allowBlank="1" showInputMessage="1" showErrorMessage="1" sqref="C42 E42 G42 I42" xr:uid="{00000000-0002-0000-1D00-00000B000000}">
      <formula1>商业内部装修</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37 E37 G37 I37" xr:uid="{00000000-0002-0000-1D00-00000D000000}">
      <formula1>商业基础设施水平</formula1>
    </dataValidation>
    <dataValidation type="list" allowBlank="1" showInputMessage="1" showErrorMessage="1" sqref="C35 E35 G35 I35" xr:uid="{00000000-0002-0000-1D00-00000E000000}">
      <formula1>商业公共部分装修</formula1>
    </dataValidation>
    <dataValidation type="list" allowBlank="1" showInputMessage="1" showErrorMessage="1" sqref="C34 E34 G34 I34" xr:uid="{00000000-0002-0000-1D00-00000F000000}">
      <formula1>商业建筑结构</formula1>
    </dataValidation>
    <dataValidation type="list" allowBlank="1" showInputMessage="1" showErrorMessage="1" sqref="C32 E32 G32 I32" xr:uid="{00000000-0002-0000-1D00-000010000000}">
      <formula1>商业类型</formula1>
    </dataValidation>
    <dataValidation type="list" allowBlank="1" showInputMessage="1" showErrorMessage="1" sqref="C28 E28 G28 I28" xr:uid="{00000000-0002-0000-1D00-000011000000}">
      <formula1>商业楼层</formula1>
    </dataValidation>
    <dataValidation type="list" allowBlank="1" showInputMessage="1" showErrorMessage="1" sqref="C27 E27 G27 I27" xr:uid="{00000000-0002-0000-1D00-000012000000}">
      <formula1>商业人流量</formula1>
    </dataValidation>
    <dataValidation type="list" allowBlank="1" showInputMessage="1" showErrorMessage="1" sqref="C25 E25 G25 I25" xr:uid="{00000000-0002-0000-1D00-000013000000}">
      <formula1>商业临街状况</formula1>
    </dataValidation>
    <dataValidation type="list" allowBlank="1" showInputMessage="1" showErrorMessage="1" sqref="E24 G24 I24 C24" xr:uid="{00000000-0002-0000-1D00-000014000000}">
      <formula1>环境</formula1>
    </dataValidation>
    <dataValidation type="list" allowBlank="1" showInputMessage="1" showErrorMessage="1" sqref="E18 G18 I18 C18" xr:uid="{00000000-0002-0000-1D00-000015000000}">
      <formula1>交通便捷度</formula1>
    </dataValidation>
    <dataValidation type="list" allowBlank="1" showInputMessage="1" showErrorMessage="1" sqref="E20 I20 G20 C20" xr:uid="{00000000-0002-0000-1D00-000016000000}">
      <formula1>公共配套设施</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1" xr:uid="{00000000-0002-0000-1D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13" zoomScale="85" zoomScaleNormal="70" zoomScaleSheetLayoutView="85" workbookViewId="0">
      <selection activeCell="J17" sqref="J17"/>
    </sheetView>
  </sheetViews>
  <sheetFormatPr defaultColWidth="9" defaultRowHeight="14.25"/>
  <cols>
    <col min="1" max="1" width="10.5" style="347" customWidth="1"/>
    <col min="2" max="2" width="15.75" style="347" customWidth="1"/>
    <col min="3" max="3" width="18.5" style="347" customWidth="1"/>
    <col min="4" max="4" width="14.875" style="347" customWidth="1"/>
    <col min="5" max="5" width="16.75" style="347" customWidth="1"/>
    <col min="6" max="6" width="16.25" style="347" customWidth="1"/>
    <col min="7" max="7" width="17.375" style="347" customWidth="1"/>
    <col min="8" max="8" width="12.25" style="347" customWidth="1"/>
    <col min="9" max="9" width="16.12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8" t="s">
        <v>3706</v>
      </c>
      <c r="F1" s="1732" t="s">
        <v>3707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33049</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27927</v>
      </c>
      <c r="C3" s="344" t="s">
        <v>1768</v>
      </c>
      <c r="D3" s="343">
        <f>IF(D1="",'数据-汇总表'!E3,SUMIF('数据-汇总表'!$C19:$C33,D1,'数据-汇总表'!$E19:$E33))</f>
        <v>11833.989999999994</v>
      </c>
      <c r="E3" s="1802"/>
      <c r="F3" s="853"/>
      <c r="G3" s="852"/>
      <c r="H3" s="852"/>
      <c r="I3" s="852"/>
      <c r="J3" s="852"/>
      <c r="K3" s="854"/>
      <c r="L3" s="2501"/>
      <c r="M3" s="2502"/>
      <c r="N3" s="2502"/>
      <c r="O3" s="2502"/>
      <c r="P3" s="341"/>
      <c r="Q3" s="341"/>
      <c r="R3" s="341"/>
      <c r="S3" s="341"/>
      <c r="T3" s="341"/>
      <c r="U3" s="341"/>
      <c r="V3" s="341"/>
      <c r="W3" s="341"/>
      <c r="X3" s="341"/>
      <c r="Y3" s="341"/>
      <c r="Z3" s="341"/>
      <c r="AA3" s="341"/>
      <c r="AB3" s="341"/>
      <c r="AC3" s="663"/>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83" t="s">
        <v>1775</v>
      </c>
      <c r="Q4" s="3584"/>
      <c r="R4" s="3576" t="s">
        <v>1771</v>
      </c>
      <c r="S4" s="3577"/>
      <c r="T4" s="3576" t="s">
        <v>1772</v>
      </c>
      <c r="U4" s="3577"/>
      <c r="V4" s="3587" t="s">
        <v>1773</v>
      </c>
      <c r="W4" s="3587"/>
      <c r="X4" s="1806"/>
      <c r="Y4" s="3576" t="s">
        <v>1775</v>
      </c>
      <c r="Z4" s="3577"/>
      <c r="AA4" s="3575" t="s">
        <v>1771</v>
      </c>
      <c r="AB4" s="3575" t="s">
        <v>1772</v>
      </c>
      <c r="AC4" s="3580" t="s">
        <v>1773</v>
      </c>
    </row>
    <row r="5" spans="1:29" ht="15">
      <c r="A5" s="348"/>
      <c r="B5" s="349"/>
      <c r="C5" s="3542" t="s">
        <v>1673</v>
      </c>
      <c r="D5" s="3543"/>
      <c r="E5" s="3578" t="s">
        <v>4018</v>
      </c>
      <c r="F5" s="3541"/>
      <c r="G5" s="3579" t="s">
        <v>4019</v>
      </c>
      <c r="H5" s="3543"/>
      <c r="I5" s="3579" t="s">
        <v>4020</v>
      </c>
      <c r="J5" s="3543"/>
      <c r="K5" s="537"/>
      <c r="L5" s="2484"/>
      <c r="M5" s="2485"/>
      <c r="N5" s="2485"/>
      <c r="O5" s="2485"/>
      <c r="P5" s="3585"/>
      <c r="Q5" s="3556"/>
      <c r="R5" s="3538"/>
      <c r="S5" s="3539"/>
      <c r="T5" s="3538"/>
      <c r="U5" s="3539"/>
      <c r="V5" s="3533"/>
      <c r="W5" s="3533"/>
      <c r="X5" s="1262"/>
      <c r="Y5" s="3538"/>
      <c r="Z5" s="3539"/>
      <c r="AA5" s="3531"/>
      <c r="AB5" s="3531"/>
      <c r="AC5" s="358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86"/>
      <c r="Q6" s="3558"/>
      <c r="R6" s="3538"/>
      <c r="S6" s="3539"/>
      <c r="T6" s="3559"/>
      <c r="U6" s="3560"/>
      <c r="V6" s="3533"/>
      <c r="W6" s="3533"/>
      <c r="X6" s="1262"/>
      <c r="Y6" s="3559"/>
      <c r="Z6" s="3560"/>
      <c r="AA6" s="3532"/>
      <c r="AB6" s="3532"/>
      <c r="AC6" s="3582"/>
    </row>
    <row r="7" spans="1:29" s="102" customFormat="1" ht="15.75" thickBot="1">
      <c r="A7" s="352" t="s">
        <v>1679</v>
      </c>
      <c r="B7" s="353"/>
      <c r="C7" s="354">
        <f>'数据-取费表'!B2</f>
        <v>45291</v>
      </c>
      <c r="D7" s="355">
        <v>100</v>
      </c>
      <c r="E7" s="356">
        <v>44651</v>
      </c>
      <c r="F7" s="357">
        <f>SUMIF(59:59,YEAR(E7)&amp;"-"&amp;MONTH(E7),60:60)</f>
        <v>100.69999999999996</v>
      </c>
      <c r="G7" s="356">
        <f>大宗!F52</f>
        <v>45006</v>
      </c>
      <c r="H7" s="355">
        <f>SUMIF(59:59,YEAR(G7)&amp;"-"&amp;MONTH(G7),60:60)</f>
        <v>100.29999999999998</v>
      </c>
      <c r="I7" s="356">
        <v>45161</v>
      </c>
      <c r="J7" s="355">
        <f>SUMIF(59:59,YEAR(I7)&amp;"-"&amp;MONTH(I7),60:60)</f>
        <v>100.1</v>
      </c>
      <c r="K7" s="38"/>
      <c r="L7" s="2486"/>
      <c r="M7" s="2437"/>
      <c r="N7" s="2437"/>
      <c r="O7" s="2437"/>
      <c r="P7" s="3588" t="s">
        <v>1680</v>
      </c>
      <c r="Q7" s="3561"/>
      <c r="R7" s="664" t="s">
        <v>14</v>
      </c>
      <c r="S7" s="665">
        <f t="shared" ref="S7:S15" si="0">F7</f>
        <v>100.69999999999996</v>
      </c>
      <c r="T7" s="664" t="s">
        <v>14</v>
      </c>
      <c r="U7" s="665">
        <f t="shared" ref="U7:U15" si="1">H7</f>
        <v>100.29999999999998</v>
      </c>
      <c r="V7" s="664" t="s">
        <v>14</v>
      </c>
      <c r="W7" s="665">
        <f t="shared" ref="W7:W15" si="2">J7</f>
        <v>100.1</v>
      </c>
      <c r="X7" s="666"/>
      <c r="Y7" s="3534" t="s">
        <v>1680</v>
      </c>
      <c r="Z7" s="3535"/>
      <c r="AA7" s="50">
        <f>D7/F7</f>
        <v>0.9930486593843102</v>
      </c>
      <c r="AB7" s="50">
        <f>D7/H7</f>
        <v>0.99700897308075787</v>
      </c>
      <c r="AC7" s="799">
        <f>D7/J7</f>
        <v>0.99900099900099903</v>
      </c>
    </row>
    <row r="8" spans="1:29" s="102" customFormat="1" ht="15.75" thickBot="1">
      <c r="A8" s="352" t="s">
        <v>1681</v>
      </c>
      <c r="B8" s="353"/>
      <c r="C8" s="358" t="s">
        <v>3709</v>
      </c>
      <c r="D8" s="355">
        <v>100</v>
      </c>
      <c r="E8" s="358" t="s">
        <v>3709</v>
      </c>
      <c r="F8" s="357">
        <f>SUMIF(62:62,E8,63:63)-SUMIF(62:62,C8,63:63)+100</f>
        <v>100</v>
      </c>
      <c r="G8" s="358" t="s">
        <v>3709</v>
      </c>
      <c r="H8" s="355">
        <f>SUMIF(62:62,G8,63:63)-SUMIF(62:62,C8,63:63)+100</f>
        <v>100</v>
      </c>
      <c r="I8" s="358" t="s">
        <v>3709</v>
      </c>
      <c r="J8" s="355">
        <f>SUMIF(62:62,I8,63:63)-SUMIF(62:62,C8,63:63)+100</f>
        <v>100</v>
      </c>
      <c r="K8" s="38"/>
      <c r="L8" s="2486"/>
      <c r="M8" s="2437"/>
      <c r="N8" s="2437"/>
      <c r="O8" s="2437"/>
      <c r="P8" s="3588" t="s">
        <v>1683</v>
      </c>
      <c r="Q8" s="3535"/>
      <c r="R8" s="664" t="s">
        <v>14</v>
      </c>
      <c r="S8" s="665">
        <f t="shared" si="0"/>
        <v>100</v>
      </c>
      <c r="T8" s="664" t="s">
        <v>14</v>
      </c>
      <c r="U8" s="665">
        <f t="shared" si="1"/>
        <v>100</v>
      </c>
      <c r="V8" s="664" t="s">
        <v>14</v>
      </c>
      <c r="W8" s="665">
        <f t="shared" si="2"/>
        <v>100</v>
      </c>
      <c r="X8" s="666"/>
      <c r="Y8" s="3534" t="s">
        <v>1683</v>
      </c>
      <c r="Z8" s="3535"/>
      <c r="AA8" s="50">
        <f t="shared" ref="AA8:AA47" si="3">D8/F8</f>
        <v>1</v>
      </c>
      <c r="AB8" s="50">
        <f t="shared" ref="AB8:AB47" si="4">D8/H8</f>
        <v>1</v>
      </c>
      <c r="AC8" s="799">
        <f t="shared" ref="AC8:AC47" si="5">D8/J8</f>
        <v>1</v>
      </c>
    </row>
    <row r="9" spans="1:29" s="102" customFormat="1">
      <c r="A9" s="359" t="s">
        <v>1684</v>
      </c>
      <c r="B9" s="60" t="s">
        <v>1685</v>
      </c>
      <c r="C9" s="3247" t="s">
        <v>3710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7"/>
      <c r="N9" s="2437"/>
      <c r="O9" s="2437"/>
      <c r="P9" s="3548"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799">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7"/>
      <c r="M10" s="2488"/>
      <c r="N10" s="2488"/>
      <c r="O10" s="2488"/>
      <c r="P10" s="3548"/>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48"/>
      <c r="Q11" s="530" t="str">
        <f t="shared" si="6"/>
        <v>容积率</v>
      </c>
      <c r="R11" s="664" t="s">
        <v>14</v>
      </c>
      <c r="S11" s="665">
        <f t="shared" si="0"/>
        <v>100</v>
      </c>
      <c r="T11" s="664" t="s">
        <v>14</v>
      </c>
      <c r="U11" s="665">
        <f t="shared" si="1"/>
        <v>100</v>
      </c>
      <c r="V11" s="664" t="s">
        <v>14</v>
      </c>
      <c r="W11" s="665">
        <f t="shared" si="2"/>
        <v>100</v>
      </c>
      <c r="X11" s="666"/>
      <c r="Y11" s="3503"/>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548"/>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548"/>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548"/>
      <c r="Q14" s="530">
        <f t="shared" si="6"/>
        <v>111</v>
      </c>
      <c r="R14" s="664" t="s">
        <v>14</v>
      </c>
      <c r="S14" s="665">
        <f t="shared" si="0"/>
        <v>100</v>
      </c>
      <c r="T14" s="664" t="s">
        <v>14</v>
      </c>
      <c r="U14" s="665">
        <f t="shared" si="1"/>
        <v>100</v>
      </c>
      <c r="V14" s="664" t="s">
        <v>14</v>
      </c>
      <c r="W14" s="665">
        <f t="shared" si="2"/>
        <v>100</v>
      </c>
      <c r="X14" s="666"/>
      <c r="Y14" s="3503"/>
      <c r="Z14" s="50">
        <f t="shared" si="7"/>
        <v>111</v>
      </c>
      <c r="AA14" s="50">
        <f t="shared" si="3"/>
        <v>1</v>
      </c>
      <c r="AB14" s="50">
        <f t="shared" si="4"/>
        <v>1</v>
      </c>
      <c r="AC14" s="799">
        <f t="shared" si="5"/>
        <v>1</v>
      </c>
    </row>
    <row r="15" spans="1:29" ht="57">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102</v>
      </c>
      <c r="I15" s="381"/>
      <c r="J15" s="380">
        <f>SUMIF(77:77,I16,78:78)-SUMIF(77:77,C16,78:78)+100</f>
        <v>104</v>
      </c>
      <c r="K15" s="540">
        <v>2</v>
      </c>
      <c r="L15" s="2490"/>
      <c r="M15" s="2485"/>
      <c r="N15" s="2485"/>
      <c r="O15" s="2485"/>
      <c r="P15" s="3562" t="s">
        <v>1691</v>
      </c>
      <c r="Q15" s="1260" t="str">
        <f t="shared" si="6"/>
        <v>办公集聚程度</v>
      </c>
      <c r="R15" s="667" t="s">
        <v>14</v>
      </c>
      <c r="S15" s="668">
        <f t="shared" si="0"/>
        <v>100</v>
      </c>
      <c r="T15" s="667" t="s">
        <v>14</v>
      </c>
      <c r="U15" s="668">
        <f t="shared" si="1"/>
        <v>102</v>
      </c>
      <c r="V15" s="667" t="s">
        <v>14</v>
      </c>
      <c r="W15" s="668">
        <f t="shared" si="2"/>
        <v>104</v>
      </c>
      <c r="X15" s="1262"/>
      <c r="Y15" s="3564" t="s">
        <v>1691</v>
      </c>
      <c r="Z15" s="1261" t="str">
        <f t="shared" si="7"/>
        <v>办公集聚程度</v>
      </c>
      <c r="AA15" s="1261">
        <f t="shared" si="3"/>
        <v>1</v>
      </c>
      <c r="AB15" s="1261">
        <f t="shared" si="4"/>
        <v>0.98039215686274506</v>
      </c>
      <c r="AC15" s="1809">
        <f t="shared" si="5"/>
        <v>0.96153846153846156</v>
      </c>
    </row>
    <row r="16" spans="1:29" ht="15">
      <c r="A16" s="367"/>
      <c r="B16" s="555"/>
      <c r="C16" s="1755" t="s">
        <v>3901</v>
      </c>
      <c r="D16" s="387"/>
      <c r="E16" s="386" t="s">
        <v>3901</v>
      </c>
      <c r="F16" s="387"/>
      <c r="G16" s="386" t="s">
        <v>3902</v>
      </c>
      <c r="H16" s="389"/>
      <c r="I16" s="386" t="s">
        <v>3904</v>
      </c>
      <c r="J16" s="387"/>
      <c r="K16" s="541"/>
      <c r="L16" s="2490"/>
      <c r="M16" s="2485"/>
      <c r="N16" s="2485"/>
      <c r="O16" s="2485"/>
      <c r="P16" s="3563"/>
      <c r="Q16" s="1260"/>
      <c r="R16" s="667"/>
      <c r="S16" s="668"/>
      <c r="T16" s="667"/>
      <c r="U16" s="668"/>
      <c r="V16" s="667"/>
      <c r="W16" s="668"/>
      <c r="X16" s="1262"/>
      <c r="Y16" s="3565"/>
      <c r="Z16" s="1261"/>
      <c r="AA16" s="1261">
        <v>1</v>
      </c>
      <c r="AB16" s="1261">
        <v>1</v>
      </c>
      <c r="AC16" s="1809">
        <v>1</v>
      </c>
    </row>
    <row r="17" spans="1:29" ht="71.2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102</v>
      </c>
      <c r="K17" s="540">
        <v>1</v>
      </c>
      <c r="L17" s="2490"/>
      <c r="M17" s="2485"/>
      <c r="N17" s="2485"/>
      <c r="O17" s="2485"/>
      <c r="P17" s="3563"/>
      <c r="Q17" s="1260" t="str">
        <f>B17</f>
        <v>交通便捷度</v>
      </c>
      <c r="R17" s="667" t="s">
        <v>14</v>
      </c>
      <c r="S17" s="668">
        <f>F17</f>
        <v>102</v>
      </c>
      <c r="T17" s="667" t="s">
        <v>14</v>
      </c>
      <c r="U17" s="668">
        <f>H17</f>
        <v>102</v>
      </c>
      <c r="V17" s="667" t="s">
        <v>14</v>
      </c>
      <c r="W17" s="668">
        <f>J17</f>
        <v>102</v>
      </c>
      <c r="X17" s="1262"/>
      <c r="Y17" s="3565"/>
      <c r="Z17" s="1261" t="str">
        <f>Q17</f>
        <v>交通便捷度</v>
      </c>
      <c r="AA17" s="1261">
        <f t="shared" si="3"/>
        <v>0.98039215686274506</v>
      </c>
      <c r="AB17" s="1261">
        <f t="shared" si="4"/>
        <v>0.98039215686274506</v>
      </c>
      <c r="AC17" s="1809">
        <f t="shared" si="5"/>
        <v>0.98039215686274506</v>
      </c>
    </row>
    <row r="18" spans="1:29" ht="15">
      <c r="A18" s="367"/>
      <c r="B18" s="401"/>
      <c r="C18" s="1811" t="s">
        <v>3901</v>
      </c>
      <c r="D18" s="389"/>
      <c r="E18" s="386" t="s">
        <v>3904</v>
      </c>
      <c r="F18" s="389"/>
      <c r="G18" s="386" t="s">
        <v>3904</v>
      </c>
      <c r="H18" s="387"/>
      <c r="I18" s="1811" t="s">
        <v>3904</v>
      </c>
      <c r="J18" s="387"/>
      <c r="K18" s="541"/>
      <c r="L18" s="2490"/>
      <c r="M18" s="2485"/>
      <c r="N18" s="2485"/>
      <c r="O18" s="2485"/>
      <c r="P18" s="3563"/>
      <c r="Q18" s="1260"/>
      <c r="R18" s="667"/>
      <c r="S18" s="668"/>
      <c r="T18" s="667"/>
      <c r="U18" s="668"/>
      <c r="V18" s="667"/>
      <c r="W18" s="668"/>
      <c r="X18" s="1262"/>
      <c r="Y18" s="3565"/>
      <c r="Z18" s="1261"/>
      <c r="AA18" s="1261">
        <v>1</v>
      </c>
      <c r="AB18" s="1261">
        <v>1</v>
      </c>
      <c r="AC18" s="1809">
        <v>1</v>
      </c>
    </row>
    <row r="19" spans="1:29" ht="28.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563"/>
      <c r="Q19" s="1260" t="str">
        <f>B19</f>
        <v>公共配套设施</v>
      </c>
      <c r="R19" s="667" t="s">
        <v>14</v>
      </c>
      <c r="S19" s="668">
        <f>F19</f>
        <v>100</v>
      </c>
      <c r="T19" s="667" t="s">
        <v>14</v>
      </c>
      <c r="U19" s="668">
        <f>H19</f>
        <v>100</v>
      </c>
      <c r="V19" s="667" t="s">
        <v>14</v>
      </c>
      <c r="W19" s="668">
        <f>J19</f>
        <v>100</v>
      </c>
      <c r="X19" s="1262"/>
      <c r="Y19" s="3565"/>
      <c r="Z19" s="1261" t="str">
        <f>Q19</f>
        <v>公共配套设施</v>
      </c>
      <c r="AA19" s="1261">
        <f t="shared" si="3"/>
        <v>1</v>
      </c>
      <c r="AB19" s="1261">
        <f t="shared" si="4"/>
        <v>1</v>
      </c>
      <c r="AC19" s="1809">
        <f t="shared" si="5"/>
        <v>1</v>
      </c>
    </row>
    <row r="20" spans="1:29" ht="15">
      <c r="A20" s="367"/>
      <c r="B20" s="401"/>
      <c r="C20" s="1811" t="s">
        <v>3902</v>
      </c>
      <c r="D20" s="387"/>
      <c r="E20" s="386" t="s">
        <v>3902</v>
      </c>
      <c r="F20" s="387"/>
      <c r="G20" s="386" t="s">
        <v>3902</v>
      </c>
      <c r="H20" s="387"/>
      <c r="I20" s="386" t="s">
        <v>3902</v>
      </c>
      <c r="J20" s="387"/>
      <c r="K20" s="541"/>
      <c r="L20" s="2490"/>
      <c r="M20" s="2485"/>
      <c r="N20" s="2485"/>
      <c r="O20" s="2485"/>
      <c r="P20" s="3563"/>
      <c r="Q20" s="1260"/>
      <c r="R20" s="667"/>
      <c r="S20" s="668"/>
      <c r="T20" s="667"/>
      <c r="U20" s="668"/>
      <c r="V20" s="667"/>
      <c r="W20" s="668"/>
      <c r="X20" s="1262"/>
      <c r="Y20" s="3565"/>
      <c r="Z20" s="1261"/>
      <c r="AA20" s="1261">
        <v>1</v>
      </c>
      <c r="AB20" s="1261">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563"/>
      <c r="Q21" s="1260" t="str">
        <f>B21</f>
        <v>基础设施水平</v>
      </c>
      <c r="R21" s="667" t="s">
        <v>14</v>
      </c>
      <c r="S21" s="668">
        <f>F21</f>
        <v>100</v>
      </c>
      <c r="T21" s="667" t="s">
        <v>14</v>
      </c>
      <c r="U21" s="668">
        <f>H21</f>
        <v>100</v>
      </c>
      <c r="V21" s="667" t="s">
        <v>14</v>
      </c>
      <c r="W21" s="668">
        <f>J21</f>
        <v>100</v>
      </c>
      <c r="X21" s="1262"/>
      <c r="Y21" s="3565"/>
      <c r="Z21" s="1261" t="str">
        <f>Q21</f>
        <v>基础设施水平</v>
      </c>
      <c r="AA21" s="1261">
        <f t="shared" ref="AA21" si="8">D21/F21</f>
        <v>1</v>
      </c>
      <c r="AB21" s="1261">
        <f t="shared" ref="AB21" si="9">D21/H21</f>
        <v>1</v>
      </c>
      <c r="AC21" s="1809">
        <f t="shared" ref="AC21" si="10">D21/J21</f>
        <v>1</v>
      </c>
    </row>
    <row r="22" spans="1:29" ht="15">
      <c r="A22" s="367"/>
      <c r="B22" s="557"/>
      <c r="C22" s="1811" t="s">
        <v>3903</v>
      </c>
      <c r="D22" s="387"/>
      <c r="E22" s="1811" t="s">
        <v>3903</v>
      </c>
      <c r="F22" s="387"/>
      <c r="G22" s="1811" t="s">
        <v>3903</v>
      </c>
      <c r="H22" s="387"/>
      <c r="I22" s="1811" t="s">
        <v>3903</v>
      </c>
      <c r="J22" s="387"/>
      <c r="K22" s="1061"/>
      <c r="L22" s="2490"/>
      <c r="M22" s="2485"/>
      <c r="N22" s="2485"/>
      <c r="O22" s="2485"/>
      <c r="P22" s="3563"/>
      <c r="Q22" s="1260"/>
      <c r="R22" s="667"/>
      <c r="S22" s="668"/>
      <c r="T22" s="667"/>
      <c r="U22" s="668"/>
      <c r="V22" s="667"/>
      <c r="W22" s="668"/>
      <c r="X22" s="1262"/>
      <c r="Y22" s="3565"/>
      <c r="Z22" s="1261"/>
      <c r="AA22" s="1261">
        <v>1</v>
      </c>
      <c r="AB22" s="1261">
        <v>1</v>
      </c>
      <c r="AC22" s="1809">
        <v>1</v>
      </c>
    </row>
    <row r="23" spans="1:29" ht="42.75">
      <c r="A23" s="367"/>
      <c r="B23" s="556" t="s">
        <v>1814</v>
      </c>
      <c r="C23" s="1810" t="str">
        <f>估价对象房地状况!C9</f>
        <v>区域自然环境：；人文环境；综合评价环境状况一般</v>
      </c>
      <c r="D23" s="389">
        <v>100</v>
      </c>
      <c r="E23" s="393"/>
      <c r="F23" s="389">
        <f>SUMIF(85:85,E24,86:86)-SUMIF(85:85,C24,86:86)+100</f>
        <v>101</v>
      </c>
      <c r="G23" s="391"/>
      <c r="H23" s="389">
        <f>SUMIF(85:85,G24,86:86)-SUMIF(85:85,C24,86:86)+100</f>
        <v>100.5</v>
      </c>
      <c r="I23" s="391"/>
      <c r="J23" s="389">
        <f>SUMIF(85:85,I24,86:86)-SUMIF(85:85,C24,86:86)+100</f>
        <v>101</v>
      </c>
      <c r="K23" s="540">
        <v>0.5</v>
      </c>
      <c r="L23" s="2490"/>
      <c r="M23" s="2485"/>
      <c r="N23" s="2485"/>
      <c r="O23" s="2485"/>
      <c r="P23" s="3563"/>
      <c r="Q23" s="1260" t="str">
        <f>B23</f>
        <v>环境质量</v>
      </c>
      <c r="R23" s="667" t="s">
        <v>14</v>
      </c>
      <c r="S23" s="668">
        <f>F23</f>
        <v>101</v>
      </c>
      <c r="T23" s="667" t="s">
        <v>14</v>
      </c>
      <c r="U23" s="668">
        <f>H23</f>
        <v>100.5</v>
      </c>
      <c r="V23" s="667" t="s">
        <v>14</v>
      </c>
      <c r="W23" s="668">
        <f>J23</f>
        <v>101</v>
      </c>
      <c r="X23" s="1262"/>
      <c r="Y23" s="3565"/>
      <c r="Z23" s="1261" t="str">
        <f>Q23</f>
        <v>环境质量</v>
      </c>
      <c r="AA23" s="1261">
        <f t="shared" si="3"/>
        <v>0.99009900990099009</v>
      </c>
      <c r="AB23" s="1261">
        <f t="shared" si="4"/>
        <v>0.99502487562189057</v>
      </c>
      <c r="AC23" s="1809">
        <f t="shared" si="5"/>
        <v>0.99009900990099009</v>
      </c>
    </row>
    <row r="24" spans="1:29" ht="15">
      <c r="A24" s="367"/>
      <c r="B24" s="557"/>
      <c r="C24" s="1755" t="s">
        <v>3901</v>
      </c>
      <c r="D24" s="387"/>
      <c r="E24" s="1748" t="s">
        <v>3904</v>
      </c>
      <c r="F24" s="387"/>
      <c r="G24" s="1749" t="s">
        <v>3902</v>
      </c>
      <c r="H24" s="387"/>
      <c r="I24" s="1749" t="s">
        <v>3904</v>
      </c>
      <c r="J24" s="387"/>
      <c r="K24" s="541"/>
      <c r="L24" s="2490"/>
      <c r="M24" s="2485"/>
      <c r="N24" s="2485"/>
      <c r="O24" s="2485"/>
      <c r="P24" s="3563"/>
      <c r="Q24" s="1260"/>
      <c r="R24" s="667"/>
      <c r="S24" s="668"/>
      <c r="T24" s="667"/>
      <c r="U24" s="668"/>
      <c r="V24" s="667"/>
      <c r="W24" s="668"/>
      <c r="X24" s="1262"/>
      <c r="Y24" s="3565"/>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90"/>
      <c r="M25" s="2485"/>
      <c r="N25" s="2485"/>
      <c r="O25" s="2485"/>
      <c r="P25" s="3563"/>
      <c r="Q25" s="1260" t="str">
        <f>B25</f>
        <v>毗邻道路的类型与等级</v>
      </c>
      <c r="R25" s="667" t="s">
        <v>14</v>
      </c>
      <c r="S25" s="668">
        <f>F25</f>
        <v>100</v>
      </c>
      <c r="T25" s="667" t="s">
        <v>14</v>
      </c>
      <c r="U25" s="668">
        <f>H25</f>
        <v>100</v>
      </c>
      <c r="V25" s="667" t="s">
        <v>14</v>
      </c>
      <c r="W25" s="668">
        <f>J25</f>
        <v>100</v>
      </c>
      <c r="X25" s="1262"/>
      <c r="Y25" s="3565"/>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90"/>
      <c r="M26" s="2485"/>
      <c r="N26" s="2485"/>
      <c r="O26" s="2485"/>
      <c r="P26" s="3563"/>
      <c r="Q26" s="1260"/>
      <c r="R26" s="667"/>
      <c r="S26" s="668"/>
      <c r="T26" s="667"/>
      <c r="U26" s="668"/>
      <c r="V26" s="667"/>
      <c r="W26" s="668"/>
      <c r="X26" s="1262"/>
      <c r="Y26" s="3565"/>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63"/>
      <c r="Q27" s="1260" t="str">
        <f t="shared" ref="Q27:Q47" si="11">B27</f>
        <v>楼层</v>
      </c>
      <c r="R27" s="667" t="s">
        <v>14</v>
      </c>
      <c r="S27" s="668">
        <f>F27</f>
        <v>100</v>
      </c>
      <c r="T27" s="667" t="s">
        <v>14</v>
      </c>
      <c r="U27" s="668">
        <f>H27</f>
        <v>100</v>
      </c>
      <c r="V27" s="667" t="s">
        <v>14</v>
      </c>
      <c r="W27" s="668">
        <f>J27</f>
        <v>100</v>
      </c>
      <c r="X27" s="1262"/>
      <c r="Y27" s="3565"/>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563"/>
      <c r="Q28" s="530" t="str">
        <f t="shared" si="11"/>
        <v>朝向</v>
      </c>
      <c r="R28" s="664" t="s">
        <v>14</v>
      </c>
      <c r="S28" s="665">
        <f>F28</f>
        <v>100</v>
      </c>
      <c r="T28" s="664" t="s">
        <v>14</v>
      </c>
      <c r="U28" s="665">
        <f>H28</f>
        <v>100</v>
      </c>
      <c r="V28" s="664" t="s">
        <v>14</v>
      </c>
      <c r="W28" s="665">
        <f>J28</f>
        <v>100</v>
      </c>
      <c r="X28" s="666"/>
      <c r="Y28" s="3565"/>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563"/>
      <c r="Q29" s="1260">
        <f t="shared" si="11"/>
        <v>111</v>
      </c>
      <c r="R29" s="667" t="s">
        <v>14</v>
      </c>
      <c r="S29" s="668">
        <f t="shared" ref="S29:S47" si="12">F29</f>
        <v>100</v>
      </c>
      <c r="T29" s="667" t="s">
        <v>14</v>
      </c>
      <c r="U29" s="668">
        <f t="shared" ref="U29:U47" si="13">H29</f>
        <v>100</v>
      </c>
      <c r="V29" s="667" t="s">
        <v>14</v>
      </c>
      <c r="W29" s="668">
        <f t="shared" ref="W29:W47" si="14">J29</f>
        <v>100</v>
      </c>
      <c r="X29" s="1262"/>
      <c r="Y29" s="3565"/>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563"/>
      <c r="Q30" s="1260">
        <f t="shared" si="11"/>
        <v>111</v>
      </c>
      <c r="R30" s="667" t="s">
        <v>14</v>
      </c>
      <c r="S30" s="668">
        <f t="shared" si="12"/>
        <v>100</v>
      </c>
      <c r="T30" s="667" t="s">
        <v>14</v>
      </c>
      <c r="U30" s="668">
        <f t="shared" si="13"/>
        <v>100</v>
      </c>
      <c r="V30" s="667" t="s">
        <v>14</v>
      </c>
      <c r="W30" s="668">
        <f t="shared" si="14"/>
        <v>100</v>
      </c>
      <c r="X30" s="1262"/>
      <c r="Y30" s="3565"/>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563"/>
      <c r="Q31" s="1260">
        <f t="shared" si="11"/>
        <v>111</v>
      </c>
      <c r="R31" s="667" t="s">
        <v>14</v>
      </c>
      <c r="S31" s="668">
        <f t="shared" si="12"/>
        <v>100</v>
      </c>
      <c r="T31" s="667" t="s">
        <v>14</v>
      </c>
      <c r="U31" s="668">
        <f t="shared" si="13"/>
        <v>100</v>
      </c>
      <c r="V31" s="667" t="s">
        <v>14</v>
      </c>
      <c r="W31" s="668">
        <f t="shared" si="14"/>
        <v>100</v>
      </c>
      <c r="X31" s="1262"/>
      <c r="Y31" s="3565"/>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563"/>
      <c r="Q32" s="1260">
        <f t="shared" si="11"/>
        <v>111</v>
      </c>
      <c r="R32" s="667" t="s">
        <v>14</v>
      </c>
      <c r="S32" s="668">
        <f t="shared" si="12"/>
        <v>100</v>
      </c>
      <c r="T32" s="667" t="s">
        <v>14</v>
      </c>
      <c r="U32" s="668">
        <f t="shared" si="13"/>
        <v>100</v>
      </c>
      <c r="V32" s="667" t="s">
        <v>14</v>
      </c>
      <c r="W32" s="668">
        <f t="shared" si="14"/>
        <v>100</v>
      </c>
      <c r="X32" s="1262"/>
      <c r="Y32" s="3565"/>
      <c r="Z32" s="1261">
        <f t="shared" si="15"/>
        <v>111</v>
      </c>
      <c r="AA32" s="1261">
        <f t="shared" si="3"/>
        <v>1</v>
      </c>
      <c r="AB32" s="1261">
        <f t="shared" si="4"/>
        <v>1</v>
      </c>
      <c r="AC32" s="1809">
        <f t="shared" si="5"/>
        <v>1</v>
      </c>
    </row>
    <row r="33" spans="1:29" ht="15">
      <c r="A33" s="379" t="s">
        <v>1694</v>
      </c>
      <c r="B33" s="60" t="s">
        <v>1817</v>
      </c>
      <c r="C33" s="1761" t="s">
        <v>3399</v>
      </c>
      <c r="D33" s="405">
        <v>100</v>
      </c>
      <c r="E33" s="1761" t="s">
        <v>3399</v>
      </c>
      <c r="F33" s="400">
        <f>SUMIF(101:101,E33,102:102)-SUMIF(101:101,C33,102:102)+100</f>
        <v>100</v>
      </c>
      <c r="G33" s="1761" t="s">
        <v>3399</v>
      </c>
      <c r="H33" s="374">
        <f>SUMIF(101:101,G33,102:102)-SUMIF(101:101,C33,102:102)+100</f>
        <v>100</v>
      </c>
      <c r="I33" s="1761" t="s">
        <v>3399</v>
      </c>
      <c r="J33" s="405">
        <f>SUMIF(101:101,I33,102:102)-SUMIF(101:101,C33,102:102)+100</f>
        <v>100</v>
      </c>
      <c r="K33" s="538">
        <v>10</v>
      </c>
      <c r="L33" s="2490"/>
      <c r="M33" s="2485"/>
      <c r="N33" s="2485"/>
      <c r="O33" s="2485"/>
      <c r="P33" s="3566" t="s">
        <v>1696</v>
      </c>
      <c r="Q33" s="1260" t="str">
        <f t="shared" si="11"/>
        <v>建筑类型</v>
      </c>
      <c r="R33" s="667" t="s">
        <v>14</v>
      </c>
      <c r="S33" s="668">
        <f t="shared" si="12"/>
        <v>100</v>
      </c>
      <c r="T33" s="667" t="s">
        <v>14</v>
      </c>
      <c r="U33" s="668">
        <f t="shared" si="13"/>
        <v>100</v>
      </c>
      <c r="V33" s="667" t="s">
        <v>14</v>
      </c>
      <c r="W33" s="668">
        <f t="shared" si="14"/>
        <v>100</v>
      </c>
      <c r="X33" s="1262"/>
      <c r="Y33" s="3569" t="s">
        <v>1696</v>
      </c>
      <c r="Z33" s="1261" t="str">
        <f t="shared" si="15"/>
        <v>建筑类型</v>
      </c>
      <c r="AA33" s="1261">
        <f t="shared" si="3"/>
        <v>1</v>
      </c>
      <c r="AB33" s="1261">
        <f t="shared" si="4"/>
        <v>1</v>
      </c>
      <c r="AC33" s="1809">
        <f t="shared" si="5"/>
        <v>1</v>
      </c>
    </row>
    <row r="34" spans="1:29" s="408" customFormat="1" ht="15">
      <c r="A34" s="406"/>
      <c r="B34" s="364" t="s">
        <v>1697</v>
      </c>
      <c r="C34" s="407">
        <f>'数据-汇总表'!E3</f>
        <v>11833.989999999994</v>
      </c>
      <c r="D34" s="119">
        <v>100</v>
      </c>
      <c r="E34" s="3290">
        <f>大宗!F44</f>
        <v>6772</v>
      </c>
      <c r="F34" s="364">
        <f>E105</f>
        <v>101</v>
      </c>
      <c r="G34" s="3291">
        <f>大宗!H52</f>
        <v>5098.57</v>
      </c>
      <c r="H34" s="119">
        <f>D105</f>
        <v>102</v>
      </c>
      <c r="I34" s="3291">
        <v>9000</v>
      </c>
      <c r="J34" s="119">
        <f>F105</f>
        <v>100</v>
      </c>
      <c r="K34" s="539"/>
      <c r="L34" s="2489"/>
      <c r="M34" s="2491"/>
      <c r="N34" s="2491"/>
      <c r="O34" s="2491"/>
      <c r="P34" s="3567"/>
      <c r="Q34" s="531" t="str">
        <f t="shared" si="11"/>
        <v>项目建筑规模</v>
      </c>
      <c r="R34" s="669" t="s">
        <v>14</v>
      </c>
      <c r="S34" s="670">
        <f t="shared" si="12"/>
        <v>101</v>
      </c>
      <c r="T34" s="669" t="s">
        <v>14</v>
      </c>
      <c r="U34" s="670">
        <f t="shared" si="13"/>
        <v>102</v>
      </c>
      <c r="V34" s="669" t="s">
        <v>14</v>
      </c>
      <c r="W34" s="670">
        <f t="shared" si="14"/>
        <v>100</v>
      </c>
      <c r="X34" s="671"/>
      <c r="Y34" s="3569"/>
      <c r="Z34" s="672" t="str">
        <f t="shared" si="15"/>
        <v>项目建筑规模</v>
      </c>
      <c r="AA34" s="1261">
        <f t="shared" si="3"/>
        <v>0.99009900990099009</v>
      </c>
      <c r="AB34" s="1261">
        <f t="shared" si="4"/>
        <v>0.98039215686274506</v>
      </c>
      <c r="AC34" s="1809">
        <f t="shared" si="5"/>
        <v>1</v>
      </c>
    </row>
    <row r="35" spans="1:29" ht="15">
      <c r="A35" s="409"/>
      <c r="B35" s="364" t="s">
        <v>1698</v>
      </c>
      <c r="C35" s="399" t="s">
        <v>3694</v>
      </c>
      <c r="D35" s="374">
        <v>100</v>
      </c>
      <c r="E35" s="399" t="s">
        <v>3694</v>
      </c>
      <c r="F35" s="400">
        <f>SUMIF(106:106,E35,107:107)-SUMIF(106:106,C35,107:107)+100</f>
        <v>100</v>
      </c>
      <c r="G35" s="399" t="s">
        <v>3694</v>
      </c>
      <c r="H35" s="374">
        <f>SUMIF(106:106,G35,107:107)-SUMIF(106:106,C35,107:107)+100</f>
        <v>100</v>
      </c>
      <c r="I35" s="399" t="s">
        <v>3694</v>
      </c>
      <c r="J35" s="374">
        <f>SUMIF(106:106,I35,107:107)-SUMIF(106:106,C35,107:107)+100</f>
        <v>100</v>
      </c>
      <c r="K35" s="538"/>
      <c r="L35" s="2490"/>
      <c r="M35" s="2485"/>
      <c r="N35" s="2485"/>
      <c r="O35" s="2485"/>
      <c r="P35" s="3567"/>
      <c r="Q35" s="1260" t="str">
        <f t="shared" si="11"/>
        <v>建筑结构</v>
      </c>
      <c r="R35" s="667" t="s">
        <v>14</v>
      </c>
      <c r="S35" s="668">
        <f t="shared" si="12"/>
        <v>100</v>
      </c>
      <c r="T35" s="667" t="s">
        <v>14</v>
      </c>
      <c r="U35" s="668">
        <f t="shared" si="13"/>
        <v>100</v>
      </c>
      <c r="V35" s="667" t="s">
        <v>14</v>
      </c>
      <c r="W35" s="668">
        <f t="shared" si="14"/>
        <v>100</v>
      </c>
      <c r="X35" s="1262"/>
      <c r="Y35" s="3569"/>
      <c r="Z35" s="1261" t="str">
        <f t="shared" si="15"/>
        <v>建筑结构</v>
      </c>
      <c r="AA35" s="1261">
        <f t="shared" si="3"/>
        <v>1</v>
      </c>
      <c r="AB35" s="1261">
        <f t="shared" si="4"/>
        <v>1</v>
      </c>
      <c r="AC35" s="1809">
        <f t="shared" si="5"/>
        <v>1</v>
      </c>
    </row>
    <row r="36" spans="1:29" ht="15">
      <c r="A36" s="409"/>
      <c r="B36" s="364" t="s">
        <v>1785</v>
      </c>
      <c r="C36" s="399" t="s">
        <v>4024</v>
      </c>
      <c r="D36" s="374">
        <v>100</v>
      </c>
      <c r="E36" s="399" t="s">
        <v>4024</v>
      </c>
      <c r="F36" s="400">
        <f>SUMIF(108:108,E36,109:109)-SUMIF(108:108,C36,109:109)+100</f>
        <v>100</v>
      </c>
      <c r="G36" s="399" t="s">
        <v>4024</v>
      </c>
      <c r="H36" s="374">
        <f>SUMIF(108:108,G36,109:109)-SUMIF(108:108,C36,109:109)+100</f>
        <v>100</v>
      </c>
      <c r="I36" s="399" t="s">
        <v>4024</v>
      </c>
      <c r="J36" s="374">
        <f>SUMIF(108:108,I36,109:109)-SUMIF(108:108,C36,109:109)+100</f>
        <v>100</v>
      </c>
      <c r="K36" s="538"/>
      <c r="L36" s="2490"/>
      <c r="M36" s="2485"/>
      <c r="N36" s="2485"/>
      <c r="O36" s="2485"/>
      <c r="P36" s="3567"/>
      <c r="Q36" s="1260" t="str">
        <f t="shared" si="11"/>
        <v>公共部分装修</v>
      </c>
      <c r="R36" s="667" t="s">
        <v>14</v>
      </c>
      <c r="S36" s="668">
        <f t="shared" si="12"/>
        <v>100</v>
      </c>
      <c r="T36" s="667" t="s">
        <v>14</v>
      </c>
      <c r="U36" s="668">
        <f t="shared" si="13"/>
        <v>100</v>
      </c>
      <c r="V36" s="667" t="s">
        <v>14</v>
      </c>
      <c r="W36" s="668">
        <f t="shared" si="14"/>
        <v>100</v>
      </c>
      <c r="X36" s="1262"/>
      <c r="Y36" s="3569"/>
      <c r="Z36" s="1261" t="str">
        <f t="shared" si="15"/>
        <v>公共部分装修</v>
      </c>
      <c r="AA36" s="1261">
        <f t="shared" si="3"/>
        <v>1</v>
      </c>
      <c r="AB36" s="1261">
        <f t="shared" si="4"/>
        <v>1</v>
      </c>
      <c r="AC36" s="1809">
        <f t="shared" si="5"/>
        <v>1</v>
      </c>
    </row>
    <row r="37" spans="1:29" ht="15">
      <c r="A37" s="409"/>
      <c r="B37" s="364" t="s">
        <v>1786</v>
      </c>
      <c r="C37" s="411">
        <v>0.9</v>
      </c>
      <c r="D37" s="374">
        <v>100</v>
      </c>
      <c r="E37" s="411">
        <v>0.95</v>
      </c>
      <c r="F37" s="400">
        <f>100+$K$37</f>
        <v>100.5</v>
      </c>
      <c r="G37" s="411">
        <v>0.9</v>
      </c>
      <c r="H37" s="400">
        <f>LOOKUP(G37,111:111,112:112)-LOOKUP(C37,111:111,112:112)+100</f>
        <v>100</v>
      </c>
      <c r="I37" s="411">
        <v>0.98</v>
      </c>
      <c r="J37" s="400">
        <f>100+$K$37</f>
        <v>100.5</v>
      </c>
      <c r="K37" s="538">
        <v>0.5</v>
      </c>
      <c r="L37" s="2490"/>
      <c r="M37" s="2485"/>
      <c r="N37" s="2485"/>
      <c r="O37" s="2485"/>
      <c r="P37" s="3567"/>
      <c r="Q37" s="1260" t="str">
        <f t="shared" si="11"/>
        <v>成新度</v>
      </c>
      <c r="R37" s="667" t="s">
        <v>14</v>
      </c>
      <c r="S37" s="668">
        <f t="shared" si="12"/>
        <v>100.5</v>
      </c>
      <c r="T37" s="667" t="s">
        <v>14</v>
      </c>
      <c r="U37" s="668">
        <f t="shared" si="13"/>
        <v>100</v>
      </c>
      <c r="V37" s="667" t="s">
        <v>14</v>
      </c>
      <c r="W37" s="668">
        <f t="shared" si="14"/>
        <v>100.5</v>
      </c>
      <c r="X37" s="1262"/>
      <c r="Y37" s="3569"/>
      <c r="Z37" s="1261" t="str">
        <f t="shared" si="15"/>
        <v>成新度</v>
      </c>
      <c r="AA37" s="1261">
        <f t="shared" si="3"/>
        <v>0.99502487562189057</v>
      </c>
      <c r="AB37" s="1261">
        <f t="shared" si="4"/>
        <v>1</v>
      </c>
      <c r="AC37" s="1809">
        <f t="shared" si="5"/>
        <v>0.99502487562189057</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567"/>
      <c r="Q38" s="530" t="str">
        <f t="shared" si="11"/>
        <v>写字楼等级</v>
      </c>
      <c r="R38" s="664" t="s">
        <v>14</v>
      </c>
      <c r="S38" s="665">
        <f t="shared" si="12"/>
        <v>100</v>
      </c>
      <c r="T38" s="664" t="s">
        <v>14</v>
      </c>
      <c r="U38" s="665">
        <f t="shared" si="13"/>
        <v>100</v>
      </c>
      <c r="V38" s="664" t="s">
        <v>14</v>
      </c>
      <c r="W38" s="665">
        <f t="shared" si="14"/>
        <v>100</v>
      </c>
      <c r="X38" s="666"/>
      <c r="Y38" s="3569"/>
      <c r="Z38" s="50" t="str">
        <f t="shared" si="15"/>
        <v>写字楼等级</v>
      </c>
      <c r="AA38" s="50">
        <f t="shared" si="3"/>
        <v>1</v>
      </c>
      <c r="AB38" s="50">
        <f t="shared" si="4"/>
        <v>1</v>
      </c>
      <c r="AC38" s="799">
        <f t="shared" si="5"/>
        <v>1</v>
      </c>
    </row>
    <row r="39" spans="1:29" ht="15">
      <c r="A39" s="409"/>
      <c r="B39" s="364" t="s">
        <v>1819</v>
      </c>
      <c r="C39" s="399" t="s">
        <v>4029</v>
      </c>
      <c r="D39" s="374">
        <v>100</v>
      </c>
      <c r="E39" s="399" t="s">
        <v>4029</v>
      </c>
      <c r="F39" s="400">
        <f>SUMIF(115:115,E39,116:116)-SUMIF(115:115,C39,116:116)+100</f>
        <v>100</v>
      </c>
      <c r="G39" s="399" t="s">
        <v>4029</v>
      </c>
      <c r="H39" s="374">
        <f>SUMIF(115:115,G39,116:116)-SUMIF(115:115,C39,116:116)+100</f>
        <v>100</v>
      </c>
      <c r="I39" s="399" t="s">
        <v>4029</v>
      </c>
      <c r="J39" s="374">
        <f>SUMIF(115:115,I39,116:116)-SUMIF(115:115,C39,116:116)+100</f>
        <v>100</v>
      </c>
      <c r="K39" s="538"/>
      <c r="L39" s="2490"/>
      <c r="M39" s="2485"/>
      <c r="N39" s="2485"/>
      <c r="O39" s="2485"/>
      <c r="P39" s="3567" t="s">
        <v>1696</v>
      </c>
      <c r="Q39" s="1260" t="str">
        <f t="shared" si="11"/>
        <v>物业管理</v>
      </c>
      <c r="R39" s="667" t="s">
        <v>14</v>
      </c>
      <c r="S39" s="668">
        <f t="shared" si="12"/>
        <v>100</v>
      </c>
      <c r="T39" s="667" t="s">
        <v>14</v>
      </c>
      <c r="U39" s="668">
        <f t="shared" si="13"/>
        <v>100</v>
      </c>
      <c r="V39" s="667" t="s">
        <v>14</v>
      </c>
      <c r="W39" s="668">
        <f t="shared" si="14"/>
        <v>100</v>
      </c>
      <c r="X39" s="1262"/>
      <c r="Y39" s="3569" t="s">
        <v>1696</v>
      </c>
      <c r="Z39" s="1261" t="str">
        <f t="shared" si="15"/>
        <v>物业管理</v>
      </c>
      <c r="AA39" s="1261">
        <f t="shared" si="3"/>
        <v>1</v>
      </c>
      <c r="AB39" s="1261">
        <f t="shared" si="4"/>
        <v>1</v>
      </c>
      <c r="AC39" s="1809">
        <f t="shared" si="5"/>
        <v>1</v>
      </c>
    </row>
    <row r="40" spans="1:29" ht="15">
      <c r="A40" s="409"/>
      <c r="B40" s="364" t="s">
        <v>1787</v>
      </c>
      <c r="C40" s="399" t="s">
        <v>3903</v>
      </c>
      <c r="D40" s="374">
        <v>100</v>
      </c>
      <c r="E40" s="399" t="s">
        <v>3903</v>
      </c>
      <c r="F40" s="400">
        <f>SUMIF(117:117,E40,118:118)-SUMIF(117:117,C40,118:118)+100</f>
        <v>100</v>
      </c>
      <c r="G40" s="399" t="s">
        <v>3903</v>
      </c>
      <c r="H40" s="374">
        <f>SUMIF(117:117,G40,118:118)-SUMIF(117:117,C40,118:118)+100</f>
        <v>100</v>
      </c>
      <c r="I40" s="399" t="s">
        <v>3903</v>
      </c>
      <c r="J40" s="374">
        <f>SUMIF(117:117,I40,118:118)-SUMIF(117:117,C40,118:118)+100</f>
        <v>100</v>
      </c>
      <c r="K40" s="538"/>
      <c r="L40" s="2490"/>
      <c r="M40" s="2485"/>
      <c r="N40" s="2485"/>
      <c r="O40" s="2485"/>
      <c r="P40" s="3567"/>
      <c r="Q40" s="1260" t="str">
        <f t="shared" si="11"/>
        <v>市政基础设施</v>
      </c>
      <c r="R40" s="667" t="s">
        <v>14</v>
      </c>
      <c r="S40" s="668">
        <f t="shared" si="12"/>
        <v>100</v>
      </c>
      <c r="T40" s="667" t="s">
        <v>14</v>
      </c>
      <c r="U40" s="668">
        <f t="shared" si="13"/>
        <v>100</v>
      </c>
      <c r="V40" s="667" t="s">
        <v>14</v>
      </c>
      <c r="W40" s="668">
        <f t="shared" si="14"/>
        <v>100</v>
      </c>
      <c r="X40" s="1262"/>
      <c r="Y40" s="3569"/>
      <c r="Z40" s="1261" t="str">
        <f t="shared" si="15"/>
        <v>市政基础设施</v>
      </c>
      <c r="AA40" s="1261">
        <f t="shared" si="3"/>
        <v>1</v>
      </c>
      <c r="AB40" s="1261">
        <f t="shared" si="4"/>
        <v>1</v>
      </c>
      <c r="AC40" s="1809">
        <f t="shared" si="5"/>
        <v>1</v>
      </c>
    </row>
    <row r="41" spans="1:29" ht="15">
      <c r="A41" s="409"/>
      <c r="B41" s="364" t="s">
        <v>1789</v>
      </c>
      <c r="C41" s="542" t="s">
        <v>3709</v>
      </c>
      <c r="D41" s="374">
        <v>100</v>
      </c>
      <c r="E41" s="542" t="s">
        <v>3709</v>
      </c>
      <c r="F41" s="400">
        <f>SUMIF(119:119,E41,120:120)-SUMIF(119:119,C41,120:120)+100</f>
        <v>100</v>
      </c>
      <c r="G41" s="542" t="s">
        <v>3709</v>
      </c>
      <c r="H41" s="374">
        <f>SUMIF(119:119,G41,120:120)-SUMIF(119:119,C41,120:120)+100</f>
        <v>100</v>
      </c>
      <c r="I41" s="542" t="s">
        <v>3709</v>
      </c>
      <c r="J41" s="374">
        <f>SUMIF(119:119,I41,120:120)-SUMIF(119:119,C41,120:120)+100</f>
        <v>100</v>
      </c>
      <c r="K41" s="538"/>
      <c r="L41" s="2490"/>
      <c r="M41" s="2485"/>
      <c r="N41" s="2485"/>
      <c r="O41" s="2485"/>
      <c r="P41" s="3567"/>
      <c r="Q41" s="1260" t="str">
        <f t="shared" si="11"/>
        <v>层高</v>
      </c>
      <c r="R41" s="667" t="s">
        <v>14</v>
      </c>
      <c r="S41" s="668">
        <f t="shared" si="12"/>
        <v>100</v>
      </c>
      <c r="T41" s="667" t="s">
        <v>14</v>
      </c>
      <c r="U41" s="668">
        <f t="shared" si="13"/>
        <v>100</v>
      </c>
      <c r="V41" s="667" t="s">
        <v>14</v>
      </c>
      <c r="W41" s="668">
        <f t="shared" si="14"/>
        <v>100</v>
      </c>
      <c r="X41" s="1262"/>
      <c r="Y41" s="3569"/>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67"/>
      <c r="Q42" s="531" t="str">
        <f t="shared" si="11"/>
        <v>单套建筑面积</v>
      </c>
      <c r="R42" s="669" t="s">
        <v>14</v>
      </c>
      <c r="S42" s="670">
        <f t="shared" si="12"/>
        <v>100</v>
      </c>
      <c r="T42" s="669" t="s">
        <v>14</v>
      </c>
      <c r="U42" s="670">
        <f t="shared" si="13"/>
        <v>100</v>
      </c>
      <c r="V42" s="669" t="s">
        <v>14</v>
      </c>
      <c r="W42" s="670">
        <f t="shared" si="14"/>
        <v>100</v>
      </c>
      <c r="X42" s="671"/>
      <c r="Y42" s="3569"/>
      <c r="Z42" s="672" t="str">
        <f t="shared" si="15"/>
        <v>单套建筑面积</v>
      </c>
      <c r="AA42" s="1261">
        <f t="shared" si="3"/>
        <v>1</v>
      </c>
      <c r="AB42" s="1261">
        <f t="shared" si="4"/>
        <v>1</v>
      </c>
      <c r="AC42" s="1809">
        <f t="shared" si="5"/>
        <v>1</v>
      </c>
    </row>
    <row r="43" spans="1:29" ht="15">
      <c r="A43" s="409"/>
      <c r="B43" s="364" t="s">
        <v>1792</v>
      </c>
      <c r="C43" s="399" t="s">
        <v>4024</v>
      </c>
      <c r="D43" s="374">
        <v>100</v>
      </c>
      <c r="E43" s="399" t="s">
        <v>4024</v>
      </c>
      <c r="F43" s="400">
        <f>SUMIF(123:123,E43,124:124)-SUMIF(123:123,C43,124:124)+100</f>
        <v>100</v>
      </c>
      <c r="G43" s="399" t="s">
        <v>4024</v>
      </c>
      <c r="H43" s="374">
        <f>SUMIF(123:123,G43,124:124)-SUMIF(123:123,C43,124:124)+100</f>
        <v>100</v>
      </c>
      <c r="I43" s="399" t="s">
        <v>4024</v>
      </c>
      <c r="J43" s="374">
        <f>SUMIF(123:123,I43,124:124)-SUMIF(123:123,C43,124:124)+100</f>
        <v>100</v>
      </c>
      <c r="K43" s="538"/>
      <c r="L43" s="2490"/>
      <c r="M43" s="2485"/>
      <c r="N43" s="2485"/>
      <c r="O43" s="2485"/>
      <c r="P43" s="3567"/>
      <c r="Q43" s="1260" t="str">
        <f t="shared" si="11"/>
        <v>内部装修</v>
      </c>
      <c r="R43" s="667" t="s">
        <v>14</v>
      </c>
      <c r="S43" s="668">
        <f t="shared" si="12"/>
        <v>100</v>
      </c>
      <c r="T43" s="667" t="s">
        <v>14</v>
      </c>
      <c r="U43" s="668">
        <f t="shared" si="13"/>
        <v>100</v>
      </c>
      <c r="V43" s="667" t="s">
        <v>14</v>
      </c>
      <c r="W43" s="668">
        <f t="shared" si="14"/>
        <v>100</v>
      </c>
      <c r="X43" s="1262"/>
      <c r="Y43" s="3569"/>
      <c r="Z43" s="1261" t="str">
        <f t="shared" si="15"/>
        <v>内部装修</v>
      </c>
      <c r="AA43" s="1261">
        <f t="shared" si="3"/>
        <v>1</v>
      </c>
      <c r="AB43" s="1261">
        <f t="shared" si="4"/>
        <v>1</v>
      </c>
      <c r="AC43" s="1809">
        <f t="shared" si="5"/>
        <v>1</v>
      </c>
    </row>
    <row r="44" spans="1:29" ht="15">
      <c r="A44" s="409"/>
      <c r="B44" s="364" t="s">
        <v>1707</v>
      </c>
      <c r="C44" s="399" t="s">
        <v>3902</v>
      </c>
      <c r="D44" s="374">
        <v>100</v>
      </c>
      <c r="E44" s="399" t="s">
        <v>3902</v>
      </c>
      <c r="F44" s="400">
        <f>SUMIF(125:125,E44,126:126)-SUMIF(125:125,C44,126:126)+100</f>
        <v>100</v>
      </c>
      <c r="G44" s="399" t="s">
        <v>3902</v>
      </c>
      <c r="H44" s="374">
        <f>SUMIF(125:125,G44,126:126)-SUMIF(125:125,C44,126:126)+100</f>
        <v>100</v>
      </c>
      <c r="I44" s="399" t="s">
        <v>3902</v>
      </c>
      <c r="J44" s="374">
        <f>SUMIF(125:125,I44,126:126)-SUMIF(125:125,C44,126:126)+100</f>
        <v>100</v>
      </c>
      <c r="K44" s="538"/>
      <c r="L44" s="2490"/>
      <c r="M44" s="2485"/>
      <c r="N44" s="2485"/>
      <c r="O44" s="2485"/>
      <c r="P44" s="3567"/>
      <c r="Q44" s="1260" t="str">
        <f t="shared" si="11"/>
        <v>内部装修维护情况</v>
      </c>
      <c r="R44" s="667" t="s">
        <v>14</v>
      </c>
      <c r="S44" s="668">
        <f t="shared" si="12"/>
        <v>100</v>
      </c>
      <c r="T44" s="667" t="s">
        <v>14</v>
      </c>
      <c r="U44" s="668">
        <f t="shared" si="13"/>
        <v>100</v>
      </c>
      <c r="V44" s="667" t="s">
        <v>14</v>
      </c>
      <c r="W44" s="668">
        <f t="shared" si="14"/>
        <v>100</v>
      </c>
      <c r="X44" s="1262"/>
      <c r="Y44" s="3569"/>
      <c r="Z44" s="1261" t="str">
        <f t="shared" si="15"/>
        <v>内部装修维护情况</v>
      </c>
      <c r="AA44" s="1261">
        <f t="shared" si="3"/>
        <v>1</v>
      </c>
      <c r="AB44" s="1261">
        <f t="shared" si="4"/>
        <v>1</v>
      </c>
      <c r="AC44" s="1809">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567"/>
      <c r="Q45" s="530">
        <f t="shared" si="11"/>
        <v>111</v>
      </c>
      <c r="R45" s="664" t="s">
        <v>14</v>
      </c>
      <c r="S45" s="665">
        <f t="shared" si="12"/>
        <v>100</v>
      </c>
      <c r="T45" s="664" t="s">
        <v>14</v>
      </c>
      <c r="U45" s="665">
        <f t="shared" si="13"/>
        <v>100</v>
      </c>
      <c r="V45" s="664" t="s">
        <v>14</v>
      </c>
      <c r="W45" s="665">
        <f t="shared" si="14"/>
        <v>100</v>
      </c>
      <c r="X45" s="666"/>
      <c r="Y45" s="3569"/>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67"/>
      <c r="Q46" s="1260">
        <f t="shared" si="11"/>
        <v>111</v>
      </c>
      <c r="R46" s="667" t="s">
        <v>14</v>
      </c>
      <c r="S46" s="668">
        <f t="shared" si="12"/>
        <v>100</v>
      </c>
      <c r="T46" s="667" t="s">
        <v>14</v>
      </c>
      <c r="U46" s="668">
        <f t="shared" si="13"/>
        <v>100</v>
      </c>
      <c r="V46" s="667" t="s">
        <v>14</v>
      </c>
      <c r="W46" s="668">
        <f t="shared" si="14"/>
        <v>100</v>
      </c>
      <c r="X46" s="1262"/>
      <c r="Y46" s="3569"/>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68"/>
      <c r="Q47" s="1260">
        <f t="shared" si="11"/>
        <v>111</v>
      </c>
      <c r="R47" s="667" t="s">
        <v>14</v>
      </c>
      <c r="S47" s="668">
        <f t="shared" si="12"/>
        <v>100</v>
      </c>
      <c r="T47" s="667" t="s">
        <v>14</v>
      </c>
      <c r="U47" s="668">
        <f t="shared" si="13"/>
        <v>100</v>
      </c>
      <c r="V47" s="667" t="s">
        <v>14</v>
      </c>
      <c r="W47" s="668">
        <f t="shared" si="14"/>
        <v>100</v>
      </c>
      <c r="X47" s="1262"/>
      <c r="Y47" s="3570"/>
      <c r="Z47" s="1261">
        <f t="shared" si="15"/>
        <v>111</v>
      </c>
      <c r="AA47" s="1261">
        <f t="shared" si="3"/>
        <v>1</v>
      </c>
      <c r="AB47" s="1261">
        <f t="shared" si="4"/>
        <v>1</v>
      </c>
      <c r="AC47" s="1809">
        <f t="shared" si="5"/>
        <v>1</v>
      </c>
    </row>
    <row r="48" spans="1:29" ht="15">
      <c r="A48" s="416" t="s">
        <v>1708</v>
      </c>
      <c r="B48" s="417"/>
      <c r="C48" s="1078" t="s">
        <v>0</v>
      </c>
      <c r="D48" s="418"/>
      <c r="E48" s="3292">
        <f>大宗!L44</f>
        <v>29976</v>
      </c>
      <c r="F48" s="420"/>
      <c r="G48" s="3293">
        <f>大宗!J52</f>
        <v>31381</v>
      </c>
      <c r="H48" s="422"/>
      <c r="I48" s="3292">
        <v>28000</v>
      </c>
      <c r="J48" s="422"/>
      <c r="K48" s="674"/>
      <c r="L48" s="2492"/>
      <c r="M48" s="2485"/>
      <c r="N48" s="2485"/>
      <c r="O48" s="2485"/>
      <c r="P48" s="3548" t="str">
        <f>A48</f>
        <v>成交单价（元/平方米）</v>
      </c>
      <c r="Q48" s="3571"/>
      <c r="R48" s="3533">
        <f>E48</f>
        <v>29976</v>
      </c>
      <c r="S48" s="3533"/>
      <c r="T48" s="3533">
        <f>G48</f>
        <v>31381</v>
      </c>
      <c r="U48" s="3533"/>
      <c r="V48" s="3533">
        <f>I48</f>
        <v>28000</v>
      </c>
      <c r="W48" s="3533"/>
      <c r="X48" s="385"/>
      <c r="Y48" s="673"/>
      <c r="Z48" s="385"/>
      <c r="AA48" s="385"/>
      <c r="AB48" s="385"/>
      <c r="AC48" s="555"/>
    </row>
    <row r="49" spans="1:29" ht="15.75" thickBot="1">
      <c r="A49" s="423" t="s">
        <v>1793</v>
      </c>
      <c r="B49" s="424"/>
      <c r="C49" s="1079">
        <f>R50</f>
        <v>27927</v>
      </c>
      <c r="D49" s="2138" t="s">
        <v>2138</v>
      </c>
      <c r="E49" s="1080">
        <f>R49</f>
        <v>28467</v>
      </c>
      <c r="F49" s="2139"/>
      <c r="G49" s="1079">
        <f>T49</f>
        <v>29336</v>
      </c>
      <c r="H49" s="2139"/>
      <c r="I49" s="1080">
        <f>V49</f>
        <v>25978</v>
      </c>
      <c r="J49" s="2139"/>
      <c r="K49" s="2141">
        <f>F49+H49+J49</f>
        <v>0</v>
      </c>
      <c r="L49" s="2492"/>
      <c r="M49" s="2485"/>
      <c r="N49" s="2485"/>
      <c r="O49" s="2485"/>
      <c r="P49" s="3548" t="str">
        <f>A49</f>
        <v>比较价值（元/平方米）</v>
      </c>
      <c r="Q49" s="3571"/>
      <c r="R49" s="3533">
        <f>IF(F1="售价",ROUND(PRODUCT(R48,AA7:AA47),0),ROUND(PRODUCT(R48,AA7:AA47),1))</f>
        <v>28467</v>
      </c>
      <c r="S49" s="3533"/>
      <c r="T49" s="3533">
        <f>IF(F1="售价",ROUND(PRODUCT(T48,AB7:AB47),0),ROUND(PRODUCT(T48,AB7:AB47),1))</f>
        <v>29336</v>
      </c>
      <c r="U49" s="3533"/>
      <c r="V49" s="3533">
        <f>IF(F1="售价",ROUND(PRODUCT(V48,AC7:AC47),0),ROUND(PRODUCT(V48,AC7:AC47),1))</f>
        <v>25978</v>
      </c>
      <c r="W49" s="3533"/>
      <c r="X49" s="385"/>
      <c r="Y49" s="385"/>
      <c r="Z49" s="385"/>
      <c r="AA49" s="385"/>
      <c r="AB49" s="385"/>
      <c r="AC49" s="555"/>
    </row>
    <row r="50" spans="1:29" ht="15.75" thickBot="1">
      <c r="A50" s="427" t="s">
        <v>1794</v>
      </c>
      <c r="B50" s="428"/>
      <c r="C50" s="351">
        <f>R50</f>
        <v>27927</v>
      </c>
      <c r="D50" s="351"/>
      <c r="E50" s="351"/>
      <c r="F50" s="351"/>
      <c r="G50" s="351"/>
      <c r="H50" s="351"/>
      <c r="I50" s="351"/>
      <c r="J50" s="429"/>
      <c r="K50" s="675"/>
      <c r="L50" s="2492"/>
      <c r="M50" s="2485"/>
      <c r="N50" s="2485"/>
      <c r="O50" s="2485"/>
      <c r="P50" s="3589" t="str">
        <f>A50</f>
        <v>估价对象XX用房的比较价值（楼面单价，元/平方米）</v>
      </c>
      <c r="Q50" s="3590"/>
      <c r="R50" s="3591">
        <f>IF(F1="售价",ROUND(IF(D49="简单平均",AVERAGE(R49:V49),R49*F49+T49*H49+V49*J49),0),ROUND(IF(D49="简单平均",AVERAGE(R49:V49),R49*F49+T49*H49+V49*J49),1))</f>
        <v>27927</v>
      </c>
      <c r="S50" s="3591"/>
      <c r="T50" s="3591"/>
      <c r="U50" s="3591"/>
      <c r="V50" s="3591"/>
      <c r="W50" s="3591"/>
      <c r="X50" s="1795"/>
      <c r="Y50" s="1795"/>
      <c r="Z50" s="1795"/>
      <c r="AA50" s="1795"/>
      <c r="AB50" s="1795"/>
      <c r="AC50" s="1796"/>
    </row>
    <row r="51" spans="1:29">
      <c r="A51" s="2485"/>
      <c r="B51" s="2485"/>
      <c r="C51" s="2485">
        <v>2015</v>
      </c>
      <c r="D51" s="2485"/>
      <c r="E51" s="2485">
        <v>2020</v>
      </c>
      <c r="F51" s="2485"/>
      <c r="G51" s="2485">
        <v>2015</v>
      </c>
      <c r="H51" s="2485"/>
      <c r="I51" s="2485">
        <v>2021</v>
      </c>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3693">
        <f>1-(2023-C51)/60</f>
        <v>0.8666666666666667</v>
      </c>
      <c r="D52" s="2485"/>
      <c r="E52" s="3693">
        <f>1-(2023-E51)/60</f>
        <v>0.95</v>
      </c>
      <c r="F52" s="2485"/>
      <c r="G52" s="3693">
        <f>1-(2023-G51)/60</f>
        <v>0.8666666666666667</v>
      </c>
      <c r="H52" s="2485"/>
      <c r="I52" s="3693">
        <f>1-(2023-I51)/60</f>
        <v>0.96666666666666667</v>
      </c>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5.3008746970176102E-2</v>
      </c>
      <c r="F53" s="435" t="str">
        <f>IF(OR(E53&gt;=0.3,E53&lt;=-0.3),"超过30%","")</f>
        <v/>
      </c>
      <c r="G53" s="434">
        <f>IF(G48&lt;G49,G49/G48-1,G48/G49-1)</f>
        <v>6.9709571857103914E-2</v>
      </c>
      <c r="H53" s="435" t="str">
        <f>IF(OR(G53&gt;=0.3,G53&lt;=-0.3),"超过30%","")</f>
        <v/>
      </c>
      <c r="I53" s="434">
        <f>IF(I48&lt;I49,I49/I48-1,I48/I49-1)</f>
        <v>7.7835091231041709E-2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3.052657463027364E-2</v>
      </c>
      <c r="F54" s="435" t="str">
        <f>IF(OR(E54&gt;=0.2,E54&lt;=-0.2),"超过20%","")</f>
        <v/>
      </c>
      <c r="G54" s="434">
        <f>IF(G49&lt;I49,I49/G49-1,G49/I49-1)</f>
        <v>0.12926322272692281</v>
      </c>
      <c r="H54" s="435" t="str">
        <f>IF(OR(G54&gt;=0.2,G54&lt;=-0.2),"超过20%","")</f>
        <v/>
      </c>
      <c r="I54" s="434">
        <f>IF(I49&lt;E49,E49/I49-1,I49/E49-1)</f>
        <v>9.581184078835947E-2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4.6870829997331276E-2</v>
      </c>
      <c r="F55" s="435" t="str">
        <f>IF(OR(E55&gt;=0.3,E55&lt;=-0.3),"超过30%","")</f>
        <v/>
      </c>
      <c r="G55" s="434">
        <f>IF(G48&lt;I48,I48/G48-1,G48/I48-1)</f>
        <v>0.12074999999999991</v>
      </c>
      <c r="H55" s="435" t="str">
        <f>IF(OR(G55&gt;=0.3,G55&lt;=-0.3),"超过30%","")</f>
        <v/>
      </c>
      <c r="I55" s="434">
        <f>IF(I48&lt;E48,E48/I48-1,I48/E48-1)</f>
        <v>7.0571428571428507E-2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5"/>
      <c r="M58" s="883"/>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0" t="str">
        <f>YEAR(C7)&amp;"-"&amp;MONTH(C7)</f>
        <v>2023-12</v>
      </c>
      <c r="D59" s="1101">
        <f>EDATE(C59,-1)</f>
        <v>45231</v>
      </c>
      <c r="E59" s="1101">
        <f>EDATE(D59,-1)</f>
        <v>45200</v>
      </c>
      <c r="F59" s="1101">
        <f t="shared" ref="F59:O59" si="16">EDATE(E59,-1)</f>
        <v>45170</v>
      </c>
      <c r="G59" s="1101">
        <f t="shared" si="16"/>
        <v>45139</v>
      </c>
      <c r="H59" s="1101">
        <f t="shared" si="16"/>
        <v>45108</v>
      </c>
      <c r="I59" s="1101">
        <f t="shared" si="16"/>
        <v>45078</v>
      </c>
      <c r="J59" s="1101">
        <f t="shared" si="16"/>
        <v>45047</v>
      </c>
      <c r="K59" s="1101">
        <f t="shared" si="16"/>
        <v>45017</v>
      </c>
      <c r="L59" s="1101">
        <f t="shared" si="16"/>
        <v>44986</v>
      </c>
      <c r="M59" s="1101">
        <f t="shared" si="16"/>
        <v>44958</v>
      </c>
      <c r="N59" s="1101">
        <f t="shared" si="16"/>
        <v>44927</v>
      </c>
      <c r="O59" s="1101">
        <f t="shared" si="16"/>
        <v>44896</v>
      </c>
      <c r="P59" s="1101">
        <f t="shared" ref="P59" si="17">EDATE(O59,-1)</f>
        <v>44866</v>
      </c>
      <c r="Q59" s="1101">
        <f t="shared" ref="Q59" si="18">EDATE(P59,-1)</f>
        <v>44835</v>
      </c>
      <c r="R59" s="1101">
        <f t="shared" ref="R59" si="19">EDATE(Q59,-1)</f>
        <v>44805</v>
      </c>
      <c r="S59" s="1101">
        <f t="shared" ref="S59" si="20">EDATE(R59,-1)</f>
        <v>44774</v>
      </c>
      <c r="T59" s="1101">
        <f t="shared" ref="T59" si="21">EDATE(S59,-1)</f>
        <v>44743</v>
      </c>
      <c r="U59" s="1101">
        <f t="shared" ref="U59" si="22">EDATE(T59,-1)</f>
        <v>44713</v>
      </c>
      <c r="V59" s="1101">
        <f t="shared" ref="V59" si="23">EDATE(U59,-1)</f>
        <v>44682</v>
      </c>
      <c r="W59" s="1101">
        <f t="shared" ref="W59" si="24">EDATE(V59,-1)</f>
        <v>44652</v>
      </c>
      <c r="X59" s="1101">
        <f t="shared" ref="X59" si="25">EDATE(W59,-1)</f>
        <v>44621</v>
      </c>
      <c r="Y59" s="1101">
        <f t="shared" ref="Y59" si="26">EDATE(X59,-1)</f>
        <v>44593</v>
      </c>
      <c r="Z59" s="1101">
        <f t="shared" ref="Z59" si="27">EDATE(Y59,-1)</f>
        <v>44562</v>
      </c>
      <c r="AA59" s="1101">
        <f t="shared" ref="AA59" si="28">EDATE(Z59,-1)</f>
        <v>44531</v>
      </c>
      <c r="AB59" s="1101">
        <f t="shared" ref="AB59" si="29">EDATE(AA59,-1)</f>
        <v>44501</v>
      </c>
      <c r="AC59" s="2508"/>
    </row>
    <row r="60" spans="1:29" s="102" customFormat="1" ht="15">
      <c r="A60" s="443"/>
      <c r="B60" s="444"/>
      <c r="C60" s="1099">
        <v>100</v>
      </c>
      <c r="D60" s="446">
        <v>100</v>
      </c>
      <c r="E60" s="446">
        <v>100</v>
      </c>
      <c r="F60" s="446">
        <f>E60+$C$61</f>
        <v>100.1</v>
      </c>
      <c r="G60" s="446">
        <f>F60</f>
        <v>100.1</v>
      </c>
      <c r="H60" s="446">
        <f>F60</f>
        <v>100.1</v>
      </c>
      <c r="I60" s="446">
        <f>H60+$C$61</f>
        <v>100.19999999999999</v>
      </c>
      <c r="J60" s="446">
        <f>I60</f>
        <v>100.19999999999999</v>
      </c>
      <c r="K60" s="446">
        <f>I60</f>
        <v>100.19999999999999</v>
      </c>
      <c r="L60" s="446">
        <f>K60+$C$61</f>
        <v>100.29999999999998</v>
      </c>
      <c r="M60" s="446">
        <f t="shared" ref="M60" si="30">L60</f>
        <v>100.29999999999998</v>
      </c>
      <c r="N60" s="446">
        <f t="shared" ref="N60" si="31">L60</f>
        <v>100.29999999999998</v>
      </c>
      <c r="O60" s="446">
        <f>N60+$C$61</f>
        <v>100.39999999999998</v>
      </c>
      <c r="P60" s="446">
        <f t="shared" ref="P60:V60" si="32">O60</f>
        <v>100.39999999999998</v>
      </c>
      <c r="Q60" s="446">
        <f t="shared" ref="Q60" si="33">O60</f>
        <v>100.39999999999998</v>
      </c>
      <c r="R60" s="446">
        <f>Q60+$C$61</f>
        <v>100.49999999999997</v>
      </c>
      <c r="S60" s="446">
        <f t="shared" ref="S60" si="34">R60</f>
        <v>100.49999999999997</v>
      </c>
      <c r="T60" s="446">
        <f t="shared" ref="T60" si="35">R60</f>
        <v>100.49999999999997</v>
      </c>
      <c r="U60" s="446">
        <f>T60+$C$61</f>
        <v>100.59999999999997</v>
      </c>
      <c r="V60" s="446">
        <f t="shared" si="32"/>
        <v>100.59999999999997</v>
      </c>
      <c r="W60" s="446">
        <f t="shared" ref="W60" si="36">U60</f>
        <v>100.59999999999997</v>
      </c>
      <c r="X60" s="446">
        <f>W60+$C$61</f>
        <v>100.69999999999996</v>
      </c>
      <c r="Y60" s="446">
        <f t="shared" ref="Y60" si="37">X60</f>
        <v>100.69999999999996</v>
      </c>
      <c r="Z60" s="446">
        <f t="shared" ref="Z60" si="38">X60</f>
        <v>100.69999999999996</v>
      </c>
      <c r="AA60" s="2437"/>
      <c r="AB60" s="2437"/>
      <c r="AC60" s="2437"/>
    </row>
    <row r="61" spans="1:29" s="102" customFormat="1" ht="15.75" thickBot="1">
      <c r="A61" s="449" t="s">
        <v>1716</v>
      </c>
      <c r="B61" s="450"/>
      <c r="C61" s="451">
        <v>0.1</v>
      </c>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39">D69&amp;"（含）"&amp;"-"&amp;E69</f>
        <v>3（含）-</v>
      </c>
      <c r="E68" s="478" t="str">
        <f t="shared" si="39"/>
        <v>（含）-</v>
      </c>
      <c r="F68" s="478" t="str">
        <f t="shared" si="39"/>
        <v>（含）-</v>
      </c>
      <c r="G68" s="478" t="str">
        <f t="shared" si="39"/>
        <v>（含）-</v>
      </c>
      <c r="H68" s="478" t="str">
        <f t="shared" si="39"/>
        <v>（含）-</v>
      </c>
      <c r="I68" s="478" t="str">
        <f t="shared" si="39"/>
        <v>（含）-</v>
      </c>
      <c r="J68" s="478" t="str">
        <f t="shared" si="39"/>
        <v>（含）-</v>
      </c>
      <c r="K68" s="478" t="str">
        <f t="shared" si="39"/>
        <v>（含）-</v>
      </c>
      <c r="L68" s="478" t="str">
        <f t="shared" si="39"/>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40">C70-$K11</f>
        <v>100</v>
      </c>
      <c r="E70" s="475">
        <f t="shared" si="40"/>
        <v>100</v>
      </c>
      <c r="F70" s="475">
        <f t="shared" si="40"/>
        <v>100</v>
      </c>
      <c r="G70" s="475">
        <f t="shared" si="40"/>
        <v>100</v>
      </c>
      <c r="H70" s="475">
        <f t="shared" si="40"/>
        <v>100</v>
      </c>
      <c r="I70" s="475">
        <f t="shared" si="40"/>
        <v>100</v>
      </c>
      <c r="J70" s="475">
        <f t="shared" si="40"/>
        <v>100</v>
      </c>
      <c r="K70" s="475">
        <f t="shared" si="40"/>
        <v>100</v>
      </c>
      <c r="L70" s="475">
        <f t="shared" si="40"/>
        <v>100</v>
      </c>
      <c r="M70" s="476">
        <f t="shared" si="40"/>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98</v>
      </c>
      <c r="E78" s="475">
        <f>D78-$K15</f>
        <v>96</v>
      </c>
      <c r="F78" s="475">
        <f>E78-$K15</f>
        <v>94</v>
      </c>
      <c r="G78" s="475">
        <f>F78-$K15</f>
        <v>92</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99</v>
      </c>
      <c r="E80" s="475">
        <f>D80-$K17</f>
        <v>98</v>
      </c>
      <c r="F80" s="475">
        <f>E80-$K17</f>
        <v>97</v>
      </c>
      <c r="G80" s="475">
        <f>F80-$K17</f>
        <v>96</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0"/>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99.5</v>
      </c>
      <c r="E86" s="475">
        <f>D86-$K23</f>
        <v>99</v>
      </c>
      <c r="F86" s="475">
        <f>E86-$K23</f>
        <v>98.5</v>
      </c>
      <c r="G86" s="475">
        <f>F86-$K23</f>
        <v>98</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41">C88-$K25</f>
        <v>100</v>
      </c>
      <c r="E88" s="475">
        <f t="shared" si="41"/>
        <v>100</v>
      </c>
      <c r="F88" s="475">
        <f t="shared" si="41"/>
        <v>100</v>
      </c>
      <c r="G88" s="475">
        <f t="shared" si="41"/>
        <v>100</v>
      </c>
      <c r="H88" s="475">
        <f t="shared" si="41"/>
        <v>100</v>
      </c>
      <c r="I88" s="475">
        <f t="shared" si="41"/>
        <v>100</v>
      </c>
      <c r="J88" s="475">
        <f t="shared" si="41"/>
        <v>100</v>
      </c>
      <c r="K88" s="475">
        <f t="shared" si="41"/>
        <v>100</v>
      </c>
      <c r="L88" s="475">
        <f t="shared" si="41"/>
        <v>100</v>
      </c>
      <c r="M88" s="475">
        <f t="shared" si="41"/>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42">D90-$K27</f>
        <v>100</v>
      </c>
      <c r="F90" s="475">
        <f t="shared" si="42"/>
        <v>100</v>
      </c>
      <c r="G90" s="475">
        <f t="shared" si="42"/>
        <v>100</v>
      </c>
      <c r="H90" s="475">
        <f t="shared" si="42"/>
        <v>100</v>
      </c>
      <c r="I90" s="475">
        <f t="shared" si="42"/>
        <v>100</v>
      </c>
      <c r="J90" s="475">
        <f t="shared" si="42"/>
        <v>100</v>
      </c>
      <c r="K90" s="475">
        <f t="shared" si="42"/>
        <v>100</v>
      </c>
      <c r="L90" s="475">
        <f t="shared" si="42"/>
        <v>100</v>
      </c>
      <c r="M90" s="475">
        <f t="shared" si="42"/>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43">C92-$K28</f>
        <v>100</v>
      </c>
      <c r="E92" s="475">
        <f t="shared" si="43"/>
        <v>100</v>
      </c>
      <c r="F92" s="475">
        <f t="shared" si="43"/>
        <v>100</v>
      </c>
      <c r="G92" s="475">
        <f t="shared" si="43"/>
        <v>100</v>
      </c>
      <c r="H92" s="475">
        <f t="shared" si="43"/>
        <v>100</v>
      </c>
      <c r="I92" s="475">
        <f t="shared" si="43"/>
        <v>100</v>
      </c>
      <c r="J92" s="475">
        <f t="shared" si="43"/>
        <v>100</v>
      </c>
      <c r="K92" s="475">
        <f t="shared" si="43"/>
        <v>100</v>
      </c>
      <c r="L92" s="475">
        <f t="shared" si="43"/>
        <v>100</v>
      </c>
      <c r="M92" s="475">
        <f t="shared" si="43"/>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289" t="s">
        <v>3969</v>
      </c>
      <c r="D101" s="3289" t="s">
        <v>3970</v>
      </c>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44">C102-$K33</f>
        <v>90</v>
      </c>
      <c r="E102" s="475">
        <f t="shared" si="44"/>
        <v>80</v>
      </c>
      <c r="F102" s="475">
        <f t="shared" si="44"/>
        <v>70</v>
      </c>
      <c r="G102" s="475">
        <f t="shared" si="44"/>
        <v>60</v>
      </c>
      <c r="H102" s="475">
        <f t="shared" si="44"/>
        <v>50</v>
      </c>
      <c r="I102" s="475">
        <f t="shared" si="44"/>
        <v>40</v>
      </c>
      <c r="J102" s="475">
        <f t="shared" si="44"/>
        <v>30</v>
      </c>
      <c r="K102" s="475">
        <f t="shared" si="44"/>
        <v>20</v>
      </c>
      <c r="L102" s="475">
        <f t="shared" si="44"/>
        <v>10</v>
      </c>
      <c r="M102" s="476">
        <f t="shared" si="44"/>
        <v>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0(含)-3000</v>
      </c>
      <c r="D103" s="509" t="str">
        <f t="shared" ref="D103:L103" si="45">D104&amp;"(含)"&amp;"-"&amp;E104</f>
        <v>3000(含)-6000</v>
      </c>
      <c r="E103" s="509" t="str">
        <f t="shared" si="45"/>
        <v>6000(含)-9000</v>
      </c>
      <c r="F103" s="509" t="str">
        <f t="shared" si="45"/>
        <v>9000(含)-12000</v>
      </c>
      <c r="G103" s="509" t="str">
        <f t="shared" si="45"/>
        <v>12000(含)-15000</v>
      </c>
      <c r="H103" s="509" t="str">
        <f t="shared" si="45"/>
        <v>15000(含)-1</v>
      </c>
      <c r="I103" s="509" t="str">
        <f t="shared" si="45"/>
        <v>1(含)-</v>
      </c>
      <c r="J103" s="509" t="str">
        <f t="shared" si="45"/>
        <v>(含)-</v>
      </c>
      <c r="K103" s="509" t="str">
        <f t="shared" si="45"/>
        <v>(含)-</v>
      </c>
      <c r="L103" s="509" t="str">
        <f t="shared" si="45"/>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3000</v>
      </c>
      <c r="E104" s="6">
        <v>6000</v>
      </c>
      <c r="F104" s="6">
        <v>9000</v>
      </c>
      <c r="G104" s="6">
        <v>12000</v>
      </c>
      <c r="H104" s="6">
        <v>15000</v>
      </c>
      <c r="I104" s="6">
        <v>1</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67">
        <f>D105+$I$104</f>
        <v>103</v>
      </c>
      <c r="D105" s="467">
        <f>E105+$I$104</f>
        <v>102</v>
      </c>
      <c r="E105" s="467">
        <f>F105+$I$104</f>
        <v>101</v>
      </c>
      <c r="F105" s="467">
        <v>100</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692" t="s">
        <v>4021</v>
      </c>
      <c r="D106" s="3692" t="s">
        <v>4022</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46">C107-$K35</f>
        <v>100</v>
      </c>
      <c r="E107" s="475">
        <f t="shared" si="46"/>
        <v>100</v>
      </c>
      <c r="F107" s="475">
        <f t="shared" si="46"/>
        <v>100</v>
      </c>
      <c r="G107" s="475">
        <f t="shared" si="46"/>
        <v>100</v>
      </c>
      <c r="H107" s="475">
        <f t="shared" si="46"/>
        <v>100</v>
      </c>
      <c r="I107" s="475">
        <f t="shared" si="46"/>
        <v>100</v>
      </c>
      <c r="J107" s="475">
        <f t="shared" si="46"/>
        <v>100</v>
      </c>
      <c r="K107" s="475">
        <f t="shared" si="46"/>
        <v>100</v>
      </c>
      <c r="L107" s="475">
        <f t="shared" si="46"/>
        <v>100</v>
      </c>
      <c r="M107" s="476">
        <f t="shared" si="46"/>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692" t="s">
        <v>4023</v>
      </c>
      <c r="D108" s="3692" t="s">
        <v>4025</v>
      </c>
      <c r="E108" s="3692" t="s">
        <v>4026</v>
      </c>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47">C109-$K36</f>
        <v>100</v>
      </c>
      <c r="E109" s="475">
        <f t="shared" si="47"/>
        <v>100</v>
      </c>
      <c r="F109" s="475">
        <f t="shared" si="47"/>
        <v>100</v>
      </c>
      <c r="G109" s="475">
        <f t="shared" si="47"/>
        <v>100</v>
      </c>
      <c r="H109" s="475">
        <f t="shared" si="47"/>
        <v>100</v>
      </c>
      <c r="I109" s="475">
        <f t="shared" si="47"/>
        <v>100</v>
      </c>
      <c r="J109" s="475">
        <f t="shared" si="47"/>
        <v>100</v>
      </c>
      <c r="K109" s="475">
        <f t="shared" si="47"/>
        <v>100</v>
      </c>
      <c r="L109" s="475">
        <f t="shared" si="47"/>
        <v>100</v>
      </c>
      <c r="M109" s="476">
        <f t="shared" si="47"/>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100.5</v>
      </c>
      <c r="E112" s="475">
        <f t="shared" ref="E112:M112" si="48">D112+$K37</f>
        <v>101</v>
      </c>
      <c r="F112" s="475">
        <f t="shared" si="48"/>
        <v>101.5</v>
      </c>
      <c r="G112" s="475">
        <f t="shared" si="48"/>
        <v>102</v>
      </c>
      <c r="H112" s="475">
        <f t="shared" si="48"/>
        <v>102.5</v>
      </c>
      <c r="I112" s="475">
        <f t="shared" si="48"/>
        <v>103</v>
      </c>
      <c r="J112" s="475">
        <f t="shared" si="48"/>
        <v>103.5</v>
      </c>
      <c r="K112" s="475">
        <f t="shared" si="48"/>
        <v>104</v>
      </c>
      <c r="L112" s="475">
        <f t="shared" si="48"/>
        <v>104.5</v>
      </c>
      <c r="M112" s="475">
        <f t="shared" si="48"/>
        <v>105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49">D114-$K38</f>
        <v>100</v>
      </c>
      <c r="F114" s="475">
        <f t="shared" si="49"/>
        <v>100</v>
      </c>
      <c r="G114" s="475">
        <f t="shared" si="49"/>
        <v>100</v>
      </c>
      <c r="H114" s="475">
        <f t="shared" si="49"/>
        <v>100</v>
      </c>
      <c r="I114" s="475">
        <f t="shared" si="49"/>
        <v>100</v>
      </c>
      <c r="J114" s="475">
        <f t="shared" si="49"/>
        <v>100</v>
      </c>
      <c r="K114" s="475">
        <f t="shared" si="49"/>
        <v>100</v>
      </c>
      <c r="L114" s="475">
        <f t="shared" si="49"/>
        <v>100</v>
      </c>
      <c r="M114" s="475">
        <f t="shared" si="4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692" t="s">
        <v>4030</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50">C116-$K39</f>
        <v>100</v>
      </c>
      <c r="E116" s="475">
        <f t="shared" si="50"/>
        <v>100</v>
      </c>
      <c r="F116" s="475">
        <f t="shared" si="50"/>
        <v>100</v>
      </c>
      <c r="G116" s="475">
        <f t="shared" si="50"/>
        <v>100</v>
      </c>
      <c r="H116" s="475">
        <f t="shared" si="50"/>
        <v>100</v>
      </c>
      <c r="I116" s="475">
        <f t="shared" si="50"/>
        <v>100</v>
      </c>
      <c r="J116" s="475">
        <f t="shared" si="50"/>
        <v>100</v>
      </c>
      <c r="K116" s="475">
        <f t="shared" si="50"/>
        <v>100</v>
      </c>
      <c r="L116" s="475">
        <f t="shared" si="50"/>
        <v>100</v>
      </c>
      <c r="M116" s="476">
        <f t="shared" si="50"/>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692" t="s">
        <v>4028</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694" t="s">
        <v>4027</v>
      </c>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51">D120-$K41</f>
        <v>100</v>
      </c>
      <c r="F120" s="475">
        <f t="shared" si="51"/>
        <v>100</v>
      </c>
      <c r="G120" s="475">
        <f t="shared" si="51"/>
        <v>100</v>
      </c>
      <c r="H120" s="475">
        <f t="shared" si="51"/>
        <v>100</v>
      </c>
      <c r="I120" s="475">
        <f t="shared" si="51"/>
        <v>100</v>
      </c>
      <c r="J120" s="475">
        <f t="shared" si="51"/>
        <v>100</v>
      </c>
      <c r="K120" s="475">
        <f t="shared" si="51"/>
        <v>100</v>
      </c>
      <c r="L120" s="475">
        <f t="shared" si="51"/>
        <v>100</v>
      </c>
      <c r="M120" s="475">
        <f t="shared" si="5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692" t="s">
        <v>4023</v>
      </c>
      <c r="D123" s="3692" t="s">
        <v>4025</v>
      </c>
      <c r="E123" s="3692" t="s">
        <v>4026</v>
      </c>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52">C124-$K43</f>
        <v>100</v>
      </c>
      <c r="E124" s="475">
        <f t="shared" si="52"/>
        <v>100</v>
      </c>
      <c r="F124" s="475">
        <f t="shared" si="52"/>
        <v>100</v>
      </c>
      <c r="G124" s="475">
        <f t="shared" si="52"/>
        <v>100</v>
      </c>
      <c r="H124" s="475">
        <f t="shared" si="52"/>
        <v>100</v>
      </c>
      <c r="I124" s="475">
        <f t="shared" si="52"/>
        <v>100</v>
      </c>
      <c r="J124" s="475">
        <f t="shared" si="52"/>
        <v>100</v>
      </c>
      <c r="K124" s="475">
        <f t="shared" si="52"/>
        <v>100</v>
      </c>
      <c r="L124" s="475">
        <f t="shared" si="52"/>
        <v>100</v>
      </c>
      <c r="M124" s="476">
        <f t="shared" si="52"/>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G44 E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G39 E39 I39" xr:uid="{00000000-0002-0000-1E00-00000E000000}">
      <formula1>办公物业管理</formula1>
    </dataValidation>
    <dataValidation type="list" allowBlank="1" showInputMessage="1" showErrorMessage="1" sqref="C40 G40 E40 I40" xr:uid="{00000000-0002-0000-1E00-00000F000000}">
      <formula1>办公基础设施水平</formula1>
    </dataValidation>
    <dataValidation type="list" allowBlank="1" showInputMessage="1" showErrorMessage="1" sqref="C41 G41 E41 I41" xr:uid="{00000000-0002-0000-1E00-000010000000}">
      <formula1>办公层高</formula1>
    </dataValidation>
    <dataValidation type="list" allowBlank="1" showInputMessage="1" showErrorMessage="1" sqref="C43 G43 E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76"/>
  <sheetViews>
    <sheetView topLeftCell="A36" zoomScaleNormal="100" workbookViewId="0">
      <selection activeCell="B52" sqref="B52"/>
    </sheetView>
  </sheetViews>
  <sheetFormatPr defaultColWidth="9" defaultRowHeight="12"/>
  <cols>
    <col min="1" max="1" width="9.125" style="3253" bestFit="1" customWidth="1"/>
    <col min="2" max="5" width="9" style="3253"/>
    <col min="6" max="6" width="11.25" style="3253" bestFit="1" customWidth="1"/>
    <col min="7" max="7" width="9" style="3253"/>
    <col min="8" max="8" width="9.125" style="3253" bestFit="1" customWidth="1"/>
    <col min="9" max="10" width="9" style="3253"/>
    <col min="11" max="11" width="10.25" style="3253" bestFit="1" customWidth="1"/>
    <col min="12" max="12" width="15.625" style="3253" bestFit="1" customWidth="1"/>
    <col min="13" max="13" width="9.125" style="3253" bestFit="1" customWidth="1"/>
    <col min="14" max="16384" width="9" style="3253"/>
  </cols>
  <sheetData>
    <row r="1" spans="1:13" ht="14.25">
      <c r="A1" s="3248" t="s">
        <v>3714</v>
      </c>
      <c r="B1" s="3249" t="s">
        <v>3715</v>
      </c>
      <c r="C1" s="3250" t="s">
        <v>3716</v>
      </c>
      <c r="D1" s="3251" t="s">
        <v>3717</v>
      </c>
      <c r="E1" s="3250" t="s">
        <v>3718</v>
      </c>
      <c r="F1" s="3250" t="s">
        <v>3719</v>
      </c>
      <c r="G1" s="3251" t="s">
        <v>3720</v>
      </c>
      <c r="H1" s="3251" t="s">
        <v>3721</v>
      </c>
      <c r="I1" s="3251" t="s">
        <v>3722</v>
      </c>
      <c r="J1" s="3251" t="s">
        <v>3723</v>
      </c>
      <c r="K1" s="3252" t="s">
        <v>3724</v>
      </c>
      <c r="L1" s="3252" t="s">
        <v>3725</v>
      </c>
      <c r="M1" s="3252" t="s">
        <v>3726</v>
      </c>
    </row>
    <row r="2" spans="1:13" ht="14.25">
      <c r="A2" s="3592" t="s">
        <v>3727</v>
      </c>
      <c r="B2" s="3593"/>
      <c r="C2" s="3593"/>
      <c r="D2" s="3593"/>
      <c r="E2" s="3593"/>
      <c r="F2" s="3593"/>
      <c r="G2" s="3593"/>
      <c r="H2" s="3593"/>
      <c r="I2" s="3593"/>
      <c r="J2" s="3593"/>
      <c r="K2" s="3593"/>
      <c r="L2" s="3593"/>
      <c r="M2" s="3594"/>
    </row>
    <row r="3" spans="1:13" ht="14.25">
      <c r="A3" s="3254">
        <v>1</v>
      </c>
      <c r="B3" s="3255" t="s">
        <v>3728</v>
      </c>
      <c r="C3" s="3255" t="s">
        <v>3729</v>
      </c>
      <c r="D3" s="3254" t="s">
        <v>3730</v>
      </c>
      <c r="E3" s="3255" t="s">
        <v>3731</v>
      </c>
      <c r="F3" s="3255" t="s">
        <v>3732</v>
      </c>
      <c r="G3" s="3254" t="s">
        <v>3733</v>
      </c>
      <c r="H3" s="3254" t="s">
        <v>3734</v>
      </c>
      <c r="I3" s="3254" t="s">
        <v>3735</v>
      </c>
      <c r="J3" s="3254" t="s">
        <v>3736</v>
      </c>
      <c r="K3" s="3256">
        <v>42242.77</v>
      </c>
      <c r="L3" s="3257">
        <v>1806000000</v>
      </c>
      <c r="M3" s="3257">
        <f>L3/K3</f>
        <v>42752.878184834946</v>
      </c>
    </row>
    <row r="4" spans="1:13" ht="14.25">
      <c r="A4" s="3254">
        <v>2</v>
      </c>
      <c r="B4" s="3255" t="s">
        <v>3737</v>
      </c>
      <c r="C4" s="3255" t="s">
        <v>3738</v>
      </c>
      <c r="D4" s="3254" t="s">
        <v>3730</v>
      </c>
      <c r="E4" s="3255" t="s">
        <v>3731</v>
      </c>
      <c r="F4" s="3255" t="s">
        <v>21</v>
      </c>
      <c r="G4" s="3254" t="s">
        <v>3739</v>
      </c>
      <c r="H4" s="3254" t="s">
        <v>3740</v>
      </c>
      <c r="I4" s="3254" t="s">
        <v>3741</v>
      </c>
      <c r="J4" s="3254" t="s">
        <v>3736</v>
      </c>
      <c r="K4" s="3258">
        <v>75177</v>
      </c>
      <c r="L4" s="3258">
        <v>5660000000</v>
      </c>
      <c r="M4" s="3258">
        <f t="shared" ref="M4:M9" si="0">L4/K4</f>
        <v>75288.984662862305</v>
      </c>
    </row>
    <row r="5" spans="1:13" ht="14.25">
      <c r="A5" s="3254">
        <v>3</v>
      </c>
      <c r="B5" s="3255" t="s">
        <v>3742</v>
      </c>
      <c r="C5" s="3255" t="s">
        <v>3743</v>
      </c>
      <c r="D5" s="3254" t="s">
        <v>3730</v>
      </c>
      <c r="E5" s="3255" t="s">
        <v>3731</v>
      </c>
      <c r="F5" s="3255" t="s">
        <v>3732</v>
      </c>
      <c r="G5" s="3254" t="s">
        <v>3744</v>
      </c>
      <c r="H5" s="3259" t="s">
        <v>3736</v>
      </c>
      <c r="I5" s="3254" t="s">
        <v>3745</v>
      </c>
      <c r="J5" s="3254" t="s">
        <v>3734</v>
      </c>
      <c r="K5" s="3257">
        <v>27090</v>
      </c>
      <c r="L5" s="3257">
        <v>1598664000</v>
      </c>
      <c r="M5" s="3257">
        <f t="shared" si="0"/>
        <v>59013.067552602435</v>
      </c>
    </row>
    <row r="6" spans="1:13" ht="14.25">
      <c r="A6" s="3254">
        <v>4</v>
      </c>
      <c r="B6" s="3255" t="s">
        <v>3746</v>
      </c>
      <c r="C6" s="3255" t="s">
        <v>3743</v>
      </c>
      <c r="D6" s="3254" t="s">
        <v>3730</v>
      </c>
      <c r="E6" s="3255" t="s">
        <v>3731</v>
      </c>
      <c r="F6" s="3255" t="s">
        <v>21</v>
      </c>
      <c r="G6" s="3254" t="s">
        <v>3747</v>
      </c>
      <c r="H6" s="3259" t="s">
        <v>3736</v>
      </c>
      <c r="I6" s="3254" t="s">
        <v>3745</v>
      </c>
      <c r="J6" s="3254" t="s">
        <v>3734</v>
      </c>
      <c r="K6" s="3256">
        <v>19566.62</v>
      </c>
      <c r="L6" s="3257">
        <v>932030000</v>
      </c>
      <c r="M6" s="3257">
        <f t="shared" si="0"/>
        <v>47633.674083720136</v>
      </c>
    </row>
    <row r="7" spans="1:13" ht="14.25">
      <c r="A7" s="3254">
        <v>5</v>
      </c>
      <c r="B7" s="3255" t="s">
        <v>3748</v>
      </c>
      <c r="C7" s="3255" t="s">
        <v>3749</v>
      </c>
      <c r="D7" s="3254" t="s">
        <v>3730</v>
      </c>
      <c r="E7" s="3255" t="s">
        <v>3750</v>
      </c>
      <c r="F7" s="3255" t="s">
        <v>21</v>
      </c>
      <c r="G7" s="3254" t="s">
        <v>3751</v>
      </c>
      <c r="H7" s="3259" t="s">
        <v>3752</v>
      </c>
      <c r="I7" s="3254" t="s">
        <v>3753</v>
      </c>
      <c r="J7" s="3254" t="s">
        <v>3734</v>
      </c>
      <c r="K7" s="3257">
        <v>20257.25</v>
      </c>
      <c r="L7" s="3257">
        <v>824060000</v>
      </c>
      <c r="M7" s="3257">
        <f t="shared" si="0"/>
        <v>40679.756630342221</v>
      </c>
    </row>
    <row r="8" spans="1:13" ht="14.25">
      <c r="A8" s="3254">
        <v>6</v>
      </c>
      <c r="B8" s="3255" t="s">
        <v>3748</v>
      </c>
      <c r="C8" s="3255" t="s">
        <v>3749</v>
      </c>
      <c r="D8" s="3254" t="s">
        <v>3730</v>
      </c>
      <c r="E8" s="3255" t="s">
        <v>3750</v>
      </c>
      <c r="F8" s="3255" t="s">
        <v>21</v>
      </c>
      <c r="G8" s="3254" t="s">
        <v>3754</v>
      </c>
      <c r="H8" s="3254" t="s">
        <v>3755</v>
      </c>
      <c r="I8" s="3254" t="s">
        <v>3753</v>
      </c>
      <c r="J8" s="3254" t="s">
        <v>3734</v>
      </c>
      <c r="K8" s="3257">
        <v>7515.36</v>
      </c>
      <c r="L8" s="3257">
        <v>395428182</v>
      </c>
      <c r="M8" s="3257">
        <f t="shared" si="0"/>
        <v>52616.0000319346</v>
      </c>
    </row>
    <row r="9" spans="1:13" ht="14.25">
      <c r="A9" s="3254">
        <v>7</v>
      </c>
      <c r="B9" s="3255" t="s">
        <v>3748</v>
      </c>
      <c r="C9" s="3255" t="s">
        <v>3749</v>
      </c>
      <c r="D9" s="3254" t="s">
        <v>3730</v>
      </c>
      <c r="E9" s="3255" t="s">
        <v>3750</v>
      </c>
      <c r="F9" s="3255" t="s">
        <v>673</v>
      </c>
      <c r="G9" s="3254" t="s">
        <v>3754</v>
      </c>
      <c r="H9" s="3254" t="s">
        <v>3755</v>
      </c>
      <c r="I9" s="3254" t="s">
        <v>3753</v>
      </c>
      <c r="J9" s="3254" t="s">
        <v>3734</v>
      </c>
      <c r="K9" s="3257">
        <v>5516.86</v>
      </c>
      <c r="L9" s="3257">
        <v>321960000</v>
      </c>
      <c r="M9" s="3257">
        <f t="shared" si="0"/>
        <v>58359.284085512416</v>
      </c>
    </row>
    <row r="10" spans="1:13" ht="14.25">
      <c r="A10" s="3595" t="s">
        <v>3756</v>
      </c>
      <c r="B10" s="3596"/>
      <c r="C10" s="3596"/>
      <c r="D10" s="3596"/>
      <c r="E10" s="3596"/>
      <c r="F10" s="3596"/>
      <c r="G10" s="3596"/>
      <c r="H10" s="3596"/>
      <c r="I10" s="3596"/>
      <c r="J10" s="3596"/>
      <c r="K10" s="3596"/>
      <c r="L10" s="3596"/>
      <c r="M10" s="3597"/>
    </row>
    <row r="11" spans="1:13" ht="14.25">
      <c r="A11" s="3254">
        <v>1</v>
      </c>
      <c r="B11" s="3255" t="s">
        <v>3757</v>
      </c>
      <c r="C11" s="3255" t="s">
        <v>3758</v>
      </c>
      <c r="D11" s="3254" t="s">
        <v>3759</v>
      </c>
      <c r="E11" s="3255" t="s">
        <v>3731</v>
      </c>
      <c r="F11" s="3255" t="s">
        <v>3760</v>
      </c>
      <c r="G11" s="3254" t="s">
        <v>3761</v>
      </c>
      <c r="H11" s="3254" t="s">
        <v>3762</v>
      </c>
      <c r="I11" s="3254" t="s">
        <v>3763</v>
      </c>
      <c r="J11" s="3254" t="s">
        <v>3764</v>
      </c>
      <c r="K11" s="3260">
        <v>427600</v>
      </c>
      <c r="L11" s="3257">
        <v>19780000000</v>
      </c>
      <c r="M11" s="3257">
        <f t="shared" ref="M11:M16" si="1">L11/K11</f>
        <v>46258.185219831619</v>
      </c>
    </row>
    <row r="12" spans="1:13" ht="14.25">
      <c r="A12" s="3254">
        <v>2</v>
      </c>
      <c r="B12" s="3255" t="s">
        <v>3765</v>
      </c>
      <c r="C12" s="3255" t="s">
        <v>3766</v>
      </c>
      <c r="D12" s="3254" t="s">
        <v>3759</v>
      </c>
      <c r="E12" s="3255" t="s">
        <v>3731</v>
      </c>
      <c r="F12" s="3255" t="s">
        <v>3760</v>
      </c>
      <c r="G12" s="3254" t="s">
        <v>3767</v>
      </c>
      <c r="H12" s="3254" t="s">
        <v>3768</v>
      </c>
      <c r="I12" s="3254" t="s">
        <v>3763</v>
      </c>
      <c r="J12" s="3254" t="s">
        <v>3764</v>
      </c>
      <c r="K12" s="3260">
        <v>30000</v>
      </c>
      <c r="L12" s="3260">
        <v>2857681300</v>
      </c>
      <c r="M12" s="3260">
        <f t="shared" si="1"/>
        <v>95256.043333333335</v>
      </c>
    </row>
    <row r="13" spans="1:13" ht="14.25">
      <c r="A13" s="3254">
        <v>3</v>
      </c>
      <c r="B13" s="3255" t="s">
        <v>3769</v>
      </c>
      <c r="C13" s="3255" t="s">
        <v>3770</v>
      </c>
      <c r="D13" s="3254" t="s">
        <v>3759</v>
      </c>
      <c r="E13" s="3255" t="s">
        <v>3731</v>
      </c>
      <c r="F13" s="3255" t="s">
        <v>3771</v>
      </c>
      <c r="G13" s="3254" t="s">
        <v>3772</v>
      </c>
      <c r="H13" s="3254" t="s">
        <v>3773</v>
      </c>
      <c r="I13" s="3254" t="s">
        <v>3774</v>
      </c>
      <c r="J13" s="3254" t="s">
        <v>3755</v>
      </c>
      <c r="K13" s="3260">
        <v>10073</v>
      </c>
      <c r="L13" s="3260">
        <v>533869000</v>
      </c>
      <c r="M13" s="3260">
        <f t="shared" si="1"/>
        <v>53000</v>
      </c>
    </row>
    <row r="14" spans="1:13" ht="14.25">
      <c r="A14" s="3254">
        <v>4</v>
      </c>
      <c r="B14" s="3255" t="s">
        <v>3775</v>
      </c>
      <c r="C14" s="3255" t="s">
        <v>3755</v>
      </c>
      <c r="D14" s="3254" t="s">
        <v>3759</v>
      </c>
      <c r="E14" s="3255" t="s">
        <v>3731</v>
      </c>
      <c r="F14" s="3255" t="s">
        <v>3776</v>
      </c>
      <c r="G14" s="3254" t="s">
        <v>3774</v>
      </c>
      <c r="H14" s="3254" t="s">
        <v>3755</v>
      </c>
      <c r="I14" s="3254" t="s">
        <v>3774</v>
      </c>
      <c r="J14" s="3254" t="s">
        <v>3755</v>
      </c>
      <c r="K14" s="3260">
        <v>2766</v>
      </c>
      <c r="L14" s="3260">
        <v>157120000</v>
      </c>
      <c r="M14" s="3260">
        <f t="shared" si="1"/>
        <v>56804.049168474332</v>
      </c>
    </row>
    <row r="15" spans="1:13" ht="14.25">
      <c r="A15" s="3254">
        <v>5</v>
      </c>
      <c r="B15" s="3255" t="s">
        <v>3777</v>
      </c>
      <c r="C15" s="3255" t="s">
        <v>3778</v>
      </c>
      <c r="D15" s="3254" t="s">
        <v>3759</v>
      </c>
      <c r="E15" s="3255" t="s">
        <v>3731</v>
      </c>
      <c r="F15" s="3255" t="s">
        <v>3771</v>
      </c>
      <c r="G15" s="3254" t="s">
        <v>3779</v>
      </c>
      <c r="H15" s="3254" t="s">
        <v>3762</v>
      </c>
      <c r="I15" s="3254" t="s">
        <v>3780</v>
      </c>
      <c r="J15" s="3254" t="s">
        <v>3768</v>
      </c>
      <c r="K15" s="3260">
        <v>74850</v>
      </c>
      <c r="L15" s="3260">
        <v>5000000000.000001</v>
      </c>
      <c r="M15" s="3260">
        <f t="shared" si="1"/>
        <v>66800.267201068811</v>
      </c>
    </row>
    <row r="16" spans="1:13" ht="14.25">
      <c r="A16" s="3254">
        <v>6</v>
      </c>
      <c r="B16" s="3255" t="s">
        <v>3781</v>
      </c>
      <c r="C16" s="3255" t="s">
        <v>3782</v>
      </c>
      <c r="D16" s="3254" t="s">
        <v>3759</v>
      </c>
      <c r="E16" s="3255" t="s">
        <v>3731</v>
      </c>
      <c r="F16" s="3255" t="s">
        <v>3771</v>
      </c>
      <c r="G16" s="3254" t="s">
        <v>3783</v>
      </c>
      <c r="H16" s="3254" t="s">
        <v>3764</v>
      </c>
      <c r="I16" s="3254" t="s">
        <v>3784</v>
      </c>
      <c r="J16" s="3254" t="s">
        <v>3768</v>
      </c>
      <c r="K16" s="3260">
        <v>14526</v>
      </c>
      <c r="L16" s="3260">
        <v>849756474</v>
      </c>
      <c r="M16" s="3260">
        <f t="shared" si="1"/>
        <v>58499</v>
      </c>
    </row>
    <row r="17" spans="1:13" ht="14.25">
      <c r="A17" s="3595" t="s">
        <v>3785</v>
      </c>
      <c r="B17" s="3596"/>
      <c r="C17" s="3596"/>
      <c r="D17" s="3596"/>
      <c r="E17" s="3596"/>
      <c r="F17" s="3596"/>
      <c r="G17" s="3596"/>
      <c r="H17" s="3596"/>
      <c r="I17" s="3596"/>
      <c r="J17" s="3596"/>
      <c r="K17" s="3596"/>
      <c r="L17" s="3596"/>
      <c r="M17" s="3597"/>
    </row>
    <row r="18" spans="1:13" ht="14.25">
      <c r="A18" s="3254">
        <v>1</v>
      </c>
      <c r="B18" s="3255" t="s">
        <v>3711</v>
      </c>
      <c r="C18" s="3255" t="s">
        <v>3786</v>
      </c>
      <c r="D18" s="3254" t="s">
        <v>3759</v>
      </c>
      <c r="E18" s="3255" t="s">
        <v>3787</v>
      </c>
      <c r="F18" s="3255" t="s">
        <v>21</v>
      </c>
      <c r="G18" s="3254" t="s">
        <v>3788</v>
      </c>
      <c r="H18" s="3254" t="s">
        <v>3789</v>
      </c>
      <c r="I18" s="3254" t="s">
        <v>3711</v>
      </c>
      <c r="J18" s="3254" t="s">
        <v>3790</v>
      </c>
      <c r="K18" s="3261">
        <v>3312</v>
      </c>
      <c r="L18" s="3262">
        <v>219916800</v>
      </c>
      <c r="M18" s="3263">
        <v>66400</v>
      </c>
    </row>
    <row r="19" spans="1:13" ht="14.25">
      <c r="A19" s="3264">
        <v>2</v>
      </c>
      <c r="B19" s="3255" t="s">
        <v>3791</v>
      </c>
      <c r="C19" s="3255" t="s">
        <v>3792</v>
      </c>
      <c r="D19" s="3254" t="s">
        <v>3759</v>
      </c>
      <c r="E19" s="3255" t="s">
        <v>3793</v>
      </c>
      <c r="F19" s="3255" t="s">
        <v>21</v>
      </c>
      <c r="G19" s="3265" t="s">
        <v>3794</v>
      </c>
      <c r="H19" s="3254" t="s">
        <v>3789</v>
      </c>
      <c r="I19" s="3254" t="s">
        <v>3795</v>
      </c>
      <c r="J19" s="3263" t="s">
        <v>3736</v>
      </c>
      <c r="K19" s="3261">
        <v>33945</v>
      </c>
      <c r="L19" s="3262">
        <f>K19*M19</f>
        <v>1697250000</v>
      </c>
      <c r="M19" s="3263">
        <v>50000</v>
      </c>
    </row>
    <row r="20" spans="1:13" ht="14.25">
      <c r="A20" s="3254">
        <v>3</v>
      </c>
      <c r="B20" s="3255" t="s">
        <v>3796</v>
      </c>
      <c r="C20" s="3255" t="s">
        <v>3797</v>
      </c>
      <c r="D20" s="3254" t="s">
        <v>3759</v>
      </c>
      <c r="E20" s="3255" t="s">
        <v>3793</v>
      </c>
      <c r="F20" s="3255" t="s">
        <v>21</v>
      </c>
      <c r="G20" s="3254" t="s">
        <v>3798</v>
      </c>
      <c r="H20" s="3254" t="s">
        <v>3799</v>
      </c>
      <c r="I20" s="3254" t="s">
        <v>3800</v>
      </c>
      <c r="J20" s="3254" t="s">
        <v>3734</v>
      </c>
      <c r="K20" s="3261">
        <v>45000</v>
      </c>
      <c r="L20" s="3262">
        <f t="shared" ref="L20" si="2">M20*K20</f>
        <v>2115000000</v>
      </c>
      <c r="M20" s="3263">
        <v>47000</v>
      </c>
    </row>
    <row r="21" spans="1:13" ht="14.25">
      <c r="A21" s="3595" t="s">
        <v>3801</v>
      </c>
      <c r="B21" s="3596"/>
      <c r="C21" s="3596"/>
      <c r="D21" s="3596"/>
      <c r="E21" s="3596"/>
      <c r="F21" s="3596"/>
      <c r="G21" s="3596"/>
      <c r="H21" s="3596"/>
      <c r="I21" s="3596"/>
      <c r="J21" s="3596"/>
      <c r="K21" s="3596"/>
      <c r="L21" s="3596"/>
      <c r="M21" s="3597"/>
    </row>
    <row r="22" spans="1:13" ht="14.25">
      <c r="A22" s="3254">
        <v>1</v>
      </c>
      <c r="B22" s="3255" t="s">
        <v>3802</v>
      </c>
      <c r="C22" s="3255" t="s">
        <v>3803</v>
      </c>
      <c r="D22" s="3254" t="s">
        <v>3804</v>
      </c>
      <c r="E22" s="3255" t="s">
        <v>3805</v>
      </c>
      <c r="F22" s="3255" t="s">
        <v>3806</v>
      </c>
      <c r="G22" s="3254" t="s">
        <v>3807</v>
      </c>
      <c r="H22" s="3254" t="s">
        <v>3789</v>
      </c>
      <c r="I22" s="3254" t="s">
        <v>3808</v>
      </c>
      <c r="J22" s="3254" t="s">
        <v>3734</v>
      </c>
      <c r="K22" s="3266">
        <v>52900</v>
      </c>
      <c r="L22" s="3266">
        <v>4854000000</v>
      </c>
      <c r="M22" s="3266">
        <f>L22/K22</f>
        <v>91758.034026465029</v>
      </c>
    </row>
    <row r="23" spans="1:13" ht="28.5">
      <c r="A23" s="3254">
        <v>2</v>
      </c>
      <c r="B23" s="3255" t="s">
        <v>3809</v>
      </c>
      <c r="C23" s="3267" t="s">
        <v>3810</v>
      </c>
      <c r="D23" s="3254" t="s">
        <v>3804</v>
      </c>
      <c r="E23" s="3255" t="s">
        <v>3811</v>
      </c>
      <c r="F23" s="3255" t="s">
        <v>3806</v>
      </c>
      <c r="G23" s="3254" t="s">
        <v>3812</v>
      </c>
      <c r="H23" s="3254" t="s">
        <v>3813</v>
      </c>
      <c r="I23" s="3254" t="s">
        <v>3814</v>
      </c>
      <c r="J23" s="3254" t="s">
        <v>3813</v>
      </c>
      <c r="K23" s="3266">
        <f t="shared" ref="K23" si="3">L23/M23</f>
        <v>16465.422612513721</v>
      </c>
      <c r="L23" s="3266">
        <v>1500000000</v>
      </c>
      <c r="M23" s="3266">
        <v>91100</v>
      </c>
    </row>
    <row r="24" spans="1:13" ht="14.25">
      <c r="A24" s="3254">
        <v>3</v>
      </c>
      <c r="B24" s="3255" t="s">
        <v>3815</v>
      </c>
      <c r="C24" s="3255" t="s">
        <v>3816</v>
      </c>
      <c r="D24" s="3254" t="s">
        <v>3804</v>
      </c>
      <c r="E24" s="3255" t="s">
        <v>3817</v>
      </c>
      <c r="F24" s="3255" t="s">
        <v>3806</v>
      </c>
      <c r="G24" s="3254" t="s">
        <v>3818</v>
      </c>
      <c r="H24" s="3254" t="s">
        <v>3813</v>
      </c>
      <c r="I24" s="3254" t="s">
        <v>3819</v>
      </c>
      <c r="J24" s="3254" t="s">
        <v>3789</v>
      </c>
      <c r="K24" s="3266">
        <v>15958</v>
      </c>
      <c r="L24" s="3266">
        <f>M24*K24</f>
        <v>1376537080</v>
      </c>
      <c r="M24" s="3266">
        <v>86260</v>
      </c>
    </row>
    <row r="25" spans="1:13" ht="14.25">
      <c r="A25" s="3254">
        <v>4</v>
      </c>
      <c r="B25" s="3255" t="s">
        <v>3820</v>
      </c>
      <c r="C25" s="3255" t="s">
        <v>3821</v>
      </c>
      <c r="D25" s="3254" t="s">
        <v>3804</v>
      </c>
      <c r="E25" s="3255" t="s">
        <v>3822</v>
      </c>
      <c r="F25" s="3255" t="s">
        <v>3806</v>
      </c>
      <c r="G25" s="3254" t="s">
        <v>3823</v>
      </c>
      <c r="H25" s="3254" t="s">
        <v>3789</v>
      </c>
      <c r="I25" s="3254" t="s">
        <v>3824</v>
      </c>
      <c r="J25" s="3254" t="s">
        <v>3734</v>
      </c>
      <c r="K25" s="3266">
        <v>24607</v>
      </c>
      <c r="L25" s="3266">
        <f>M25*K25</f>
        <v>2214630000</v>
      </c>
      <c r="M25" s="3266">
        <v>90000</v>
      </c>
    </row>
    <row r="26" spans="1:13" ht="14.25">
      <c r="A26" s="3254">
        <v>5</v>
      </c>
      <c r="B26" s="3255" t="s">
        <v>3825</v>
      </c>
      <c r="C26" s="3255" t="s">
        <v>3821</v>
      </c>
      <c r="D26" s="3254" t="s">
        <v>3804</v>
      </c>
      <c r="E26" s="3255" t="s">
        <v>3822</v>
      </c>
      <c r="F26" s="3255" t="s">
        <v>3806</v>
      </c>
      <c r="G26" s="3254" t="s">
        <v>3826</v>
      </c>
      <c r="H26" s="3254" t="s">
        <v>3789</v>
      </c>
      <c r="I26" s="3254" t="s">
        <v>3824</v>
      </c>
      <c r="J26" s="3254" t="s">
        <v>3734</v>
      </c>
      <c r="K26" s="3266">
        <v>58800</v>
      </c>
      <c r="L26" s="3266">
        <f>M26*K26</f>
        <v>5550014400</v>
      </c>
      <c r="M26" s="3266">
        <v>94388</v>
      </c>
    </row>
    <row r="27" spans="1:13" ht="28.5">
      <c r="A27" s="3254">
        <v>6</v>
      </c>
      <c r="B27" s="3255" t="s">
        <v>3827</v>
      </c>
      <c r="C27" s="3267" t="s">
        <v>3828</v>
      </c>
      <c r="D27" s="3254" t="s">
        <v>3804</v>
      </c>
      <c r="E27" s="3255" t="s">
        <v>3829</v>
      </c>
      <c r="F27" s="3255" t="s">
        <v>3806</v>
      </c>
      <c r="G27" s="3265" t="s">
        <v>3830</v>
      </c>
      <c r="H27" s="3254" t="s">
        <v>3813</v>
      </c>
      <c r="I27" s="3254" t="s">
        <v>3831</v>
      </c>
      <c r="J27" s="3254" t="s">
        <v>3734</v>
      </c>
      <c r="K27" s="3266">
        <v>3587</v>
      </c>
      <c r="L27" s="3266">
        <f>K27*M27</f>
        <v>186524000</v>
      </c>
      <c r="M27" s="3266">
        <v>52000</v>
      </c>
    </row>
    <row r="28" spans="1:13" ht="14.25">
      <c r="A28" s="3254">
        <v>7</v>
      </c>
      <c r="B28" s="3255" t="s">
        <v>3832</v>
      </c>
      <c r="C28" s="3255" t="s">
        <v>3833</v>
      </c>
      <c r="D28" s="3254" t="s">
        <v>3804</v>
      </c>
      <c r="E28" s="3255" t="s">
        <v>3817</v>
      </c>
      <c r="F28" s="3255" t="s">
        <v>3806</v>
      </c>
      <c r="G28" s="3254" t="s">
        <v>3834</v>
      </c>
      <c r="H28" s="3254" t="s">
        <v>3813</v>
      </c>
      <c r="I28" s="3254" t="s">
        <v>3819</v>
      </c>
      <c r="J28" s="3254" t="s">
        <v>3789</v>
      </c>
      <c r="K28" s="3266">
        <v>15958</v>
      </c>
      <c r="L28" s="3266">
        <f t="shared" ref="L28:L30" si="4">K28*M28</f>
        <v>1356430000</v>
      </c>
      <c r="M28" s="3266">
        <v>85000</v>
      </c>
    </row>
    <row r="29" spans="1:13" ht="14.25">
      <c r="A29" s="3254">
        <v>8</v>
      </c>
      <c r="B29" s="3255" t="s">
        <v>3835</v>
      </c>
      <c r="C29" s="3255" t="s">
        <v>3836</v>
      </c>
      <c r="D29" s="3254" t="s">
        <v>3804</v>
      </c>
      <c r="E29" s="3255" t="s">
        <v>3837</v>
      </c>
      <c r="F29" s="3255" t="s">
        <v>3806</v>
      </c>
      <c r="G29" s="3254" t="s">
        <v>3838</v>
      </c>
      <c r="H29" s="3254" t="s">
        <v>3789</v>
      </c>
      <c r="I29" s="3254" t="s">
        <v>3839</v>
      </c>
      <c r="J29" s="3254" t="s">
        <v>3734</v>
      </c>
      <c r="K29" s="3266">
        <v>50600</v>
      </c>
      <c r="L29" s="3266">
        <f>K29*M29</f>
        <v>3859262000</v>
      </c>
      <c r="M29" s="3266">
        <v>76270</v>
      </c>
    </row>
    <row r="30" spans="1:13" ht="14.25">
      <c r="A30" s="3254">
        <v>9</v>
      </c>
      <c r="B30" s="3255" t="s">
        <v>3840</v>
      </c>
      <c r="C30" s="3255" t="s">
        <v>3816</v>
      </c>
      <c r="D30" s="3254" t="s">
        <v>3804</v>
      </c>
      <c r="E30" s="3255" t="s">
        <v>3817</v>
      </c>
      <c r="F30" s="3255" t="s">
        <v>3806</v>
      </c>
      <c r="G30" s="3254" t="s">
        <v>3841</v>
      </c>
      <c r="H30" s="3254" t="s">
        <v>3789</v>
      </c>
      <c r="I30" s="3254" t="s">
        <v>3842</v>
      </c>
      <c r="J30" s="3254" t="s">
        <v>3789</v>
      </c>
      <c r="K30" s="3266">
        <v>24700</v>
      </c>
      <c r="L30" s="3266">
        <f t="shared" si="4"/>
        <v>2148900000</v>
      </c>
      <c r="M30" s="3266">
        <v>87000</v>
      </c>
    </row>
    <row r="31" spans="1:13">
      <c r="A31" s="3268" t="s">
        <v>3843</v>
      </c>
      <c r="B31" s="3269"/>
      <c r="C31" s="3269"/>
      <c r="D31" s="3269"/>
      <c r="E31" s="3269"/>
      <c r="F31" s="3269"/>
      <c r="G31" s="3269"/>
      <c r="H31" s="3269"/>
      <c r="I31" s="3269"/>
      <c r="J31" s="3269"/>
      <c r="K31" s="3269"/>
      <c r="L31" s="3269"/>
      <c r="M31" s="3270"/>
    </row>
    <row r="32" spans="1:13" ht="14.25">
      <c r="A32" s="3254">
        <v>1</v>
      </c>
      <c r="B32" s="3271" t="s">
        <v>3844</v>
      </c>
      <c r="C32" s="3271" t="s">
        <v>3845</v>
      </c>
      <c r="D32" s="3272" t="s">
        <v>3804</v>
      </c>
      <c r="E32" s="3273" t="s">
        <v>3822</v>
      </c>
      <c r="F32" s="3273" t="s">
        <v>3806</v>
      </c>
      <c r="G32" s="3272" t="s">
        <v>3846</v>
      </c>
      <c r="H32" s="3272" t="s">
        <v>3847</v>
      </c>
      <c r="I32" s="3272" t="s">
        <v>3848</v>
      </c>
      <c r="J32" s="3272" t="s">
        <v>3849</v>
      </c>
      <c r="K32" s="3274">
        <f>L32/M32</f>
        <v>26300.100007692898</v>
      </c>
      <c r="L32" s="3266">
        <v>2735000000</v>
      </c>
      <c r="M32" s="3274">
        <v>103992</v>
      </c>
    </row>
    <row r="33" spans="1:13" ht="25.5">
      <c r="A33" s="3254">
        <v>2</v>
      </c>
      <c r="B33" s="3275" t="s">
        <v>3850</v>
      </c>
      <c r="C33" s="3271" t="s">
        <v>3851</v>
      </c>
      <c r="D33" s="3276" t="s">
        <v>3759</v>
      </c>
      <c r="E33" s="3277" t="s">
        <v>3852</v>
      </c>
      <c r="F33" s="3277" t="s">
        <v>21</v>
      </c>
      <c r="G33" s="3278" t="s">
        <v>3853</v>
      </c>
      <c r="H33" s="3276" t="s">
        <v>3854</v>
      </c>
      <c r="I33" s="3278" t="s">
        <v>3753</v>
      </c>
      <c r="J33" s="3276" t="s">
        <v>3768</v>
      </c>
      <c r="K33" s="3279">
        <v>58799</v>
      </c>
      <c r="L33" s="3266">
        <v>5550000000</v>
      </c>
      <c r="M33" s="3279">
        <v>94389</v>
      </c>
    </row>
    <row r="34" spans="1:13" ht="42.75">
      <c r="A34" s="3280">
        <v>3</v>
      </c>
      <c r="B34" s="3281" t="s">
        <v>3971</v>
      </c>
      <c r="C34" s="3286" t="s">
        <v>3988</v>
      </c>
      <c r="D34" s="3282" t="s">
        <v>3759</v>
      </c>
      <c r="E34" s="3281" t="s">
        <v>3855</v>
      </c>
      <c r="F34" s="3281" t="s">
        <v>21</v>
      </c>
      <c r="G34" s="3283" t="s">
        <v>3856</v>
      </c>
      <c r="H34" s="3282" t="s">
        <v>3857</v>
      </c>
      <c r="I34" s="3283" t="s">
        <v>3711</v>
      </c>
      <c r="J34" s="3282" t="s">
        <v>3768</v>
      </c>
      <c r="K34" s="3284">
        <v>10500</v>
      </c>
      <c r="L34" s="3285">
        <v>65000000</v>
      </c>
      <c r="M34" s="3284">
        <v>61905</v>
      </c>
    </row>
    <row r="35" spans="1:13" ht="28.5">
      <c r="A35" s="3280">
        <v>4</v>
      </c>
      <c r="B35" s="3281" t="s">
        <v>3989</v>
      </c>
      <c r="C35" s="3286" t="s">
        <v>3828</v>
      </c>
      <c r="D35" s="3282" t="s">
        <v>3759</v>
      </c>
      <c r="E35" s="3281" t="s">
        <v>3858</v>
      </c>
      <c r="F35" s="3281" t="s">
        <v>21</v>
      </c>
      <c r="G35" s="3283" t="s">
        <v>3859</v>
      </c>
      <c r="H35" s="3282" t="s">
        <v>3773</v>
      </c>
      <c r="I35" s="3283" t="s">
        <v>3860</v>
      </c>
      <c r="J35" s="3282" t="s">
        <v>3768</v>
      </c>
      <c r="K35" s="3284">
        <v>9497</v>
      </c>
      <c r="L35" s="3285">
        <v>487000000</v>
      </c>
      <c r="M35" s="3284">
        <v>51232</v>
      </c>
    </row>
    <row r="36" spans="1:13" ht="25.5">
      <c r="A36" s="3280">
        <v>5</v>
      </c>
      <c r="B36" s="3281" t="s">
        <v>3861</v>
      </c>
      <c r="C36" s="3281" t="s">
        <v>3862</v>
      </c>
      <c r="D36" s="3282" t="s">
        <v>3759</v>
      </c>
      <c r="E36" s="3281" t="s">
        <v>3858</v>
      </c>
      <c r="F36" s="3281" t="s">
        <v>21</v>
      </c>
      <c r="G36" s="3283" t="s">
        <v>3863</v>
      </c>
      <c r="H36" s="3282" t="s">
        <v>3773</v>
      </c>
      <c r="I36" s="3283" t="s">
        <v>3864</v>
      </c>
      <c r="J36" s="3282" t="s">
        <v>3865</v>
      </c>
      <c r="K36" s="3284">
        <v>5384</v>
      </c>
      <c r="L36" s="3285">
        <v>339000000</v>
      </c>
      <c r="M36" s="3284">
        <v>62964</v>
      </c>
    </row>
    <row r="37" spans="1:13" ht="25.5">
      <c r="A37" s="3254">
        <v>6</v>
      </c>
      <c r="B37" s="3277" t="s">
        <v>3713</v>
      </c>
      <c r="C37" s="3277" t="s">
        <v>3862</v>
      </c>
      <c r="D37" s="3276" t="s">
        <v>3759</v>
      </c>
      <c r="E37" s="3277" t="s">
        <v>3858</v>
      </c>
      <c r="F37" s="3277" t="s">
        <v>21</v>
      </c>
      <c r="G37" s="3278" t="s">
        <v>3866</v>
      </c>
      <c r="H37" s="3276" t="s">
        <v>3773</v>
      </c>
      <c r="I37" s="3278" t="s">
        <v>3864</v>
      </c>
      <c r="J37" s="3276" t="s">
        <v>3865</v>
      </c>
      <c r="K37" s="3279">
        <v>8345</v>
      </c>
      <c r="L37" s="3266">
        <v>52500000</v>
      </c>
      <c r="M37" s="3279">
        <v>62912</v>
      </c>
    </row>
    <row r="42" spans="1:13">
      <c r="A42" s="3253" t="s">
        <v>3892</v>
      </c>
    </row>
    <row r="43" spans="1:13">
      <c r="A43" s="3287" t="s">
        <v>3867</v>
      </c>
      <c r="B43" s="3287" t="s">
        <v>3868</v>
      </c>
      <c r="C43" s="3287" t="s">
        <v>3869</v>
      </c>
      <c r="D43" s="3287" t="s">
        <v>3870</v>
      </c>
      <c r="E43" s="3287" t="s">
        <v>3871</v>
      </c>
      <c r="F43" s="3288" t="s">
        <v>3872</v>
      </c>
      <c r="G43" s="3287" t="s">
        <v>3873</v>
      </c>
      <c r="H43" s="3287" t="s">
        <v>3874</v>
      </c>
      <c r="I43" s="3287" t="s">
        <v>3875</v>
      </c>
      <c r="J43" s="3287" t="s">
        <v>3876</v>
      </c>
      <c r="K43" s="3288" t="s">
        <v>3877</v>
      </c>
      <c r="L43" s="3288" t="s">
        <v>3878</v>
      </c>
      <c r="M43" s="3287" t="s">
        <v>3879</v>
      </c>
    </row>
    <row r="44" spans="1:13" s="3688" customFormat="1">
      <c r="A44" s="3689">
        <v>9</v>
      </c>
      <c r="B44" s="3689" t="s">
        <v>4017</v>
      </c>
      <c r="C44" s="3689" t="s">
        <v>3880</v>
      </c>
      <c r="D44" s="3689" t="s">
        <v>3881</v>
      </c>
      <c r="E44" s="3689" t="s">
        <v>21</v>
      </c>
      <c r="F44" s="3691">
        <v>6772</v>
      </c>
      <c r="G44" s="3689" t="s">
        <v>3882</v>
      </c>
      <c r="H44" s="3689">
        <v>2022</v>
      </c>
      <c r="I44" s="3689" t="s">
        <v>3883</v>
      </c>
      <c r="J44" s="3689" t="s">
        <v>3884</v>
      </c>
      <c r="K44" s="3691">
        <v>203</v>
      </c>
      <c r="L44" s="3691">
        <v>29976</v>
      </c>
      <c r="M44" s="3689" t="s">
        <v>3885</v>
      </c>
    </row>
    <row r="45" spans="1:13">
      <c r="A45" s="3287">
        <v>31</v>
      </c>
      <c r="B45" s="3287" t="s">
        <v>3886</v>
      </c>
      <c r="C45" s="3287" t="s">
        <v>3880</v>
      </c>
      <c r="D45" s="3287" t="s">
        <v>3881</v>
      </c>
      <c r="E45" s="3287" t="s">
        <v>3887</v>
      </c>
      <c r="F45" s="3288">
        <v>41866</v>
      </c>
      <c r="G45" s="3287" t="s">
        <v>3888</v>
      </c>
      <c r="H45" s="3287">
        <v>2022</v>
      </c>
      <c r="I45" s="3287" t="s">
        <v>3889</v>
      </c>
      <c r="J45" s="3287" t="s">
        <v>3890</v>
      </c>
      <c r="K45" s="3288">
        <v>1350</v>
      </c>
      <c r="L45" s="3288">
        <v>32000</v>
      </c>
      <c r="M45" s="3287" t="s">
        <v>3891</v>
      </c>
    </row>
    <row r="46" spans="1:13">
      <c r="A46" s="3287">
        <v>56</v>
      </c>
      <c r="B46" s="3287" t="s">
        <v>3893</v>
      </c>
      <c r="C46" s="3287" t="s">
        <v>3894</v>
      </c>
      <c r="D46" s="3287" t="s">
        <v>3895</v>
      </c>
      <c r="E46" s="3287" t="s">
        <v>3896</v>
      </c>
      <c r="F46" s="3288">
        <v>11427</v>
      </c>
      <c r="G46" s="3287" t="s">
        <v>3897</v>
      </c>
      <c r="H46" s="3287">
        <v>2022</v>
      </c>
      <c r="I46" s="3287" t="s">
        <v>3898</v>
      </c>
      <c r="J46" s="3287" t="s">
        <v>3899</v>
      </c>
      <c r="K46" s="3288">
        <v>253</v>
      </c>
      <c r="L46" s="3288">
        <v>22141</v>
      </c>
      <c r="M46" s="3287" t="s">
        <v>3900</v>
      </c>
    </row>
    <row r="50" spans="1:22">
      <c r="A50" s="3253" t="s">
        <v>3974</v>
      </c>
    </row>
    <row r="51" spans="1:22">
      <c r="A51" s="3287" t="s">
        <v>2647</v>
      </c>
      <c r="B51" s="3287" t="s">
        <v>3868</v>
      </c>
      <c r="C51" s="3287" t="s">
        <v>3869</v>
      </c>
      <c r="D51" s="3287" t="s">
        <v>3870</v>
      </c>
      <c r="E51" s="3287" t="s">
        <v>3871</v>
      </c>
      <c r="F51" s="3287" t="s">
        <v>3978</v>
      </c>
      <c r="G51" s="3287" t="s">
        <v>3979</v>
      </c>
      <c r="H51" s="3287" t="s">
        <v>2331</v>
      </c>
      <c r="I51" s="3287" t="s">
        <v>3981</v>
      </c>
      <c r="J51" s="3253" t="s">
        <v>3982</v>
      </c>
      <c r="K51" s="3253" t="s">
        <v>3983</v>
      </c>
    </row>
    <row r="52" spans="1:22" s="3688" customFormat="1">
      <c r="B52" s="3688" t="s">
        <v>3975</v>
      </c>
      <c r="C52" s="3689" t="s">
        <v>3880</v>
      </c>
      <c r="D52" s="3688" t="s">
        <v>3976</v>
      </c>
      <c r="E52" s="3688" t="s">
        <v>3977</v>
      </c>
      <c r="F52" s="3690">
        <v>45006</v>
      </c>
      <c r="G52" s="3688" t="s">
        <v>3980</v>
      </c>
      <c r="H52" s="3688">
        <v>5098.57</v>
      </c>
      <c r="I52" s="3688">
        <v>16000</v>
      </c>
      <c r="J52" s="3688">
        <f>ROUND(I52*10000/H52,0)</f>
        <v>31381</v>
      </c>
      <c r="K52" s="3688" t="s">
        <v>3984</v>
      </c>
    </row>
    <row r="53" spans="1:22">
      <c r="B53" s="3253" t="s">
        <v>3985</v>
      </c>
      <c r="C53" s="3287" t="s">
        <v>3880</v>
      </c>
      <c r="D53" s="3253" t="s">
        <v>3986</v>
      </c>
      <c r="E53" s="3253" t="s">
        <v>3977</v>
      </c>
      <c r="F53" s="3305">
        <v>44931</v>
      </c>
      <c r="G53" s="3253" t="s">
        <v>3980</v>
      </c>
      <c r="H53" s="3253">
        <v>20000</v>
      </c>
      <c r="I53" s="3253">
        <v>40000</v>
      </c>
      <c r="J53" s="3253">
        <f>ROUND(I53*10000/H53,0)</f>
        <v>20000</v>
      </c>
      <c r="K53" s="3253" t="s">
        <v>3987</v>
      </c>
    </row>
    <row r="54" spans="1:22">
      <c r="C54" s="3313"/>
      <c r="F54" s="3305"/>
    </row>
    <row r="55" spans="1:22">
      <c r="C55" s="3313"/>
      <c r="F55" s="3305"/>
    </row>
    <row r="56" spans="1:22">
      <c r="C56" s="3313"/>
      <c r="F56" s="3305"/>
    </row>
    <row r="57" spans="1:22">
      <c r="C57" s="3313"/>
      <c r="F57" s="3305"/>
    </row>
    <row r="58" spans="1:22">
      <c r="C58" s="3313"/>
      <c r="F58" s="3305"/>
    </row>
    <row r="59" spans="1:22">
      <c r="C59" s="3313"/>
      <c r="F59" s="3305"/>
    </row>
    <row r="60" spans="1:22">
      <c r="C60" s="3313"/>
      <c r="F60" s="3305"/>
    </row>
    <row r="61" spans="1:22">
      <c r="C61" s="3313"/>
      <c r="F61" s="3305"/>
    </row>
    <row r="62" spans="1:22">
      <c r="C62" s="3313"/>
      <c r="F62" s="3305"/>
    </row>
    <row r="63" spans="1:22">
      <c r="C63" s="3313"/>
      <c r="F63" s="3305"/>
    </row>
    <row r="64" spans="1:22">
      <c r="C64" s="3313"/>
      <c r="F64" s="3305"/>
      <c r="U64" s="3253">
        <v>26711</v>
      </c>
      <c r="V64" s="3253" t="s">
        <v>4010</v>
      </c>
    </row>
    <row r="68" spans="1:21">
      <c r="A68" s="3306" t="s">
        <v>2647</v>
      </c>
      <c r="B68" s="3306" t="s">
        <v>3868</v>
      </c>
      <c r="C68" s="3306" t="s">
        <v>3869</v>
      </c>
      <c r="D68" s="3306" t="s">
        <v>3870</v>
      </c>
      <c r="E68" s="3306" t="s">
        <v>3871</v>
      </c>
      <c r="F68" s="3307" t="s">
        <v>3872</v>
      </c>
      <c r="G68" s="3306" t="s">
        <v>3873</v>
      </c>
      <c r="H68" s="3306" t="s">
        <v>3874</v>
      </c>
      <c r="I68" s="3306" t="s">
        <v>3875</v>
      </c>
      <c r="J68" s="3306" t="s">
        <v>3876</v>
      </c>
      <c r="K68" s="3307" t="s">
        <v>3877</v>
      </c>
      <c r="L68" s="3307" t="s">
        <v>3878</v>
      </c>
      <c r="M68" s="3306" t="s">
        <v>3879</v>
      </c>
    </row>
    <row r="69" spans="1:21" s="3308" customFormat="1" ht="15" customHeight="1">
      <c r="A69" s="3306">
        <v>24</v>
      </c>
      <c r="B69" s="3306" t="s">
        <v>3990</v>
      </c>
      <c r="C69" s="3306" t="s">
        <v>3880</v>
      </c>
      <c r="D69" s="3306" t="s">
        <v>3991</v>
      </c>
      <c r="E69" s="3306" t="s">
        <v>21</v>
      </c>
      <c r="F69" s="3307">
        <v>54200</v>
      </c>
      <c r="G69" s="3306" t="s">
        <v>3992</v>
      </c>
      <c r="H69" s="3306">
        <v>2022</v>
      </c>
      <c r="I69" s="3306" t="s">
        <v>3993</v>
      </c>
      <c r="J69" s="3306" t="s">
        <v>3994</v>
      </c>
      <c r="K69" s="3307">
        <v>3057</v>
      </c>
      <c r="L69" s="3307">
        <v>56403</v>
      </c>
      <c r="M69" s="3306" t="s">
        <v>3891</v>
      </c>
      <c r="N69" s="3308">
        <f>K69*100/F69</f>
        <v>5.6402214022140225</v>
      </c>
      <c r="O69" s="3309">
        <v>44651</v>
      </c>
      <c r="P69" s="3310" t="s">
        <v>3995</v>
      </c>
    </row>
    <row r="70" spans="1:21" s="3308" customFormat="1" ht="15" customHeight="1">
      <c r="A70" s="3306">
        <v>46</v>
      </c>
      <c r="B70" s="3311" t="s">
        <v>3996</v>
      </c>
      <c r="C70" s="3306" t="s">
        <v>3997</v>
      </c>
      <c r="D70" s="3306" t="s">
        <v>3998</v>
      </c>
      <c r="E70" s="3306" t="s">
        <v>3999</v>
      </c>
      <c r="F70" s="3307">
        <v>57318</v>
      </c>
      <c r="G70" s="3306" t="s">
        <v>4000</v>
      </c>
      <c r="H70" s="3306">
        <v>2022</v>
      </c>
      <c r="I70" s="3306" t="s">
        <v>4001</v>
      </c>
      <c r="J70" s="3306" t="s">
        <v>4002</v>
      </c>
      <c r="K70" s="3307">
        <v>2850</v>
      </c>
      <c r="L70" s="3307">
        <v>50595</v>
      </c>
      <c r="M70" s="3306" t="s">
        <v>4003</v>
      </c>
      <c r="N70" s="3308">
        <f>K70*100/F70</f>
        <v>4.9722600230294152</v>
      </c>
      <c r="O70" s="3309">
        <v>44732</v>
      </c>
      <c r="P70" s="3310" t="s">
        <v>4004</v>
      </c>
    </row>
    <row r="71" spans="1:21" s="3308" customFormat="1" ht="15" customHeight="1">
      <c r="A71" s="3306">
        <v>61</v>
      </c>
      <c r="B71" s="3311" t="s">
        <v>4005</v>
      </c>
      <c r="C71" s="3306" t="s">
        <v>3997</v>
      </c>
      <c r="D71" s="3306" t="s">
        <v>4006</v>
      </c>
      <c r="E71" s="3306" t="s">
        <v>3999</v>
      </c>
      <c r="F71" s="3307">
        <v>145642</v>
      </c>
      <c r="G71" s="3306" t="s">
        <v>4007</v>
      </c>
      <c r="H71" s="3306">
        <v>2022</v>
      </c>
      <c r="I71" s="3311" t="s">
        <v>4011</v>
      </c>
      <c r="J71" s="3306" t="s">
        <v>4008</v>
      </c>
      <c r="K71" s="3307">
        <v>7300</v>
      </c>
      <c r="L71" s="3307">
        <v>50123</v>
      </c>
      <c r="M71" s="3306" t="s">
        <v>4003</v>
      </c>
      <c r="N71" s="3308">
        <f>K71*100/F71</f>
        <v>5.0122904107331676</v>
      </c>
      <c r="O71" s="3309">
        <v>44914</v>
      </c>
      <c r="P71" s="3312" t="s">
        <v>4012</v>
      </c>
    </row>
    <row r="72" spans="1:21" ht="13.5">
      <c r="P72" s="3312"/>
    </row>
    <row r="73" spans="1:21">
      <c r="U73" s="3308" t="s">
        <v>4009</v>
      </c>
    </row>
    <row r="76" spans="1:21" ht="13.5">
      <c r="P76" s="3312" t="s">
        <v>4012</v>
      </c>
    </row>
  </sheetData>
  <mergeCells count="4">
    <mergeCell ref="A2:M2"/>
    <mergeCell ref="A10:M10"/>
    <mergeCell ref="A17:M17"/>
    <mergeCell ref="A21:M21"/>
  </mergeCells>
  <phoneticPr fontId="136" type="noConversion"/>
  <hyperlinks>
    <hyperlink ref="P69" r:id="rId1" xr:uid="{8AB4F9B3-3EC5-4427-A51E-20F3FA208792}"/>
    <hyperlink ref="P70" r:id="rId2" xr:uid="{06120466-AE73-4FCC-8378-5AAC971698C0}"/>
    <hyperlink ref="P76" r:id="rId3" xr:uid="{2926CD2F-B4EC-4CF9-BFB5-4AC393D12112}"/>
    <hyperlink ref="P71" r:id="rId4" xr:uid="{0BECB7F2-76AE-4284-A7F7-852CE4C0D921}"/>
  </hyperlinks>
  <pageMargins left="0.7" right="0.7" top="0.75" bottom="0.75" header="0.3" footer="0.3"/>
  <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sheetPr>
  <dimension ref="A1:AK83"/>
  <sheetViews>
    <sheetView view="pageBreakPreview" topLeftCell="A6" zoomScale="85" zoomScaleNormal="70" zoomScaleSheetLayoutView="85" workbookViewId="0">
      <selection activeCell="K45" sqref="K4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3459</v>
      </c>
      <c r="D1" s="1268" t="s">
        <v>43</v>
      </c>
      <c r="E1" s="1269" t="s">
        <v>678</v>
      </c>
      <c r="F1" s="996">
        <f ca="1">J53</f>
        <v>26.01</v>
      </c>
      <c r="G1" s="1283">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349</v>
      </c>
      <c r="C2" s="1286" t="s">
        <v>805</v>
      </c>
      <c r="D2" s="1286"/>
      <c r="E2" s="1292"/>
      <c r="F2" s="1293"/>
      <c r="G2" s="2476"/>
      <c r="H2" s="2466"/>
      <c r="I2" s="2466"/>
      <c r="J2" s="2466"/>
      <c r="K2" s="2467"/>
      <c r="L2" s="2466"/>
      <c r="M2" s="2466"/>
    </row>
    <row r="3" spans="1:37" ht="18" customHeight="1" thickBot="1">
      <c r="A3" s="1294" t="s">
        <v>806</v>
      </c>
      <c r="B3" s="1295">
        <f ca="1">IF(ISERROR(B2*10000/F43),0,ROUND(B2*10000/F43,0))</f>
        <v>27310</v>
      </c>
      <c r="C3" s="1286" t="s">
        <v>807</v>
      </c>
      <c r="D3" s="1286"/>
      <c r="E3" s="1292"/>
      <c r="F3" s="1293"/>
      <c r="G3" s="2476"/>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27</v>
      </c>
      <c r="D5" s="1270" t="s">
        <v>693</v>
      </c>
      <c r="E5" s="1005"/>
      <c r="F5" s="1006"/>
      <c r="G5" s="1289"/>
      <c r="H5" s="291">
        <v>1</v>
      </c>
      <c r="I5" s="292" t="s">
        <v>692</v>
      </c>
      <c r="J5" s="1004">
        <f ca="1">J6+J10+J12</f>
        <v>0</v>
      </c>
      <c r="K5" s="1270" t="s">
        <v>693</v>
      </c>
      <c r="L5" s="1005"/>
      <c r="M5" s="1006"/>
    </row>
    <row r="6" spans="1:37" ht="18" customHeight="1">
      <c r="A6" s="1003" t="s">
        <v>398</v>
      </c>
      <c r="B6" s="3600" t="s">
        <v>694</v>
      </c>
      <c r="C6" s="1008">
        <f ca="1">ROUND(F6*F8*F7*(1-F9)/10000,0)</f>
        <v>27</v>
      </c>
      <c r="D6" s="147" t="s">
        <v>2109</v>
      </c>
      <c r="E6" s="294" t="s">
        <v>696</v>
      </c>
      <c r="F6" s="295">
        <f ca="1">INDIRECT("'数据-取费表'!u"&amp;$G$1)</f>
        <v>6.5</v>
      </c>
      <c r="G6" s="1289"/>
      <c r="H6" s="1003" t="s">
        <v>398</v>
      </c>
      <c r="I6" s="3600" t="s">
        <v>694</v>
      </c>
      <c r="J6" s="293">
        <f ca="1">ROUND(M6*M8*M7*(1-M9)/10000,0)</f>
        <v>0</v>
      </c>
      <c r="K6" s="147" t="s">
        <v>2108</v>
      </c>
      <c r="L6" s="294" t="s">
        <v>696</v>
      </c>
      <c r="M6" s="295">
        <f ca="1">INDIRECT("'数据-取费表'!z"&amp;$G$1)</f>
        <v>0</v>
      </c>
    </row>
    <row r="7" spans="1:37" ht="18" customHeight="1">
      <c r="A7" s="1007"/>
      <c r="B7" s="3601"/>
      <c r="C7" s="1009"/>
      <c r="D7" s="299"/>
      <c r="E7" s="1010" t="s">
        <v>697</v>
      </c>
      <c r="F7" s="295">
        <f ca="1">IF(INDIRECT("'数据-取费表'!ah"&amp;$G$1)="",INDIRECT("'数据-取费表'!k"&amp;$G$1),INDIRECT("'数据-取费表'!ah"&amp;$G$1))</f>
        <v>127.79</v>
      </c>
      <c r="G7" s="1289"/>
      <c r="H7" s="296"/>
      <c r="I7" s="3601"/>
      <c r="J7" s="298"/>
      <c r="K7" s="299"/>
      <c r="L7" s="294" t="s">
        <v>697</v>
      </c>
      <c r="M7" s="295">
        <f ca="1">F7</f>
        <v>127.79</v>
      </c>
    </row>
    <row r="8" spans="1:37" ht="18" customHeight="1">
      <c r="A8" s="296"/>
      <c r="B8" s="3601"/>
      <c r="C8" s="298"/>
      <c r="D8" s="299"/>
      <c r="E8" s="294" t="s">
        <v>698</v>
      </c>
      <c r="F8" s="295">
        <f ca="1">INDIRECT("'数据-取费表'!ai"&amp;$G$1)</f>
        <v>365</v>
      </c>
      <c r="G8" s="1289"/>
      <c r="H8" s="296"/>
      <c r="I8" s="3601"/>
      <c r="J8" s="298"/>
      <c r="K8" s="299"/>
      <c r="L8" s="294" t="s">
        <v>698</v>
      </c>
      <c r="M8" s="295">
        <f ca="1">INDIRECT("'数据-取费表'!ai"&amp;$G$1)</f>
        <v>365</v>
      </c>
    </row>
    <row r="9" spans="1:37" ht="18" customHeight="1">
      <c r="A9" s="296"/>
      <c r="B9" s="3602"/>
      <c r="C9" s="298"/>
      <c r="D9" s="299"/>
      <c r="E9" s="294" t="s">
        <v>699</v>
      </c>
      <c r="F9" s="304">
        <f ca="1">INDIRECT("'数据-取费表'!w"&amp;$G$1)</f>
        <v>0.1</v>
      </c>
      <c r="G9" s="1289"/>
      <c r="H9" s="296"/>
      <c r="I9" s="360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2117</v>
      </c>
      <c r="E10" s="305" t="s">
        <v>701</v>
      </c>
      <c r="F10" s="1050" t="s">
        <v>3693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66</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51</v>
      </c>
      <c r="D14" s="1254" t="s">
        <v>708</v>
      </c>
      <c r="E14" s="1252"/>
      <c r="F14" s="311"/>
      <c r="G14" s="1289"/>
      <c r="H14" s="925" t="s">
        <v>398</v>
      </c>
      <c r="I14" s="294" t="s">
        <v>709</v>
      </c>
      <c r="J14" s="21">
        <f ca="1">C29</f>
        <v>78</v>
      </c>
      <c r="K14" s="12"/>
      <c r="L14" s="756"/>
      <c r="M14" s="757"/>
    </row>
    <row r="15" spans="1:37" s="1301" customFormat="1" ht="18" customHeight="1" thickBot="1">
      <c r="A15" s="925" t="s">
        <v>399</v>
      </c>
      <c r="B15" s="294" t="s">
        <v>710</v>
      </c>
      <c r="C15" s="21">
        <f ca="1">ROUND(C14*F15,0)</f>
        <v>2</v>
      </c>
      <c r="D15" s="312" t="s">
        <v>711</v>
      </c>
      <c r="E15" s="312" t="s">
        <v>712</v>
      </c>
      <c r="F15" s="313">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v>
      </c>
      <c r="K16" s="1021" t="s">
        <v>715</v>
      </c>
      <c r="L16" s="1022"/>
      <c r="M16" s="1006"/>
    </row>
    <row r="17" spans="1:37" s="1301" customFormat="1" ht="18" customHeight="1">
      <c r="A17" s="925" t="s">
        <v>681</v>
      </c>
      <c r="B17" s="294" t="s">
        <v>716</v>
      </c>
      <c r="C17" s="21">
        <f ca="1">ROUND(F17*(F43+INDIRECT("'数据-取费表'!S"&amp;$G$1))/10000,0)</f>
        <v>3</v>
      </c>
      <c r="D17" s="294" t="s">
        <v>717</v>
      </c>
      <c r="E17" s="294" t="s">
        <v>718</v>
      </c>
      <c r="F17" s="23">
        <f>'数据-取费表'!B35</f>
        <v>200</v>
      </c>
      <c r="G17" s="1300"/>
      <c r="H17" s="925" t="s">
        <v>398</v>
      </c>
      <c r="I17" s="294" t="s">
        <v>719</v>
      </c>
      <c r="J17" s="2137">
        <f ca="1">ROUND(IF(AND(项目基本情况!B11="自然人",项目基本情况!B10="北京市"),J6*M17/(1+'数据-取费表'!C42),J18+J19+J20),2)</f>
        <v>0.02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57</v>
      </c>
      <c r="D19" s="123" t="s">
        <v>726</v>
      </c>
      <c r="E19" s="1266"/>
      <c r="F19" s="23"/>
      <c r="G19" s="1289"/>
      <c r="H19" s="925" t="s">
        <v>399</v>
      </c>
      <c r="I19" s="294" t="s">
        <v>727</v>
      </c>
      <c r="J19" s="21">
        <f ca="1">IF(K19="按租金收入计税",ROUND(J6*M19/(1+'数据-取费表'!C42),2),ROUND(C29*M19*0.7,2))</f>
        <v>0</v>
      </c>
      <c r="K19" s="1275" t="s">
        <v>3343</v>
      </c>
      <c r="L19" s="294" t="s">
        <v>712</v>
      </c>
      <c r="M19" s="314">
        <f>IF(K19="按租金收入计税",'数据-取费表'!B51,'数据-取费表'!B50)</f>
        <v>0.12</v>
      </c>
    </row>
    <row r="20" spans="1:37" s="1301" customFormat="1" ht="18" customHeight="1">
      <c r="A20" s="925" t="s">
        <v>402</v>
      </c>
      <c r="B20" s="294" t="s">
        <v>728</v>
      </c>
      <c r="C20" s="21">
        <f ca="1">ROUND(C19*F20,0)</f>
        <v>1</v>
      </c>
      <c r="D20" s="315" t="s">
        <v>729</v>
      </c>
      <c r="E20" s="294" t="s">
        <v>712</v>
      </c>
      <c r="F20" s="314">
        <f>'数据-取费表'!B37</f>
        <v>1.4999999999999999E-2</v>
      </c>
      <c r="G20" s="1300"/>
      <c r="H20" s="925" t="s">
        <v>680</v>
      </c>
      <c r="I20" s="147" t="s">
        <v>730</v>
      </c>
      <c r="J20" s="22">
        <f ca="1">ROUND(M20*M21/10000,2)</f>
        <v>0.02</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1.4999999999999999E-2</v>
      </c>
      <c r="G21" s="1300"/>
      <c r="H21" s="318"/>
      <c r="I21" s="303"/>
      <c r="J21" s="26"/>
      <c r="K21" s="319"/>
      <c r="L21" s="294" t="s">
        <v>736</v>
      </c>
      <c r="M21" s="295">
        <f ca="1">INDIRECT("'数据-取费表'!r"&amp;$G$1)</f>
        <v>37.340000000000003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1.17</v>
      </c>
      <c r="K22" s="1253" t="s">
        <v>739</v>
      </c>
      <c r="L22" s="294" t="s">
        <v>712</v>
      </c>
      <c r="M22" s="320">
        <f ca="1">INDIRECT("'数据-取费表'!Ak"&amp;$G$1)</f>
        <v>1.4999999999999999E-2</v>
      </c>
    </row>
    <row r="23" spans="1:37" s="1301" customFormat="1" ht="18" customHeight="1">
      <c r="A23" s="925"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4.1499999999999995E-2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v>
      </c>
      <c r="K25" s="1029" t="s">
        <v>753</v>
      </c>
      <c r="L25" s="1030"/>
      <c r="M25" s="1031"/>
    </row>
    <row r="26" spans="1:37">
      <c r="A26" s="925" t="s">
        <v>397</v>
      </c>
      <c r="B26" s="294" t="s">
        <v>754</v>
      </c>
      <c r="C26" s="21">
        <f ca="1">ROUND((C19+C20)*F26,0)</f>
        <v>12</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78</v>
      </c>
      <c r="D29" s="1026"/>
      <c r="E29" s="1024"/>
      <c r="F29" s="1027"/>
      <c r="G29" s="1300"/>
      <c r="H29" s="325" t="s">
        <v>396</v>
      </c>
      <c r="I29" s="326" t="s">
        <v>768</v>
      </c>
      <c r="J29" s="327">
        <f ca="1">ROUND(J26/(1+F40)^F41,0)</f>
        <v>0</v>
      </c>
      <c r="K29" s="328" t="s">
        <v>769</v>
      </c>
      <c r="L29" s="329"/>
      <c r="M29" s="330">
        <f ca="1">INDIRECT("'数据-取费表'!k"&amp;$G$1)</f>
        <v>127.79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6</v>
      </c>
      <c r="D30" s="1021" t="s">
        <v>715</v>
      </c>
      <c r="E30" s="1022"/>
      <c r="F30" s="1006"/>
      <c r="G30" s="1289"/>
      <c r="H30" s="2468"/>
      <c r="I30" s="1302"/>
      <c r="J30" s="1303"/>
      <c r="K30" s="121"/>
      <c r="L30" s="2469"/>
      <c r="M30" s="2470"/>
    </row>
    <row r="31" spans="1:37" ht="18" customHeight="1">
      <c r="A31" s="925" t="s">
        <v>398</v>
      </c>
      <c r="B31" s="294" t="s">
        <v>719</v>
      </c>
      <c r="C31" s="2137">
        <f ca="1">ROUND(IF(AND(项目基本情况!B11="自然人",项目基本情况!B10="北京市"),C6*F31/(1+'数据-取费表'!C42),C32+C33+C34),2)</f>
        <v>4.55</v>
      </c>
      <c r="D31" s="1254" t="s">
        <v>720</v>
      </c>
      <c r="E31" s="1253" t="s">
        <v>770</v>
      </c>
      <c r="F31" s="2136" t="str">
        <f>IF(项目基本情况!B11="企业","——",IF(M47="住宅",IF(F6*F7*F8/12/(1+'数据-取费表'!F30)&gt;100000,4%,2.5%),IF(F6*F7*F8/12/(1+'数据-取费表'!F30)&gt;100000,12%,7%)))</f>
        <v>——</v>
      </c>
      <c r="G31" s="1289"/>
      <c r="H31" s="2567" t="s">
        <v>2310</v>
      </c>
      <c r="I31" s="1302"/>
      <c r="J31" s="1303"/>
      <c r="K31" s="121"/>
      <c r="L31" s="2469"/>
      <c r="M31" s="2470"/>
    </row>
    <row r="32" spans="1:37" ht="18" customHeight="1">
      <c r="A32" s="925" t="s">
        <v>397</v>
      </c>
      <c r="B32" s="294" t="s">
        <v>723</v>
      </c>
      <c r="C32" s="21">
        <f ca="1">IF(项目基本情况!B11="自然人","——",ROUND(C6*F32/(1+'数据-取费表'!C42),2))</f>
        <v>1.44</v>
      </c>
      <c r="D32" s="1253" t="s">
        <v>724</v>
      </c>
      <c r="E32" s="294" t="s">
        <v>712</v>
      </c>
      <c r="F32" s="322">
        <f>'数据-取费表'!B41</f>
        <v>5.6000000000000001E-2</v>
      </c>
      <c r="G32" s="1289"/>
      <c r="H32" s="2468"/>
      <c r="I32" s="1302"/>
      <c r="J32" s="1303"/>
      <c r="K32" s="121"/>
      <c r="L32" s="2469"/>
      <c r="M32" s="2470"/>
    </row>
    <row r="33" spans="1:18" ht="18" customHeight="1">
      <c r="A33" s="925" t="s">
        <v>399</v>
      </c>
      <c r="B33" s="294" t="s">
        <v>727</v>
      </c>
      <c r="C33" s="21">
        <f ca="1">IF(项目基本情况!B11="自然人","——",IF(D33="按租金收入计税",ROUND(C6*F33/(1+'数据-取费表'!C42),2),IF(D33="按房产原值计税",ROUND(C29*F33*0.7,2),INDIRECT("'数据-取费表'!Aj"&amp;$G$1))))</f>
        <v>3.09</v>
      </c>
      <c r="D33" s="1275" t="s">
        <v>3343</v>
      </c>
      <c r="E33" s="294" t="s">
        <v>712</v>
      </c>
      <c r="F33" s="314">
        <f>IF(D33="按票据","——",IF(D33="按租金收入计税",'数据-取费表'!B51,'数据-取费表'!B50))</f>
        <v>0.12</v>
      </c>
      <c r="G33" s="1289"/>
      <c r="H33" s="2471"/>
      <c r="I33" s="1302"/>
      <c r="J33" s="1303"/>
      <c r="K33" s="2472"/>
      <c r="L33" s="2471"/>
      <c r="M33" s="2471"/>
    </row>
    <row r="34" spans="1:18" ht="18" customHeight="1">
      <c r="A34" s="1003" t="s">
        <v>680</v>
      </c>
      <c r="B34" s="147" t="s">
        <v>730</v>
      </c>
      <c r="C34" s="22">
        <f ca="1">IF(项目基本情况!B11="自然人","——",ROUND(F34*F35/10000,2))</f>
        <v>0.02</v>
      </c>
      <c r="D34" s="316" t="s">
        <v>731</v>
      </c>
      <c r="E34" s="294" t="s">
        <v>732</v>
      </c>
      <c r="F34" s="317">
        <f>'数据-取费表'!B52</f>
        <v>6</v>
      </c>
      <c r="G34" s="1289"/>
      <c r="H34" s="2468"/>
      <c r="I34" s="1302"/>
      <c r="J34" s="1303"/>
      <c r="K34" s="2473"/>
      <c r="L34" s="2474"/>
      <c r="M34" s="2474"/>
    </row>
    <row r="35" spans="1:18" ht="18" customHeight="1">
      <c r="A35" s="1037"/>
      <c r="B35" s="1035"/>
      <c r="C35" s="26"/>
      <c r="D35" s="319"/>
      <c r="E35" s="294" t="s">
        <v>736</v>
      </c>
      <c r="F35" s="295">
        <f ca="1">INDIRECT("'数据-取费表'!r"&amp;$G$1)</f>
        <v>37.340000000000003</v>
      </c>
      <c r="G35" s="1289"/>
      <c r="H35" s="2468"/>
      <c r="I35" s="1302"/>
      <c r="J35" s="1303"/>
      <c r="K35" s="2472"/>
      <c r="L35" s="2471"/>
      <c r="M35" s="2471"/>
    </row>
    <row r="36" spans="1:18" ht="18" customHeight="1">
      <c r="A36" s="1036" t="s">
        <v>402</v>
      </c>
      <c r="B36" s="294" t="s">
        <v>738</v>
      </c>
      <c r="C36" s="21">
        <f ca="1">ROUND(C29*F36,2)</f>
        <v>1.17</v>
      </c>
      <c r="D36" s="1253" t="s">
        <v>771</v>
      </c>
      <c r="E36" s="294" t="s">
        <v>712</v>
      </c>
      <c r="F36" s="320">
        <f ca="1">INDIRECT("'数据-取费表'!Ak"&amp;$G$1)</f>
        <v>1.4999999999999999E-2</v>
      </c>
      <c r="G36" s="1289"/>
      <c r="H36" s="2471"/>
      <c r="I36" s="1302"/>
      <c r="J36" s="1303"/>
      <c r="K36" s="2328"/>
      <c r="L36" s="2471"/>
      <c r="M36" s="2471"/>
    </row>
    <row r="37" spans="1:18" ht="18" customHeight="1">
      <c r="A37" s="925" t="s">
        <v>437</v>
      </c>
      <c r="B37" s="294" t="s">
        <v>742</v>
      </c>
      <c r="C37" s="21">
        <f ca="1">ROUND(C13*F37,2)</f>
        <v>0.1</v>
      </c>
      <c r="D37" s="1253" t="s">
        <v>743</v>
      </c>
      <c r="E37" s="294" t="s">
        <v>744</v>
      </c>
      <c r="F37" s="321">
        <f ca="1">INDIRECT("'数据-取费表'!Al"&amp;$G$1)</f>
        <v>1.5E-3</v>
      </c>
      <c r="G37" s="1289"/>
      <c r="H37" s="2471"/>
      <c r="I37" s="1302"/>
      <c r="J37" s="1303"/>
      <c r="K37" s="2328"/>
      <c r="L37" s="2471"/>
      <c r="M37" s="2471"/>
    </row>
    <row r="38" spans="1:18" ht="18" customHeight="1" thickBot="1">
      <c r="A38" s="1023" t="s">
        <v>684</v>
      </c>
      <c r="B38" s="1024" t="s">
        <v>728</v>
      </c>
      <c r="C38" s="1025">
        <f ca="1">ROUND(C5*F38,2)</f>
        <v>0.27</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2">
        <f ca="1">C5-C30</f>
        <v>21</v>
      </c>
      <c r="D39" s="1029" t="s">
        <v>773</v>
      </c>
      <c r="E39" s="1030"/>
      <c r="F39" s="1031"/>
      <c r="G39" s="1289"/>
      <c r="H39" s="2471"/>
      <c r="I39" s="1302"/>
      <c r="J39" s="1303"/>
      <c r="K39" s="2469"/>
      <c r="L39" s="2471"/>
      <c r="M39" s="2471"/>
    </row>
    <row r="40" spans="1:18" ht="18" customHeight="1">
      <c r="A40" s="291" t="s">
        <v>395</v>
      </c>
      <c r="B40" s="292" t="s">
        <v>774</v>
      </c>
      <c r="C40" s="293">
        <f ca="1">ROUND(C39*(1-((1+F42)/(1+F40))^F41)/(F40-F42),0)</f>
        <v>349</v>
      </c>
      <c r="D40" s="316" t="s">
        <v>758</v>
      </c>
      <c r="E40" s="294" t="s">
        <v>759</v>
      </c>
      <c r="F40" s="304">
        <f ca="1">INDIRECT("'数据-取费表'!I"&amp;$G$1)</f>
        <v>0.06</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26.01</v>
      </c>
      <c r="G41" s="1289"/>
      <c r="H41" s="121"/>
      <c r="I41" s="1302"/>
      <c r="J41" s="1303"/>
      <c r="K41" s="2328"/>
      <c r="L41" s="121"/>
      <c r="M41" s="121"/>
    </row>
    <row r="42" spans="1:18" ht="18" customHeight="1">
      <c r="A42" s="300"/>
      <c r="B42" s="301"/>
      <c r="C42" s="302"/>
      <c r="D42" s="319"/>
      <c r="E42" s="294" t="s">
        <v>766</v>
      </c>
      <c r="F42" s="304">
        <f ca="1">INDIRECT("'数据-取费表'!v"&amp;$G$1)</f>
        <v>2.5000000000000001E-2</v>
      </c>
      <c r="G42" s="1289"/>
      <c r="H42" s="121"/>
      <c r="I42" s="1302"/>
      <c r="J42" s="1303"/>
      <c r="K42" s="2328"/>
      <c r="L42" s="121"/>
      <c r="M42" s="121"/>
    </row>
    <row r="43" spans="1:18" ht="18" customHeight="1" thickBot="1">
      <c r="A43" s="325" t="s">
        <v>396</v>
      </c>
      <c r="B43" s="326" t="s">
        <v>776</v>
      </c>
      <c r="C43" s="327">
        <f ca="1">ROUND(C40*10000/F43,0)</f>
        <v>27310</v>
      </c>
      <c r="D43" s="328" t="s">
        <v>777</v>
      </c>
      <c r="E43" s="329" t="s">
        <v>778</v>
      </c>
      <c r="F43" s="330">
        <f ca="1">INDIRECT("'数据-取费表'!k"&amp;$G$1)</f>
        <v>127.79</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808</v>
      </c>
      <c r="P45" s="1363"/>
      <c r="Q45" s="1363"/>
      <c r="R45" s="1363"/>
    </row>
    <row r="46" spans="1:18" s="1289" customFormat="1" ht="13.5" thickBot="1">
      <c r="A46" s="1308" t="s">
        <v>809</v>
      </c>
      <c r="C46" s="1309">
        <f ca="1">C68-C40</f>
        <v>-362</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3694</v>
      </c>
      <c r="K47" s="1320" t="s">
        <v>816</v>
      </c>
      <c r="L47" s="1321">
        <f ca="1">INDIRECT("'数据-取费表'!d"&amp;$G$1)</f>
        <v>40</v>
      </c>
      <c r="M47" s="1285" t="str">
        <f>IF(ISNUMBER(FIND("住宅",C1)),"住宅","非住宅")</f>
        <v>非住宅</v>
      </c>
      <c r="O47" s="1322" t="s">
        <v>403</v>
      </c>
      <c r="P47" s="1323" t="s">
        <v>817</v>
      </c>
      <c r="Q47" s="1324">
        <f ca="1">C40+J29</f>
        <v>349</v>
      </c>
      <c r="R47" s="1324" t="s">
        <v>818</v>
      </c>
    </row>
    <row r="48" spans="1:18" s="1289" customFormat="1" ht="28.5" thickBot="1">
      <c r="A48" s="1044" t="s">
        <v>438</v>
      </c>
      <c r="B48" s="292" t="s">
        <v>692</v>
      </c>
      <c r="C48" s="1265">
        <f ca="1">C49+C53+C55</f>
        <v>0</v>
      </c>
      <c r="D48" s="1046"/>
      <c r="E48" s="1047"/>
      <c r="F48" s="905"/>
      <c r="G48" s="681"/>
      <c r="H48" s="682"/>
      <c r="I48" s="1325" t="s">
        <v>819</v>
      </c>
      <c r="J48" s="1326" t="s">
        <v>3695</v>
      </c>
      <c r="K48" s="1327" t="s">
        <v>820</v>
      </c>
      <c r="L48" s="1328">
        <f ca="1">INDIRECT("'数据-取费表'!f"&amp;$G$1)</f>
        <v>26.01</v>
      </c>
      <c r="O48" s="1322" t="s">
        <v>404</v>
      </c>
      <c r="P48" s="1323" t="s">
        <v>821</v>
      </c>
      <c r="Q48" s="1324" t="str">
        <f ca="1">J60</f>
        <v>0</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2014</v>
      </c>
      <c r="K49" s="1327" t="s">
        <v>824</v>
      </c>
      <c r="L49" s="1330"/>
      <c r="O49" s="1331" t="s">
        <v>405</v>
      </c>
      <c r="P49" s="1323" t="s">
        <v>825</v>
      </c>
      <c r="Q49" s="1324">
        <f ca="1">C29</f>
        <v>78</v>
      </c>
      <c r="R49" s="1324" t="s">
        <v>818</v>
      </c>
    </row>
    <row r="50" spans="1:18" s="1289" customFormat="1" ht="13.5" thickBot="1">
      <c r="A50" s="919"/>
      <c r="B50" s="922"/>
      <c r="C50" s="1052"/>
      <c r="D50" s="896"/>
      <c r="E50" s="990" t="s">
        <v>697</v>
      </c>
      <c r="F50" s="991">
        <f ca="1">F7</f>
        <v>127.79</v>
      </c>
      <c r="H50" s="682"/>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0"/>
      <c r="B51" s="922"/>
      <c r="C51" s="923"/>
      <c r="D51" s="896"/>
      <c r="E51" s="924" t="s">
        <v>698</v>
      </c>
      <c r="F51" s="295">
        <f ca="1">F8</f>
        <v>365</v>
      </c>
      <c r="I51" s="1335" t="s">
        <v>829</v>
      </c>
      <c r="J51" s="1328">
        <f>IF(J49="",J50,J49+J50-YEAR('数据-取费表'!B2))</f>
        <v>51</v>
      </c>
      <c r="K51" s="1336" t="s">
        <v>830</v>
      </c>
      <c r="L51" s="1337">
        <f ca="1">ROUND(-PV(INDIRECT("'数据-取费表'!h"&amp;$G$1),J51,(C39-C13*C76),0),0)</f>
        <v>325</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26.01</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26.01</v>
      </c>
      <c r="K53" s="3598" t="s">
        <v>837</v>
      </c>
      <c r="L53" s="3599"/>
      <c r="O53" s="1322" t="s">
        <v>409</v>
      </c>
      <c r="P53" s="1323" t="s">
        <v>838</v>
      </c>
      <c r="Q53" s="1324">
        <f ca="1">Q47+Q48</f>
        <v>349</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0">
        <v>2</v>
      </c>
      <c r="B56" s="901" t="s">
        <v>704</v>
      </c>
      <c r="C56" s="224">
        <f ca="1">C13</f>
        <v>66</v>
      </c>
      <c r="D56" s="1349"/>
      <c r="E56" s="1350"/>
      <c r="F56" s="1342"/>
      <c r="I56" s="1351" t="s">
        <v>842</v>
      </c>
      <c r="J56" s="1352" t="s">
        <v>3457</v>
      </c>
      <c r="K56" s="1325" t="s">
        <v>843</v>
      </c>
      <c r="L56" s="1328" t="str">
        <f ca="1">IF(L48&lt;J51,"——",L48-J53)</f>
        <v>——</v>
      </c>
      <c r="O56" s="1322" t="s">
        <v>403</v>
      </c>
      <c r="P56" s="1323" t="s">
        <v>817</v>
      </c>
      <c r="Q56" s="1324">
        <f ca="1">C40+J29</f>
        <v>349</v>
      </c>
      <c r="R56" s="1324" t="s">
        <v>818</v>
      </c>
    </row>
    <row r="57" spans="1:18" s="1289" customFormat="1" ht="24.75" thickBot="1">
      <c r="A57" s="1353"/>
      <c r="B57" s="893" t="s">
        <v>767</v>
      </c>
      <c r="C57" s="230">
        <f ca="1">C29</f>
        <v>78</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v>
      </c>
      <c r="D58" s="903" t="s">
        <v>715</v>
      </c>
      <c r="E58" s="904"/>
      <c r="F58" s="905"/>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3343</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0.02</v>
      </c>
      <c r="D62" s="908" t="s">
        <v>786</v>
      </c>
      <c r="E62" s="893" t="s">
        <v>787</v>
      </c>
      <c r="F62" s="317">
        <f t="shared" si="0"/>
        <v>6</v>
      </c>
      <c r="I62" s="1364" t="s">
        <v>858</v>
      </c>
      <c r="J62" s="610" t="s">
        <v>859</v>
      </c>
      <c r="K62" s="610" t="s">
        <v>860</v>
      </c>
      <c r="L62" s="610" t="s">
        <v>861</v>
      </c>
      <c r="M62" s="1365" t="s">
        <v>862</v>
      </c>
      <c r="O62" s="1322" t="s">
        <v>409</v>
      </c>
      <c r="P62" s="1323" t="s">
        <v>863</v>
      </c>
      <c r="Q62" s="1324">
        <f ca="1">Q56+Q57</f>
        <v>349</v>
      </c>
      <c r="R62" s="1324" t="s">
        <v>410</v>
      </c>
    </row>
    <row r="63" spans="1:18" s="1289" customFormat="1" ht="13.5" thickBot="1">
      <c r="A63" s="318"/>
      <c r="B63" s="899"/>
      <c r="C63" s="26"/>
      <c r="D63" s="909"/>
      <c r="E63" s="893" t="s">
        <v>788</v>
      </c>
      <c r="F63" s="295">
        <f t="shared" ca="1" si="0"/>
        <v>37.340000000000003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1.17</v>
      </c>
      <c r="D64" s="907" t="s">
        <v>791</v>
      </c>
      <c r="E64" s="893" t="s">
        <v>783</v>
      </c>
      <c r="F64" s="320">
        <f t="shared" ca="1" si="0"/>
        <v>1.4999999999999999E-2</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0.1</v>
      </c>
      <c r="D65" s="907" t="s">
        <v>743</v>
      </c>
      <c r="E65" s="893" t="s">
        <v>744</v>
      </c>
      <c r="F65" s="321">
        <f t="shared" ca="1" si="0"/>
        <v>1.5E-3</v>
      </c>
      <c r="I65" s="1364" t="s">
        <v>867</v>
      </c>
      <c r="J65" s="610">
        <v>40</v>
      </c>
      <c r="K65" s="610">
        <v>30</v>
      </c>
      <c r="L65" s="610">
        <v>50</v>
      </c>
      <c r="M65" s="1366">
        <v>0.02</v>
      </c>
      <c r="O65" s="1322" t="s">
        <v>403</v>
      </c>
      <c r="P65" s="1323" t="s">
        <v>868</v>
      </c>
      <c r="Q65" s="1324">
        <f ca="1">C40+J29</f>
        <v>349</v>
      </c>
      <c r="R65" s="1324" t="s">
        <v>818</v>
      </c>
    </row>
    <row r="66" spans="1:18" s="1289" customFormat="1" ht="16.5"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16.5" thickBot="1">
      <c r="A67" s="900" t="s">
        <v>394</v>
      </c>
      <c r="B67" s="910" t="s">
        <v>752</v>
      </c>
      <c r="C67" s="308">
        <f ca="1">C48-C58</f>
        <v>-1</v>
      </c>
      <c r="D67" s="906" t="s">
        <v>753</v>
      </c>
      <c r="E67" s="911"/>
      <c r="F67" s="912"/>
      <c r="O67" s="1331" t="s">
        <v>405</v>
      </c>
      <c r="P67" s="1323" t="s">
        <v>850</v>
      </c>
      <c r="Q67" s="1367">
        <f ca="1">L51</f>
        <v>325</v>
      </c>
      <c r="R67" s="1324" t="s">
        <v>870</v>
      </c>
    </row>
    <row r="68" spans="1:18" s="1289" customFormat="1" ht="16.5" thickBot="1">
      <c r="A68" s="890" t="s">
        <v>395</v>
      </c>
      <c r="B68" s="891" t="s">
        <v>774</v>
      </c>
      <c r="C68" s="293">
        <f ca="1">ROUND(C67*(1-((1+F70)/(1+F68))^F69)/(F68-F70),0)</f>
        <v>-13</v>
      </c>
      <c r="D68" s="908" t="s">
        <v>758</v>
      </c>
      <c r="E68" s="893" t="s">
        <v>759</v>
      </c>
      <c r="F68" s="304">
        <f ca="1">F40</f>
        <v>0.06</v>
      </c>
      <c r="O68" s="1331" t="s">
        <v>406</v>
      </c>
      <c r="P68" s="1368" t="s">
        <v>871</v>
      </c>
      <c r="Q68" s="1324">
        <f ca="1">ROUND(Q69-Q70*Q71,0)</f>
        <v>16</v>
      </c>
      <c r="R68" s="1324" t="s">
        <v>414</v>
      </c>
    </row>
    <row r="69" spans="1:18" s="1289" customFormat="1" ht="13.5" thickBot="1">
      <c r="A69" s="894"/>
      <c r="B69" s="895"/>
      <c r="C69" s="298"/>
      <c r="D69" s="913" t="s">
        <v>762</v>
      </c>
      <c r="E69" s="893" t="s">
        <v>763</v>
      </c>
      <c r="F69" s="324">
        <f ca="1">F41</f>
        <v>26.01</v>
      </c>
      <c r="O69" s="1331" t="s">
        <v>411</v>
      </c>
      <c r="P69" s="1368" t="s">
        <v>872</v>
      </c>
      <c r="Q69" s="1324">
        <f ca="1">C39</f>
        <v>21</v>
      </c>
      <c r="R69" s="1324" t="s">
        <v>818</v>
      </c>
    </row>
    <row r="70" spans="1:18" s="1289" customFormat="1" ht="13.5" thickBot="1">
      <c r="A70" s="897"/>
      <c r="B70" s="898"/>
      <c r="C70" s="302"/>
      <c r="D70" s="909"/>
      <c r="E70" s="893" t="s">
        <v>766</v>
      </c>
      <c r="F70" s="988"/>
      <c r="O70" s="1331" t="s">
        <v>412</v>
      </c>
      <c r="P70" s="1368" t="s">
        <v>873</v>
      </c>
      <c r="Q70" s="1324">
        <f ca="1">C13</f>
        <v>66</v>
      </c>
      <c r="R70" s="1324" t="s">
        <v>818</v>
      </c>
    </row>
    <row r="71" spans="1:18" s="1289" customFormat="1" ht="13.5" thickBot="1">
      <c r="A71" s="914" t="s">
        <v>396</v>
      </c>
      <c r="B71" s="915" t="s">
        <v>776</v>
      </c>
      <c r="C71" s="327">
        <f ca="1">ROUND(C68*10000/F71,0)</f>
        <v>-1017</v>
      </c>
      <c r="D71" s="916" t="s">
        <v>777</v>
      </c>
      <c r="E71" s="917" t="s">
        <v>778</v>
      </c>
      <c r="F71" s="330">
        <f ca="1">F43</f>
        <v>127.79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5</v>
      </c>
      <c r="D75" s="1289"/>
      <c r="E75" s="1289"/>
      <c r="F75" s="1289"/>
      <c r="K75" s="1306"/>
      <c r="L75" s="1289"/>
      <c r="O75" s="1322" t="s">
        <v>409</v>
      </c>
      <c r="P75" s="1323" t="s">
        <v>838</v>
      </c>
      <c r="Q75" s="1324">
        <f ca="1">Q65+Q66</f>
        <v>349</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0.76200000000000001</v>
      </c>
    </row>
    <row r="80" spans="1:18">
      <c r="B80" s="331" t="s">
        <v>800</v>
      </c>
      <c r="C80" s="266">
        <f ca="1">ROUND(C75/C39,3)</f>
        <v>0.23799999999999999</v>
      </c>
    </row>
    <row r="81" spans="2:3">
      <c r="B81" s="262" t="s">
        <v>801</v>
      </c>
      <c r="C81" s="230"/>
    </row>
    <row r="82" spans="2:3">
      <c r="B82" s="265" t="s">
        <v>802</v>
      </c>
      <c r="C82" s="267">
        <f ca="1">1-C83</f>
        <v>0.81099999999999994</v>
      </c>
    </row>
    <row r="83" spans="2:3">
      <c r="B83" s="265" t="s">
        <v>803</v>
      </c>
      <c r="C83" s="266">
        <f ca="1">ROUND(C13/C40,3)</f>
        <v>0.189</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2000-000000000000}">
      <formula1>"按租金收入计税,按房产原值计税"</formula1>
    </dataValidation>
    <dataValidation type="list" allowBlank="1" showInputMessage="1" showErrorMessage="1" sqref="D33 D61" xr:uid="{00000000-0002-0000-2000-000001000000}">
      <formula1>"按租金收入计税,按房产原值计税,按票据"</formula1>
    </dataValidation>
    <dataValidation type="list" allowBlank="1" showInputMessage="1" showErrorMessage="1" sqref="C1" xr:uid="{00000000-0002-0000-2000-000002000000}">
      <formula1>项目类型</formula1>
    </dataValidation>
    <dataValidation type="list" allowBlank="1" showInputMessage="1" showErrorMessage="1" sqref="J47" xr:uid="{00000000-0002-0000-2000-000003000000}">
      <formula1>"钢,钢混,砖混"</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56" xr:uid="{00000000-0002-0000-2000-000005000000}">
      <formula1>估价范围判定</formula1>
    </dataValidation>
    <dataValidation type="list" allowBlank="1" showInputMessage="1" showErrorMessage="1" sqref="L55" xr:uid="{00000000-0002-0000-2000-000006000000}">
      <formula1>"比较法,基准地价,收益还原"</formula1>
    </dataValidation>
    <dataValidation type="list" allowBlank="1" showInputMessage="1" showErrorMessage="1" sqref="M10 F10 F53"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20"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600" t="s">
        <v>694</v>
      </c>
      <c r="C6" s="1008">
        <f ca="1">ROUND(F6*F8*F7*(1-F9),0)</f>
        <v>0</v>
      </c>
      <c r="D6" s="147" t="s">
        <v>2106</v>
      </c>
      <c r="E6" s="294" t="s">
        <v>696</v>
      </c>
      <c r="F6" s="295">
        <f ca="1">INDIRECT("'数据-取费表'!u"&amp;$G$1)</f>
        <v>0</v>
      </c>
      <c r="G6" s="1289"/>
      <c r="H6" s="1003" t="s">
        <v>398</v>
      </c>
      <c r="I6" s="3600" t="s">
        <v>694</v>
      </c>
      <c r="J6" s="293">
        <f ca="1">ROUND(M6*M8*M7*(1-M9),0)</f>
        <v>0</v>
      </c>
      <c r="K6" s="1281" t="s">
        <v>2107</v>
      </c>
      <c r="L6" s="294" t="s">
        <v>696</v>
      </c>
      <c r="M6" s="295">
        <f ca="1">INDIRECT("'数据-取费表'!z"&amp;$G$1)</f>
        <v>0</v>
      </c>
    </row>
    <row r="7" spans="1:37" ht="18" customHeight="1">
      <c r="A7" s="1007"/>
      <c r="B7" s="3601"/>
      <c r="C7" s="1009"/>
      <c r="D7" s="299"/>
      <c r="E7" s="1010" t="s">
        <v>697</v>
      </c>
      <c r="F7" s="295">
        <f ca="1">IF(INDIRECT("'数据-取费表'!ah"&amp;$G$1)="",INDIRECT("'数据-取费表'!k"&amp;$G$1),INDIRECT("'数据-取费表'!ah"&amp;$G$1))</f>
        <v>0</v>
      </c>
      <c r="G7" s="1289"/>
      <c r="H7" s="296"/>
      <c r="I7" s="3601"/>
      <c r="J7" s="298"/>
      <c r="K7" s="299"/>
      <c r="L7" s="294" t="s">
        <v>697</v>
      </c>
      <c r="M7" s="295">
        <f ca="1">F7</f>
        <v>0</v>
      </c>
    </row>
    <row r="8" spans="1:37" ht="18" customHeight="1">
      <c r="A8" s="296"/>
      <c r="B8" s="3601"/>
      <c r="C8" s="298"/>
      <c r="D8" s="299"/>
      <c r="E8" s="294" t="s">
        <v>698</v>
      </c>
      <c r="F8" s="295">
        <f ca="1">INDIRECT("'数据-取费表'!ai"&amp;$G$1)</f>
        <v>0</v>
      </c>
      <c r="G8" s="1289"/>
      <c r="H8" s="296"/>
      <c r="I8" s="3601"/>
      <c r="J8" s="298"/>
      <c r="K8" s="299"/>
      <c r="L8" s="294" t="s">
        <v>698</v>
      </c>
      <c r="M8" s="295">
        <f ca="1">INDIRECT("'数据-取费表'!ai"&amp;$G$1)</f>
        <v>0</v>
      </c>
    </row>
    <row r="9" spans="1:37" ht="18" customHeight="1">
      <c r="A9" s="296"/>
      <c r="B9" s="3602"/>
      <c r="C9" s="298"/>
      <c r="D9" s="299"/>
      <c r="E9" s="294" t="s">
        <v>699</v>
      </c>
      <c r="F9" s="304">
        <f ca="1">INDIRECT("'数据-取费表'!w"&amp;$G$1)</f>
        <v>0</v>
      </c>
      <c r="G9" s="1289"/>
      <c r="H9" s="296"/>
      <c r="I9" s="360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1.4999999999999999E-2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3343</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1.4999999999999999E-2</v>
      </c>
      <c r="G20" s="1300"/>
      <c r="H20" s="925" t="s">
        <v>680</v>
      </c>
      <c r="I20" s="147" t="s">
        <v>730</v>
      </c>
      <c r="J20" s="22">
        <f ca="1">ROUND(M20*M21,0)</f>
        <v>0</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4.1499999999999995E-2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8"/>
      <c r="I30" s="1302"/>
      <c r="J30" s="1303"/>
      <c r="K30" s="121"/>
      <c r="L30" s="2469"/>
      <c r="M30" s="2470"/>
    </row>
    <row r="31" spans="1:37" ht="18" customHeight="1">
      <c r="A31" s="925"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2310</v>
      </c>
      <c r="I31" s="1302"/>
      <c r="J31" s="1303"/>
      <c r="K31" s="121"/>
      <c r="L31" s="2469"/>
      <c r="M31" s="2470"/>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8"/>
      <c r="I32" s="1302"/>
      <c r="J32" s="1303"/>
      <c r="K32" s="121"/>
      <c r="L32" s="2469"/>
      <c r="M32" s="2470"/>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3343</v>
      </c>
      <c r="E33" s="294" t="s">
        <v>712</v>
      </c>
      <c r="F33" s="314">
        <f>IF(D33="按票据","——",IF(D33="按租金收入计税",'数据-取费表'!B51,'数据-取费表'!B50))</f>
        <v>0.12</v>
      </c>
      <c r="G33" s="1289"/>
      <c r="H33" s="2471"/>
      <c r="I33" s="1302"/>
      <c r="J33" s="1303"/>
      <c r="K33" s="2472"/>
      <c r="L33" s="2471"/>
      <c r="M33" s="2471"/>
    </row>
    <row r="34" spans="1:18" ht="18" customHeight="1">
      <c r="A34" s="1003" t="s">
        <v>680</v>
      </c>
      <c r="B34" s="147" t="s">
        <v>730</v>
      </c>
      <c r="C34" s="22">
        <f ca="1">IF(项目基本情况!B11="自然人","——",ROUND(F34*F35,0))</f>
        <v>0</v>
      </c>
      <c r="D34" s="316" t="s">
        <v>731</v>
      </c>
      <c r="E34" s="294" t="s">
        <v>732</v>
      </c>
      <c r="F34" s="317">
        <f>'数据-取费表'!B52</f>
        <v>6</v>
      </c>
      <c r="G34" s="1289"/>
      <c r="H34" s="2468"/>
      <c r="I34" s="1302"/>
      <c r="J34" s="1303"/>
      <c r="K34" s="2473"/>
      <c r="L34" s="2474"/>
      <c r="M34" s="2474"/>
    </row>
    <row r="35" spans="1:18" ht="18" customHeight="1">
      <c r="A35" s="1037"/>
      <c r="B35" s="1035"/>
      <c r="C35" s="26"/>
      <c r="D35" s="319"/>
      <c r="E35" s="294" t="s">
        <v>736</v>
      </c>
      <c r="F35" s="295">
        <f ca="1">INDIRECT("'数据-取费表'!r"&amp;$G$1)</f>
        <v>0</v>
      </c>
      <c r="G35" s="1289"/>
      <c r="H35" s="2468"/>
      <c r="I35" s="1302"/>
      <c r="J35" s="1303"/>
      <c r="K35" s="2472"/>
      <c r="L35" s="2471"/>
      <c r="M35" s="2471"/>
    </row>
    <row r="36" spans="1:18" ht="18" customHeight="1">
      <c r="A36" s="1036" t="s">
        <v>402</v>
      </c>
      <c r="B36" s="294" t="s">
        <v>738</v>
      </c>
      <c r="C36" s="21">
        <f ca="1">ROUND(C29*F36,0)</f>
        <v>0</v>
      </c>
      <c r="D36" s="1253" t="s">
        <v>771</v>
      </c>
      <c r="E36" s="294" t="s">
        <v>712</v>
      </c>
      <c r="F36" s="320">
        <f ca="1">INDIRECT("'数据-取费表'!Ak"&amp;$G$1)</f>
        <v>0</v>
      </c>
      <c r="G36" s="1289"/>
      <c r="H36" s="2471"/>
      <c r="I36" s="1302"/>
      <c r="J36" s="1303"/>
      <c r="K36" s="2328"/>
      <c r="L36" s="2471"/>
      <c r="M36" s="2471"/>
    </row>
    <row r="37" spans="1:18" ht="18" customHeight="1">
      <c r="A37" s="925" t="s">
        <v>437</v>
      </c>
      <c r="B37" s="294" t="s">
        <v>742</v>
      </c>
      <c r="C37" s="21">
        <f ca="1">ROUND(C13*F37,0)</f>
        <v>0</v>
      </c>
      <c r="D37" s="1253" t="s">
        <v>743</v>
      </c>
      <c r="E37" s="294" t="s">
        <v>744</v>
      </c>
      <c r="F37" s="321">
        <f ca="1">INDIRECT("'数据-取费表'!Al"&amp;$G$1)</f>
        <v>0</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v>
      </c>
      <c r="G38" s="1289"/>
      <c r="H38" s="2471"/>
      <c r="I38" s="1302"/>
      <c r="J38" s="1303"/>
      <c r="K38" s="2469"/>
      <c r="L38" s="2471"/>
      <c r="M38" s="2471"/>
    </row>
    <row r="39" spans="1:18" ht="24.6" customHeight="1" thickTop="1">
      <c r="A39" s="1013" t="s">
        <v>394</v>
      </c>
      <c r="B39" s="1028" t="s">
        <v>772</v>
      </c>
      <c r="C39" s="302">
        <f ca="1">C5-C30</f>
        <v>0</v>
      </c>
      <c r="D39" s="1029" t="s">
        <v>773</v>
      </c>
      <c r="E39" s="1030"/>
      <c r="F39" s="1031"/>
      <c r="G39" s="1289"/>
      <c r="H39" s="2471"/>
      <c r="I39" s="1302"/>
      <c r="J39" s="1303"/>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8"/>
      <c r="L41" s="121"/>
      <c r="M41" s="121"/>
    </row>
    <row r="42" spans="1:18" ht="18" customHeight="1">
      <c r="A42" s="300"/>
      <c r="B42" s="301"/>
      <c r="C42" s="302"/>
      <c r="D42" s="319"/>
      <c r="E42" s="294" t="s">
        <v>766</v>
      </c>
      <c r="F42" s="304">
        <f ca="1">INDIRECT("'数据-取费表'!v"&amp;$G$1)</f>
        <v>0</v>
      </c>
      <c r="G42" s="1289"/>
      <c r="H42" s="121"/>
      <c r="I42" s="1302"/>
      <c r="J42" s="1303"/>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6" t="s">
        <v>3359</v>
      </c>
      <c r="B45" s="1304"/>
      <c r="C45" s="1373" t="e">
        <f ca="1">ROUND((C68-C40)/10000,4)</f>
        <v>#DIV/0!</v>
      </c>
      <c r="D45" s="3127" t="s">
        <v>3360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f ca="1">IF(M47="住宅",IF(D1="——",MAX(J51,L48),MAX(J51,L48-'数据-取费表'!B24)),IF(D1="——",MIN(J51,L48),MIN(J51,L48-'数据-取费表'!B24)))</f>
        <v>0</v>
      </c>
      <c r="K53" s="3598" t="s">
        <v>837</v>
      </c>
      <c r="L53" s="3599"/>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3343</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6</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估价范围判定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0" t="s">
        <v>2318</v>
      </c>
      <c r="B2" s="2592" t="e">
        <f>IF(D2="——",C40,C40+E2)</f>
        <v>#DIV/0!</v>
      </c>
      <c r="C2" s="2593" t="s">
        <v>2319</v>
      </c>
      <c r="D2" s="3135" t="s">
        <v>3366</v>
      </c>
      <c r="E2" s="3136"/>
      <c r="F2" s="2595"/>
      <c r="G2" s="2596"/>
      <c r="H2" s="2597"/>
      <c r="I2" s="2598"/>
      <c r="J2" s="3603" t="s">
        <v>2320</v>
      </c>
      <c r="K2" s="3604"/>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605" t="s">
        <v>2330</v>
      </c>
      <c r="K3" s="3606"/>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605" t="s">
        <v>2332</v>
      </c>
      <c r="K4" s="3606"/>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607" t="s">
        <v>2336</v>
      </c>
      <c r="B6" s="3608"/>
      <c r="C6" s="3609"/>
      <c r="D6" s="2619"/>
      <c r="E6" s="2620"/>
      <c r="F6" s="2621"/>
      <c r="G6" s="2622"/>
      <c r="H6" s="2597"/>
      <c r="I6" s="2598"/>
      <c r="J6" s="3610">
        <v>1</v>
      </c>
      <c r="K6" s="3611"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610"/>
      <c r="K7" s="3612"/>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614" t="s">
        <v>2350</v>
      </c>
      <c r="C8" s="3615"/>
      <c r="D8" s="2638" t="s">
        <v>2351</v>
      </c>
      <c r="E8" s="2639" t="s">
        <v>2352</v>
      </c>
      <c r="F8" s="2640" t="s">
        <v>2353</v>
      </c>
      <c r="G8" s="2641"/>
      <c r="H8" s="2597"/>
      <c r="I8" s="2598"/>
      <c r="J8" s="3610"/>
      <c r="K8" s="3612"/>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614" t="s">
        <v>2356</v>
      </c>
      <c r="C9" s="3615"/>
      <c r="D9" s="2638">
        <f>ROUND(D6*E9,0)</f>
        <v>0</v>
      </c>
      <c r="E9" s="2642"/>
      <c r="F9" s="2643" t="s">
        <v>2357</v>
      </c>
      <c r="G9" s="2622"/>
      <c r="H9" s="2597"/>
      <c r="I9" s="2598"/>
      <c r="J9" s="3610"/>
      <c r="K9" s="3612"/>
      <c r="L9" s="2632" t="s">
        <v>2358</v>
      </c>
      <c r="M9" s="2633"/>
      <c r="N9" s="2609"/>
      <c r="O9" s="2634"/>
      <c r="P9" s="2634"/>
      <c r="Q9" s="2635">
        <v>365</v>
      </c>
      <c r="R9" s="2636">
        <f t="shared" si="0"/>
        <v>0</v>
      </c>
      <c r="S9" s="2590"/>
      <c r="T9" s="2590"/>
      <c r="U9" s="2590"/>
      <c r="V9" s="2598"/>
    </row>
    <row r="10" spans="1:22" s="2602" customFormat="1" ht="13.15" customHeight="1">
      <c r="A10" s="2637">
        <v>2</v>
      </c>
      <c r="B10" s="3614" t="s">
        <v>2359</v>
      </c>
      <c r="C10" s="3615"/>
      <c r="D10" s="2638">
        <f>ROUND(D6*E10,0)</f>
        <v>0</v>
      </c>
      <c r="E10" s="2642"/>
      <c r="F10" s="2643" t="s">
        <v>2360</v>
      </c>
      <c r="G10" s="2622"/>
      <c r="H10" s="2597"/>
      <c r="I10" s="2598"/>
      <c r="J10" s="3610"/>
      <c r="K10" s="3612"/>
      <c r="L10" s="2632" t="s">
        <v>2361</v>
      </c>
      <c r="M10" s="2633"/>
      <c r="N10" s="2609"/>
      <c r="O10" s="2634"/>
      <c r="P10" s="2634"/>
      <c r="Q10" s="2635">
        <v>365</v>
      </c>
      <c r="R10" s="2636">
        <f t="shared" si="0"/>
        <v>0</v>
      </c>
      <c r="S10" s="2590"/>
      <c r="T10" s="2590"/>
      <c r="U10" s="2590"/>
      <c r="V10" s="2598"/>
    </row>
    <row r="11" spans="1:22" s="2602" customFormat="1" ht="13.15" customHeight="1">
      <c r="A11" s="2637">
        <v>3</v>
      </c>
      <c r="B11" s="3614" t="s">
        <v>2362</v>
      </c>
      <c r="C11" s="3615"/>
      <c r="D11" s="2638">
        <f>D12+D14+D15+D16</f>
        <v>0</v>
      </c>
      <c r="E11" s="2644" t="e">
        <f>D11/D6</f>
        <v>#DIV/0!</v>
      </c>
      <c r="F11" s="2640"/>
      <c r="G11" s="2641"/>
      <c r="H11" s="2597"/>
      <c r="I11" s="2598"/>
      <c r="J11" s="3610"/>
      <c r="K11" s="3612"/>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616" t="s">
        <v>2365</v>
      </c>
      <c r="C12" s="3617"/>
      <c r="D12" s="2646">
        <f>ROUND(D13*1.2%*(1-30%),0)</f>
        <v>0</v>
      </c>
      <c r="E12" s="2647">
        <v>1.2E-2</v>
      </c>
      <c r="F12" s="2640" t="s">
        <v>2366</v>
      </c>
      <c r="G12" s="2641"/>
      <c r="H12" s="2597"/>
      <c r="I12" s="2598"/>
      <c r="J12" s="3610"/>
      <c r="K12" s="3612"/>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610"/>
      <c r="K13" s="3612"/>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616" t="s">
        <v>2371</v>
      </c>
      <c r="C14" s="3617"/>
      <c r="D14" s="2646">
        <f>ROUND(E14*B5/10000,0)</f>
        <v>0</v>
      </c>
      <c r="E14" s="2635"/>
      <c r="F14" s="2640" t="s">
        <v>2372</v>
      </c>
      <c r="G14" s="2641"/>
      <c r="H14" s="2597"/>
      <c r="I14" s="2598"/>
      <c r="J14" s="3610"/>
      <c r="K14" s="3613"/>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616" t="s">
        <v>2375</v>
      </c>
      <c r="C15" s="3617"/>
      <c r="D15" s="2646">
        <f>ROUND(D6*E15,0)</f>
        <v>0</v>
      </c>
      <c r="E15" s="2647">
        <v>5.5E-2</v>
      </c>
      <c r="F15" s="2640" t="s">
        <v>2376</v>
      </c>
      <c r="G15" s="2622"/>
      <c r="H15" s="2597"/>
      <c r="I15" s="2598"/>
      <c r="J15" s="3610">
        <v>2</v>
      </c>
      <c r="K15" s="3611"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616" t="s">
        <v>2384</v>
      </c>
      <c r="C16" s="3617"/>
      <c r="D16" s="2657">
        <f>D6*E16</f>
        <v>0</v>
      </c>
      <c r="E16" s="2658"/>
      <c r="F16" s="2643" t="s">
        <v>2385</v>
      </c>
      <c r="G16" s="2622"/>
      <c r="H16" s="2597"/>
      <c r="I16" s="2598"/>
      <c r="J16" s="3610"/>
      <c r="K16" s="3612"/>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618" t="s">
        <v>2387</v>
      </c>
      <c r="C17" s="3619"/>
      <c r="D17" s="2660">
        <f>ROUND(D6*E17,0)</f>
        <v>0</v>
      </c>
      <c r="E17" s="2661"/>
      <c r="F17" s="2662" t="s">
        <v>2388</v>
      </c>
      <c r="G17" s="2622"/>
      <c r="H17" s="2597"/>
      <c r="I17" s="2598"/>
      <c r="J17" s="3610"/>
      <c r="K17" s="3612"/>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610"/>
      <c r="K18" s="3612"/>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610"/>
      <c r="K19" s="3613"/>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610">
        <v>3</v>
      </c>
      <c r="K20" s="3611"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610"/>
      <c r="K21" s="3612"/>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610"/>
      <c r="K22" s="3612"/>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610"/>
      <c r="K23" s="3612"/>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610"/>
      <c r="K24" s="3613"/>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620">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62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603" t="s">
        <v>2320</v>
      </c>
      <c r="K32" s="3604"/>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605" t="s">
        <v>2330</v>
      </c>
      <c r="K33" s="3606"/>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605" t="s">
        <v>2332</v>
      </c>
      <c r="K34" s="360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610">
        <v>1</v>
      </c>
      <c r="K36" s="3611"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610"/>
      <c r="K37" s="3612"/>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610"/>
      <c r="K38" s="3612"/>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610"/>
      <c r="K39" s="3612"/>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610"/>
      <c r="K40" s="3613"/>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620">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62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 type="list" allowBlank="1" showInputMessage="1" showErrorMessage="1" sqref="D2" xr:uid="{00000000-0002-0000-22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3701</v>
      </c>
      <c r="D1" s="1268" t="s">
        <v>43</v>
      </c>
      <c r="E1" s="1269" t="s">
        <v>678</v>
      </c>
      <c r="F1" s="996">
        <f ca="1">J53</f>
        <v>26.01</v>
      </c>
      <c r="G1" s="1283">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2797</v>
      </c>
      <c r="C2" s="1286" t="s">
        <v>805</v>
      </c>
      <c r="D2" s="1286"/>
      <c r="E2" s="1292"/>
      <c r="F2" s="1293"/>
      <c r="G2" s="2476"/>
      <c r="H2" s="2466"/>
      <c r="I2" s="2466"/>
      <c r="J2" s="2466"/>
      <c r="K2" s="2467"/>
      <c r="L2" s="2466"/>
      <c r="M2" s="2466"/>
    </row>
    <row r="3" spans="1:37" ht="18" customHeight="1" thickBot="1">
      <c r="A3" s="1294" t="s">
        <v>806</v>
      </c>
      <c r="B3" s="1295">
        <f ca="1">IF(ISERROR(B2*10000/F43),0,ROUND(B2*10000/F43,0))</f>
        <v>22961</v>
      </c>
      <c r="C3" s="1286" t="s">
        <v>807</v>
      </c>
      <c r="D3" s="1286"/>
      <c r="E3" s="1292"/>
      <c r="F3" s="1293"/>
      <c r="G3" s="2476"/>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208</v>
      </c>
      <c r="D5" s="1270" t="s">
        <v>693</v>
      </c>
      <c r="E5" s="1005"/>
      <c r="F5" s="1006"/>
      <c r="G5" s="1289"/>
      <c r="H5" s="291">
        <v>1</v>
      </c>
      <c r="I5" s="292" t="s">
        <v>692</v>
      </c>
      <c r="J5" s="1004">
        <f ca="1">J6+J10+J12</f>
        <v>0</v>
      </c>
      <c r="K5" s="1270" t="s">
        <v>693</v>
      </c>
      <c r="L5" s="1005"/>
      <c r="M5" s="1006"/>
    </row>
    <row r="6" spans="1:37" ht="18" customHeight="1">
      <c r="A6" s="1003" t="s">
        <v>398</v>
      </c>
      <c r="B6" s="3600" t="s">
        <v>694</v>
      </c>
      <c r="C6" s="1008">
        <f ca="1">ROUND(F6*F8*F7*(1-F9)/10000,0)</f>
        <v>208</v>
      </c>
      <c r="D6" s="147" t="s">
        <v>2109</v>
      </c>
      <c r="E6" s="294" t="s">
        <v>696</v>
      </c>
      <c r="F6" s="295">
        <f ca="1">INDIRECT("'数据-取费表'!u"&amp;$G$1)</f>
        <v>5.2</v>
      </c>
      <c r="G6" s="1289"/>
      <c r="H6" s="1003" t="s">
        <v>398</v>
      </c>
      <c r="I6" s="3600" t="s">
        <v>694</v>
      </c>
      <c r="J6" s="293">
        <f ca="1">ROUND(M6*M8*M7*(1-M9)/10000,0)</f>
        <v>0</v>
      </c>
      <c r="K6" s="147" t="s">
        <v>2108</v>
      </c>
      <c r="L6" s="294" t="s">
        <v>696</v>
      </c>
      <c r="M6" s="295">
        <f ca="1">INDIRECT("'数据-取费表'!z"&amp;$G$1)</f>
        <v>0</v>
      </c>
    </row>
    <row r="7" spans="1:37" ht="18" customHeight="1">
      <c r="A7" s="1007"/>
      <c r="B7" s="3601"/>
      <c r="C7" s="1009"/>
      <c r="D7" s="299"/>
      <c r="E7" s="1010" t="s">
        <v>697</v>
      </c>
      <c r="F7" s="295">
        <f ca="1">IF(INDIRECT("'数据-取费表'!ah"&amp;$G$1)="",INDIRECT("'数据-取费表'!k"&amp;$G$1),INDIRECT("'数据-取费表'!ah"&amp;$G$1))</f>
        <v>1218.17</v>
      </c>
      <c r="G7" s="1289"/>
      <c r="H7" s="296"/>
      <c r="I7" s="3601"/>
      <c r="J7" s="298"/>
      <c r="K7" s="299"/>
      <c r="L7" s="294" t="s">
        <v>697</v>
      </c>
      <c r="M7" s="295">
        <f ca="1">F7</f>
        <v>1218.17</v>
      </c>
    </row>
    <row r="8" spans="1:37" ht="18" customHeight="1">
      <c r="A8" s="296"/>
      <c r="B8" s="3601"/>
      <c r="C8" s="298"/>
      <c r="D8" s="299"/>
      <c r="E8" s="294" t="s">
        <v>698</v>
      </c>
      <c r="F8" s="295">
        <f ca="1">INDIRECT("'数据-取费表'!ai"&amp;$G$1)</f>
        <v>365</v>
      </c>
      <c r="G8" s="1289"/>
      <c r="H8" s="296"/>
      <c r="I8" s="3601"/>
      <c r="J8" s="298"/>
      <c r="K8" s="299"/>
      <c r="L8" s="294" t="s">
        <v>698</v>
      </c>
      <c r="M8" s="295">
        <f ca="1">INDIRECT("'数据-取费表'!ai"&amp;$G$1)</f>
        <v>365</v>
      </c>
    </row>
    <row r="9" spans="1:37" ht="18" customHeight="1">
      <c r="A9" s="296"/>
      <c r="B9" s="3602"/>
      <c r="C9" s="298"/>
      <c r="D9" s="299"/>
      <c r="E9" s="294" t="s">
        <v>699</v>
      </c>
      <c r="F9" s="304">
        <f ca="1">INDIRECT("'数据-取费表'!w"&amp;$G$1)</f>
        <v>0.1</v>
      </c>
      <c r="G9" s="1289"/>
      <c r="H9" s="296"/>
      <c r="I9" s="360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2117</v>
      </c>
      <c r="E10" s="305" t="s">
        <v>701</v>
      </c>
      <c r="F10" s="1050" t="s">
        <v>3693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615</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487</v>
      </c>
      <c r="D14" s="1254" t="s">
        <v>708</v>
      </c>
      <c r="E14" s="1252"/>
      <c r="F14" s="311"/>
      <c r="G14" s="1289"/>
      <c r="H14" s="925" t="s">
        <v>398</v>
      </c>
      <c r="I14" s="294" t="s">
        <v>709</v>
      </c>
      <c r="J14" s="21">
        <f ca="1">C29</f>
        <v>723</v>
      </c>
      <c r="K14" s="12"/>
      <c r="L14" s="756"/>
      <c r="M14" s="757"/>
    </row>
    <row r="15" spans="1:37" s="1301" customFormat="1" ht="18" customHeight="1" thickBot="1">
      <c r="A15" s="925" t="s">
        <v>399</v>
      </c>
      <c r="B15" s="294" t="s">
        <v>710</v>
      </c>
      <c r="C15" s="21">
        <f ca="1">ROUND(C14*F15,0)</f>
        <v>15</v>
      </c>
      <c r="D15" s="312" t="s">
        <v>711</v>
      </c>
      <c r="E15" s="312" t="s">
        <v>712</v>
      </c>
      <c r="F15" s="313">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11</v>
      </c>
      <c r="K16" s="1021" t="s">
        <v>715</v>
      </c>
      <c r="L16" s="1022"/>
      <c r="M16" s="1006"/>
    </row>
    <row r="17" spans="1:37" s="1301" customFormat="1" ht="18" customHeight="1">
      <c r="A17" s="925" t="s">
        <v>681</v>
      </c>
      <c r="B17" s="294" t="s">
        <v>716</v>
      </c>
      <c r="C17" s="21">
        <f ca="1">ROUND(F17*(F43+INDIRECT("'数据-取费表'!S"&amp;$G$1))/10000,0)</f>
        <v>24</v>
      </c>
      <c r="D17" s="294" t="s">
        <v>717</v>
      </c>
      <c r="E17" s="294" t="s">
        <v>718</v>
      </c>
      <c r="F17" s="23">
        <f>'数据-取费表'!B35</f>
        <v>200</v>
      </c>
      <c r="G17" s="1300"/>
      <c r="H17" s="925" t="s">
        <v>398</v>
      </c>
      <c r="I17" s="294" t="s">
        <v>719</v>
      </c>
      <c r="J17" s="2137">
        <f ca="1">ROUND(IF(AND(项目基本情况!B11="自然人",项目基本情况!B10="北京市"),J6*M17/(1+'数据-取费表'!C42),J18+J19+J20),2)</f>
        <v>0.21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7</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533</v>
      </c>
      <c r="D19" s="123" t="s">
        <v>726</v>
      </c>
      <c r="E19" s="1266"/>
      <c r="F19" s="23"/>
      <c r="G19" s="1289"/>
      <c r="H19" s="925" t="s">
        <v>399</v>
      </c>
      <c r="I19" s="294" t="s">
        <v>727</v>
      </c>
      <c r="J19" s="21">
        <f ca="1">IF(K19="按租金收入计税",ROUND(J6*M19/(1+'数据-取费表'!C42),2),ROUND(C29*M19*0.7,2))</f>
        <v>0</v>
      </c>
      <c r="K19" s="1275" t="s">
        <v>3343</v>
      </c>
      <c r="L19" s="294" t="s">
        <v>712</v>
      </c>
      <c r="M19" s="314">
        <f>IF(K19="按租金收入计税",'数据-取费表'!B51,'数据-取费表'!B50)</f>
        <v>0.12</v>
      </c>
    </row>
    <row r="20" spans="1:37" s="1301" customFormat="1" ht="18" customHeight="1">
      <c r="A20" s="925" t="s">
        <v>402</v>
      </c>
      <c r="B20" s="294" t="s">
        <v>728</v>
      </c>
      <c r="C20" s="21">
        <f ca="1">ROUND(C19*F20,0)</f>
        <v>8</v>
      </c>
      <c r="D20" s="315" t="s">
        <v>729</v>
      </c>
      <c r="E20" s="294" t="s">
        <v>712</v>
      </c>
      <c r="F20" s="314">
        <f>'数据-取费表'!B37</f>
        <v>1.4999999999999999E-2</v>
      </c>
      <c r="G20" s="1300"/>
      <c r="H20" s="925" t="s">
        <v>680</v>
      </c>
      <c r="I20" s="147" t="s">
        <v>730</v>
      </c>
      <c r="J20" s="22">
        <f ca="1">ROUND(M20*M21/10000,2)</f>
        <v>0.21</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355.91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10.85</v>
      </c>
      <c r="K22" s="1253" t="s">
        <v>739</v>
      </c>
      <c r="L22" s="294" t="s">
        <v>712</v>
      </c>
      <c r="M22" s="320">
        <f ca="1">INDIRECT("'数据-取费表'!Ak"&amp;$G$1)</f>
        <v>1.4999999999999999E-2</v>
      </c>
    </row>
    <row r="23" spans="1:37" s="1301" customFormat="1" ht="18" customHeight="1">
      <c r="A23" s="925" t="s">
        <v>397</v>
      </c>
      <c r="B23" s="294" t="s">
        <v>740</v>
      </c>
      <c r="C23" s="21">
        <f ca="1">IF('数据-取费表'!B22&lt;=1,ROUND(C19*F24*F23/2,0)+ROUND(C20*F24*F23/2,0),ROUND(C19*(POWER((1+F24),F23/2)-1),0)+ROUND(C20*(POWER((1+F24),F23/2)-1),0))</f>
        <v>22</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4.1499999999999995E-2</v>
      </c>
      <c r="G24" s="1300"/>
      <c r="H24" s="1023" t="s">
        <v>683</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-11</v>
      </c>
      <c r="K25" s="1029" t="s">
        <v>753</v>
      </c>
      <c r="L25" s="1030"/>
      <c r="M25" s="1031"/>
    </row>
    <row r="26" spans="1:37">
      <c r="A26" s="925" t="s">
        <v>397</v>
      </c>
      <c r="B26" s="294" t="s">
        <v>754</v>
      </c>
      <c r="C26" s="21">
        <f ca="1">ROUND((C19+C20)*F26,0)</f>
        <v>108</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723</v>
      </c>
      <c r="D29" s="1026"/>
      <c r="E29" s="1024"/>
      <c r="F29" s="1027"/>
      <c r="G29" s="1300"/>
      <c r="H29" s="325" t="s">
        <v>396</v>
      </c>
      <c r="I29" s="326" t="s">
        <v>768</v>
      </c>
      <c r="J29" s="327">
        <f ca="1">ROUND(J26/(1+F40)^F41,0)</f>
        <v>0</v>
      </c>
      <c r="K29" s="328" t="s">
        <v>769</v>
      </c>
      <c r="L29" s="329"/>
      <c r="M29" s="330">
        <f ca="1">INDIRECT("'数据-取费表'!k"&amp;$G$1)</f>
        <v>1218.17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49</v>
      </c>
      <c r="D30" s="1021" t="s">
        <v>715</v>
      </c>
      <c r="E30" s="1022"/>
      <c r="F30" s="1006"/>
      <c r="G30" s="1289"/>
      <c r="H30" s="2468"/>
      <c r="I30" s="1302"/>
      <c r="J30" s="1303"/>
      <c r="K30" s="121"/>
      <c r="L30" s="2469"/>
      <c r="M30" s="2470"/>
    </row>
    <row r="31" spans="1:37" ht="18" customHeight="1">
      <c r="A31" s="925" t="s">
        <v>398</v>
      </c>
      <c r="B31" s="294" t="s">
        <v>719</v>
      </c>
      <c r="C31" s="2137">
        <f ca="1">ROUND(IF(AND(项目基本情况!B11="自然人",项目基本情况!B10="北京市"),C6*F31/(1+'数据-取费表'!C42),C32+C33+C34),2)</f>
        <v>35.07</v>
      </c>
      <c r="D31" s="1254" t="s">
        <v>720</v>
      </c>
      <c r="E31" s="1253" t="s">
        <v>770</v>
      </c>
      <c r="F31" s="2136" t="str">
        <f>IF(项目基本情况!B11="企业","——",IF(M47="住宅",IF(F6*F7*F8/12/(1+'数据-取费表'!F30)&gt;100000,4%,2.5%),IF(F6*F7*F8/12/(1+'数据-取费表'!F30)&gt;100000,12%,7%)))</f>
        <v>——</v>
      </c>
      <c r="G31" s="1289"/>
      <c r="H31" s="2567" t="s">
        <v>2310</v>
      </c>
      <c r="I31" s="1302"/>
      <c r="J31" s="1303"/>
      <c r="K31" s="121"/>
      <c r="L31" s="2469"/>
      <c r="M31" s="2470"/>
    </row>
    <row r="32" spans="1:37" ht="18" customHeight="1">
      <c r="A32" s="925" t="s">
        <v>397</v>
      </c>
      <c r="B32" s="294" t="s">
        <v>723</v>
      </c>
      <c r="C32" s="21">
        <f ca="1">IF(项目基本情况!B11="自然人","——",ROUND(C6*F32/(1+'数据-取费表'!C42),2))</f>
        <v>11.09</v>
      </c>
      <c r="D32" s="1253" t="s">
        <v>724</v>
      </c>
      <c r="E32" s="294" t="s">
        <v>712</v>
      </c>
      <c r="F32" s="322">
        <f>'数据-取费表'!B41</f>
        <v>5.6000000000000001E-2</v>
      </c>
      <c r="G32" s="1289"/>
      <c r="H32" s="2468"/>
      <c r="I32" s="1302"/>
      <c r="J32" s="1303"/>
      <c r="K32" s="121"/>
      <c r="L32" s="2469"/>
      <c r="M32" s="2470"/>
    </row>
    <row r="33" spans="1:18" ht="18" customHeight="1">
      <c r="A33" s="925" t="s">
        <v>399</v>
      </c>
      <c r="B33" s="294" t="s">
        <v>727</v>
      </c>
      <c r="C33" s="21">
        <f ca="1">IF(项目基本情况!B11="自然人","——",IF(D33="按租金收入计税",ROUND(C6*F33/(1+'数据-取费表'!C42),2),IF(D33="按房产原值计税",ROUND(C29*F33*0.7,2),INDIRECT("'数据-取费表'!Aj"&amp;$G$1))))</f>
        <v>23.77</v>
      </c>
      <c r="D33" s="1275" t="s">
        <v>3343</v>
      </c>
      <c r="E33" s="294" t="s">
        <v>712</v>
      </c>
      <c r="F33" s="314">
        <f>IF(D33="按票据","——",IF(D33="按租金收入计税",'数据-取费表'!B51,'数据-取费表'!B50))</f>
        <v>0.12</v>
      </c>
      <c r="G33" s="1289"/>
      <c r="H33" s="2471"/>
      <c r="I33" s="1302"/>
      <c r="J33" s="1303"/>
      <c r="K33" s="2472"/>
      <c r="L33" s="2471"/>
      <c r="M33" s="2471"/>
    </row>
    <row r="34" spans="1:18" ht="18" customHeight="1">
      <c r="A34" s="1003" t="s">
        <v>680</v>
      </c>
      <c r="B34" s="147" t="s">
        <v>730</v>
      </c>
      <c r="C34" s="22">
        <f ca="1">IF(项目基本情况!B11="自然人","——",ROUND(F34*F35/10000,2))</f>
        <v>0.21</v>
      </c>
      <c r="D34" s="316" t="s">
        <v>731</v>
      </c>
      <c r="E34" s="294" t="s">
        <v>732</v>
      </c>
      <c r="F34" s="317">
        <f>'数据-取费表'!B52</f>
        <v>6</v>
      </c>
      <c r="G34" s="1289"/>
      <c r="H34" s="2468"/>
      <c r="I34" s="1302"/>
      <c r="J34" s="1303"/>
      <c r="K34" s="2473"/>
      <c r="L34" s="2474"/>
      <c r="M34" s="2474"/>
    </row>
    <row r="35" spans="1:18" ht="18" customHeight="1">
      <c r="A35" s="1037"/>
      <c r="B35" s="1035"/>
      <c r="C35" s="26"/>
      <c r="D35" s="319"/>
      <c r="E35" s="294" t="s">
        <v>736</v>
      </c>
      <c r="F35" s="295">
        <f ca="1">INDIRECT("'数据-取费表'!r"&amp;$G$1)</f>
        <v>355.91</v>
      </c>
      <c r="G35" s="1289"/>
      <c r="H35" s="2468"/>
      <c r="I35" s="1302"/>
      <c r="J35" s="1303"/>
      <c r="K35" s="2472"/>
      <c r="L35" s="2471"/>
      <c r="M35" s="2471"/>
    </row>
    <row r="36" spans="1:18" ht="18" customHeight="1">
      <c r="A36" s="1036" t="s">
        <v>402</v>
      </c>
      <c r="B36" s="294" t="s">
        <v>738</v>
      </c>
      <c r="C36" s="21">
        <f ca="1">ROUND(C29*F36,2)</f>
        <v>10.85</v>
      </c>
      <c r="D36" s="1253" t="s">
        <v>771</v>
      </c>
      <c r="E36" s="294" t="s">
        <v>712</v>
      </c>
      <c r="F36" s="320">
        <f ca="1">INDIRECT("'数据-取费表'!Ak"&amp;$G$1)</f>
        <v>1.4999999999999999E-2</v>
      </c>
      <c r="G36" s="1289"/>
      <c r="H36" s="2471"/>
      <c r="I36" s="1302"/>
      <c r="J36" s="1303"/>
      <c r="K36" s="2328"/>
      <c r="L36" s="2471"/>
      <c r="M36" s="2471"/>
    </row>
    <row r="37" spans="1:18" ht="18" customHeight="1">
      <c r="A37" s="925" t="s">
        <v>437</v>
      </c>
      <c r="B37" s="294" t="s">
        <v>742</v>
      </c>
      <c r="C37" s="21">
        <f ca="1">ROUND(C13*F37,2)</f>
        <v>0.92</v>
      </c>
      <c r="D37" s="1253" t="s">
        <v>743</v>
      </c>
      <c r="E37" s="294" t="s">
        <v>744</v>
      </c>
      <c r="F37" s="321">
        <f ca="1">INDIRECT("'数据-取费表'!Al"&amp;$G$1)</f>
        <v>1.5E-3</v>
      </c>
      <c r="G37" s="1289"/>
      <c r="H37" s="2471"/>
      <c r="I37" s="1302"/>
      <c r="J37" s="1303"/>
      <c r="K37" s="2328"/>
      <c r="L37" s="2471"/>
      <c r="M37" s="2471"/>
    </row>
    <row r="38" spans="1:18" ht="18" customHeight="1" thickBot="1">
      <c r="A38" s="1023" t="s">
        <v>683</v>
      </c>
      <c r="B38" s="1024" t="s">
        <v>728</v>
      </c>
      <c r="C38" s="1025">
        <f ca="1">ROUND(C5*F38,2)</f>
        <v>2.08</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752</v>
      </c>
      <c r="C39" s="302">
        <f ca="1">C5-C30</f>
        <v>159</v>
      </c>
      <c r="D39" s="1029" t="s">
        <v>773</v>
      </c>
      <c r="E39" s="1030"/>
      <c r="F39" s="1031"/>
      <c r="G39" s="1289"/>
      <c r="H39" s="2471"/>
      <c r="I39" s="1302"/>
      <c r="J39" s="1303"/>
      <c r="K39" s="2469"/>
      <c r="L39" s="2471"/>
      <c r="M39" s="2471"/>
    </row>
    <row r="40" spans="1:18" ht="18" customHeight="1">
      <c r="A40" s="291" t="s">
        <v>395</v>
      </c>
      <c r="B40" s="292" t="s">
        <v>774</v>
      </c>
      <c r="C40" s="293">
        <f ca="1">ROUND(C39*(1-((1+F42)/(1+F40))^F41)/(F40-F42),0)</f>
        <v>2797</v>
      </c>
      <c r="D40" s="316" t="s">
        <v>758</v>
      </c>
      <c r="E40" s="294" t="s">
        <v>759</v>
      </c>
      <c r="F40" s="304">
        <f ca="1">INDIRECT("'数据-取费表'!I"&amp;$G$1)</f>
        <v>5.5E-2</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26.01</v>
      </c>
      <c r="G41" s="1289"/>
      <c r="H41" s="121"/>
      <c r="I41" s="1302"/>
      <c r="J41" s="1303"/>
      <c r="K41" s="2328"/>
      <c r="L41" s="121"/>
      <c r="M41" s="121"/>
    </row>
    <row r="42" spans="1:18" ht="18" customHeight="1">
      <c r="A42" s="300"/>
      <c r="B42" s="301"/>
      <c r="C42" s="302"/>
      <c r="D42" s="319"/>
      <c r="E42" s="294" t="s">
        <v>766</v>
      </c>
      <c r="F42" s="304">
        <f ca="1">INDIRECT("'数据-取费表'!v"&amp;$G$1)</f>
        <v>2.5000000000000001E-2</v>
      </c>
      <c r="G42" s="1289"/>
      <c r="H42" s="121"/>
      <c r="I42" s="1302"/>
      <c r="J42" s="1303"/>
      <c r="K42" s="2328"/>
      <c r="L42" s="121"/>
      <c r="M42" s="121"/>
    </row>
    <row r="43" spans="1:18" ht="18" customHeight="1" thickBot="1">
      <c r="A43" s="325" t="s">
        <v>396</v>
      </c>
      <c r="B43" s="326" t="s">
        <v>776</v>
      </c>
      <c r="C43" s="327">
        <f ca="1">ROUND(C40*10000/F43,0)</f>
        <v>22961</v>
      </c>
      <c r="D43" s="328" t="s">
        <v>777</v>
      </c>
      <c r="E43" s="329" t="s">
        <v>778</v>
      </c>
      <c r="F43" s="330">
        <f ca="1">INDIRECT("'数据-取费表'!k"&amp;$G$1)</f>
        <v>1218.17</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808</v>
      </c>
      <c r="P45" s="1363"/>
      <c r="Q45" s="1363"/>
      <c r="R45" s="1363"/>
    </row>
    <row r="46" spans="1:18" s="1289" customFormat="1" ht="13.5" thickBot="1">
      <c r="A46" s="1308" t="s">
        <v>809</v>
      </c>
      <c r="C46" s="1309">
        <f ca="1">C68-C40</f>
        <v>-2961</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3694</v>
      </c>
      <c r="K47" s="1320" t="s">
        <v>816</v>
      </c>
      <c r="L47" s="1321">
        <f ca="1">INDIRECT("'数据-取费表'!d"&amp;$G$1)</f>
        <v>40</v>
      </c>
      <c r="M47" s="1285" t="str">
        <f>IF(ISNUMBER(FIND("住宅",C1)),"住宅","非住宅")</f>
        <v>非住宅</v>
      </c>
      <c r="O47" s="1322" t="s">
        <v>403</v>
      </c>
      <c r="P47" s="1323" t="s">
        <v>817</v>
      </c>
      <c r="Q47" s="1324">
        <f ca="1">C40+J29</f>
        <v>2797</v>
      </c>
      <c r="R47" s="1324" t="s">
        <v>818</v>
      </c>
    </row>
    <row r="48" spans="1:18" s="1289" customFormat="1" ht="28.5" thickBot="1">
      <c r="A48" s="1044" t="s">
        <v>438</v>
      </c>
      <c r="B48" s="292" t="s">
        <v>692</v>
      </c>
      <c r="C48" s="1265">
        <f ca="1">C49+C53+C55</f>
        <v>0</v>
      </c>
      <c r="D48" s="1046"/>
      <c r="E48" s="1047"/>
      <c r="F48" s="905"/>
      <c r="G48" s="681"/>
      <c r="H48" s="682"/>
      <c r="I48" s="1325" t="s">
        <v>819</v>
      </c>
      <c r="J48" s="1326" t="s">
        <v>3695</v>
      </c>
      <c r="K48" s="1327" t="s">
        <v>820</v>
      </c>
      <c r="L48" s="1328">
        <f ca="1">INDIRECT("'数据-取费表'!f"&amp;$G$1)</f>
        <v>26.01</v>
      </c>
      <c r="O48" s="1322" t="s">
        <v>404</v>
      </c>
      <c r="P48" s="1323" t="s">
        <v>821</v>
      </c>
      <c r="Q48" s="1324" t="str">
        <f ca="1">J60</f>
        <v>0</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2014</v>
      </c>
      <c r="K49" s="1327" t="s">
        <v>824</v>
      </c>
      <c r="L49" s="1330"/>
      <c r="O49" s="1331" t="s">
        <v>405</v>
      </c>
      <c r="P49" s="1323" t="s">
        <v>825</v>
      </c>
      <c r="Q49" s="1324">
        <f ca="1">C29</f>
        <v>723</v>
      </c>
      <c r="R49" s="1324" t="s">
        <v>818</v>
      </c>
    </row>
    <row r="50" spans="1:18" s="1289" customFormat="1" ht="13.5" thickBot="1">
      <c r="A50" s="919"/>
      <c r="B50" s="922"/>
      <c r="C50" s="1052"/>
      <c r="D50" s="896"/>
      <c r="E50" s="990" t="s">
        <v>697</v>
      </c>
      <c r="F50" s="991">
        <f ca="1">F7</f>
        <v>1218.17</v>
      </c>
      <c r="H50" s="682"/>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0"/>
      <c r="B51" s="922"/>
      <c r="C51" s="923"/>
      <c r="D51" s="896"/>
      <c r="E51" s="924" t="s">
        <v>698</v>
      </c>
      <c r="F51" s="295">
        <f ca="1">F8</f>
        <v>365</v>
      </c>
      <c r="I51" s="1335" t="s">
        <v>829</v>
      </c>
      <c r="J51" s="1328">
        <f>IF(J49="",J50,J49+J50-YEAR('数据-取费表'!B2))</f>
        <v>51</v>
      </c>
      <c r="K51" s="1336" t="s">
        <v>830</v>
      </c>
      <c r="L51" s="1337">
        <f ca="1">ROUND(-PV(INDIRECT("'数据-取费表'!h"&amp;$G$1),J51,(C39-C13*C76),0),0)</f>
        <v>2304</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26.01</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26.01</v>
      </c>
      <c r="K53" s="3598" t="s">
        <v>837</v>
      </c>
      <c r="L53" s="3599"/>
      <c r="O53" s="1322" t="s">
        <v>409</v>
      </c>
      <c r="P53" s="1323" t="s">
        <v>838</v>
      </c>
      <c r="Q53" s="1324">
        <f ca="1">Q47+Q48</f>
        <v>2797</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0">
        <v>2</v>
      </c>
      <c r="B56" s="901" t="s">
        <v>704</v>
      </c>
      <c r="C56" s="224">
        <f ca="1">C13</f>
        <v>615</v>
      </c>
      <c r="D56" s="1349"/>
      <c r="E56" s="1350"/>
      <c r="F56" s="1342"/>
      <c r="I56" s="1351" t="s">
        <v>842</v>
      </c>
      <c r="J56" s="1352" t="s">
        <v>3457</v>
      </c>
      <c r="K56" s="1325" t="s">
        <v>843</v>
      </c>
      <c r="L56" s="1328" t="str">
        <f ca="1">IF(L48&lt;J51,"——",L48-J53)</f>
        <v>——</v>
      </c>
      <c r="O56" s="1322" t="s">
        <v>403</v>
      </c>
      <c r="P56" s="1323" t="s">
        <v>817</v>
      </c>
      <c r="Q56" s="1324">
        <f ca="1">C40+J29</f>
        <v>2797</v>
      </c>
      <c r="R56" s="1324" t="s">
        <v>818</v>
      </c>
    </row>
    <row r="57" spans="1:18" s="1289" customFormat="1" ht="24.75" thickBot="1">
      <c r="A57" s="1353"/>
      <c r="B57" s="893" t="s">
        <v>767</v>
      </c>
      <c r="C57" s="230">
        <f ca="1">C29</f>
        <v>723</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12</v>
      </c>
      <c r="D58" s="903" t="s">
        <v>715</v>
      </c>
      <c r="E58" s="904"/>
      <c r="F58" s="905"/>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3343</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0.21</v>
      </c>
      <c r="D62" s="908" t="s">
        <v>786</v>
      </c>
      <c r="E62" s="893" t="s">
        <v>787</v>
      </c>
      <c r="F62" s="317">
        <f t="shared" si="0"/>
        <v>6</v>
      </c>
      <c r="I62" s="1364" t="s">
        <v>858</v>
      </c>
      <c r="J62" s="610" t="s">
        <v>859</v>
      </c>
      <c r="K62" s="610" t="s">
        <v>860</v>
      </c>
      <c r="L62" s="610" t="s">
        <v>861</v>
      </c>
      <c r="M62" s="1365" t="s">
        <v>862</v>
      </c>
      <c r="O62" s="1322" t="s">
        <v>409</v>
      </c>
      <c r="P62" s="1323" t="s">
        <v>863</v>
      </c>
      <c r="Q62" s="1324">
        <f ca="1">Q56+Q57</f>
        <v>2797</v>
      </c>
      <c r="R62" s="1324" t="s">
        <v>410</v>
      </c>
    </row>
    <row r="63" spans="1:18" s="1289" customFormat="1" ht="13.5" thickBot="1">
      <c r="A63" s="318"/>
      <c r="B63" s="899"/>
      <c r="C63" s="26"/>
      <c r="D63" s="909"/>
      <c r="E63" s="893" t="s">
        <v>788</v>
      </c>
      <c r="F63" s="295">
        <f t="shared" ca="1" si="0"/>
        <v>355.91</v>
      </c>
      <c r="I63" s="1364" t="s">
        <v>864</v>
      </c>
      <c r="J63" s="610">
        <v>70</v>
      </c>
      <c r="K63" s="610">
        <v>50</v>
      </c>
      <c r="L63" s="610">
        <v>80</v>
      </c>
      <c r="M63" s="1366">
        <v>0.02</v>
      </c>
      <c r="O63" s="1307" t="s">
        <v>865</v>
      </c>
      <c r="P63" s="1286"/>
      <c r="Q63" s="1286"/>
      <c r="R63" s="1286"/>
    </row>
    <row r="64" spans="1:18" s="1289" customFormat="1" ht="13.5" thickBot="1">
      <c r="A64" s="925" t="s">
        <v>789</v>
      </c>
      <c r="B64" s="893" t="s">
        <v>738</v>
      </c>
      <c r="C64" s="21">
        <f ca="1">ROUND(C57*F64,2)</f>
        <v>10.85</v>
      </c>
      <c r="D64" s="907" t="s">
        <v>791</v>
      </c>
      <c r="E64" s="893" t="s">
        <v>783</v>
      </c>
      <c r="F64" s="320">
        <f t="shared" ca="1" si="0"/>
        <v>1.4999999999999999E-2</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0.92</v>
      </c>
      <c r="D65" s="907" t="s">
        <v>743</v>
      </c>
      <c r="E65" s="893" t="s">
        <v>744</v>
      </c>
      <c r="F65" s="321">
        <f t="shared" ca="1" si="0"/>
        <v>1.5E-3</v>
      </c>
      <c r="I65" s="1364" t="s">
        <v>867</v>
      </c>
      <c r="J65" s="610">
        <v>40</v>
      </c>
      <c r="K65" s="610">
        <v>30</v>
      </c>
      <c r="L65" s="610">
        <v>50</v>
      </c>
      <c r="M65" s="1366">
        <v>0.02</v>
      </c>
      <c r="O65" s="1322" t="s">
        <v>403</v>
      </c>
      <c r="P65" s="1323" t="s">
        <v>868</v>
      </c>
      <c r="Q65" s="1324">
        <f ca="1">C40+J29</f>
        <v>2797</v>
      </c>
      <c r="R65" s="1324" t="s">
        <v>818</v>
      </c>
    </row>
    <row r="66" spans="1:18" s="1289" customFormat="1" ht="16.5"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16.5" thickBot="1">
      <c r="A67" s="900" t="s">
        <v>394</v>
      </c>
      <c r="B67" s="910" t="s">
        <v>752</v>
      </c>
      <c r="C67" s="308">
        <f ca="1">C48-C58</f>
        <v>-12</v>
      </c>
      <c r="D67" s="906" t="s">
        <v>753</v>
      </c>
      <c r="E67" s="911"/>
      <c r="F67" s="912"/>
      <c r="O67" s="1331" t="s">
        <v>405</v>
      </c>
      <c r="P67" s="1323" t="s">
        <v>850</v>
      </c>
      <c r="Q67" s="1367">
        <f ca="1">L51</f>
        <v>2304</v>
      </c>
      <c r="R67" s="1324" t="s">
        <v>870</v>
      </c>
    </row>
    <row r="68" spans="1:18" s="1289" customFormat="1" ht="16.5" thickBot="1">
      <c r="A68" s="890" t="s">
        <v>395</v>
      </c>
      <c r="B68" s="891" t="s">
        <v>774</v>
      </c>
      <c r="C68" s="293">
        <f ca="1">ROUND(C67*(1-((1+F70)/(1+F68))^F69)/(F68-F70),0)</f>
        <v>-164</v>
      </c>
      <c r="D68" s="908" t="s">
        <v>758</v>
      </c>
      <c r="E68" s="893" t="s">
        <v>759</v>
      </c>
      <c r="F68" s="304">
        <f ca="1">F40</f>
        <v>5.5E-2</v>
      </c>
      <c r="O68" s="1331" t="s">
        <v>406</v>
      </c>
      <c r="P68" s="1368" t="s">
        <v>871</v>
      </c>
      <c r="Q68" s="1324">
        <f ca="1">ROUND(Q69-Q70*Q71,0)</f>
        <v>116</v>
      </c>
      <c r="R68" s="1324" t="s">
        <v>414</v>
      </c>
    </row>
    <row r="69" spans="1:18" s="1289" customFormat="1" ht="13.5" thickBot="1">
      <c r="A69" s="894"/>
      <c r="B69" s="895"/>
      <c r="C69" s="298"/>
      <c r="D69" s="913" t="s">
        <v>762</v>
      </c>
      <c r="E69" s="893" t="s">
        <v>763</v>
      </c>
      <c r="F69" s="324">
        <f ca="1">F41</f>
        <v>26.01</v>
      </c>
      <c r="O69" s="1331" t="s">
        <v>411</v>
      </c>
      <c r="P69" s="1368" t="s">
        <v>872</v>
      </c>
      <c r="Q69" s="1324">
        <f ca="1">C39</f>
        <v>159</v>
      </c>
      <c r="R69" s="1324" t="s">
        <v>818</v>
      </c>
    </row>
    <row r="70" spans="1:18" s="1289" customFormat="1" ht="13.5" thickBot="1">
      <c r="A70" s="897"/>
      <c r="B70" s="898"/>
      <c r="C70" s="302"/>
      <c r="D70" s="909"/>
      <c r="E70" s="893" t="s">
        <v>766</v>
      </c>
      <c r="F70" s="988"/>
      <c r="O70" s="1331" t="s">
        <v>412</v>
      </c>
      <c r="P70" s="1368" t="s">
        <v>873</v>
      </c>
      <c r="Q70" s="1324">
        <f ca="1">C13</f>
        <v>615</v>
      </c>
      <c r="R70" s="1324" t="s">
        <v>818</v>
      </c>
    </row>
    <row r="71" spans="1:18" s="1289" customFormat="1" ht="13.5" thickBot="1">
      <c r="A71" s="914" t="s">
        <v>396</v>
      </c>
      <c r="B71" s="915" t="s">
        <v>776</v>
      </c>
      <c r="C71" s="327">
        <f ca="1">ROUND(C68*10000/F71,0)</f>
        <v>-1346</v>
      </c>
      <c r="D71" s="916" t="s">
        <v>777</v>
      </c>
      <c r="E71" s="917" t="s">
        <v>778</v>
      </c>
      <c r="F71" s="330">
        <f ca="1">F43</f>
        <v>1218.17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43</v>
      </c>
      <c r="D75" s="1289"/>
      <c r="E75" s="1289"/>
      <c r="F75" s="1289"/>
      <c r="K75" s="1306"/>
      <c r="L75" s="1289"/>
      <c r="O75" s="1322" t="s">
        <v>409</v>
      </c>
      <c r="P75" s="1323" t="s">
        <v>838</v>
      </c>
      <c r="Q75" s="1324">
        <f ca="1">Q65+Q66</f>
        <v>2797</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0.73</v>
      </c>
    </row>
    <row r="80" spans="1:18">
      <c r="B80" s="331" t="s">
        <v>800</v>
      </c>
      <c r="C80" s="266">
        <f ca="1">ROUND(C75/C39,3)</f>
        <v>0.27</v>
      </c>
    </row>
    <row r="81" spans="2:3">
      <c r="B81" s="262" t="s">
        <v>801</v>
      </c>
      <c r="C81" s="230"/>
    </row>
    <row r="82" spans="2:3">
      <c r="B82" s="265" t="s">
        <v>802</v>
      </c>
      <c r="C82" s="267">
        <f ca="1">1-C83</f>
        <v>0.78</v>
      </c>
    </row>
    <row r="83" spans="2:3">
      <c r="B83" s="265" t="s">
        <v>803</v>
      </c>
      <c r="C83" s="266">
        <f ca="1">ROUND(C13/C40,3)</f>
        <v>0.22</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估价范围判定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topLeftCell="A11" zoomScale="85" zoomScaleNormal="70" zoomScaleSheetLayoutView="85" workbookViewId="0">
      <selection activeCell="H25" sqref="H2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21</v>
      </c>
      <c r="D1" s="1268" t="s">
        <v>43</v>
      </c>
      <c r="E1" s="1269" t="s">
        <v>678</v>
      </c>
      <c r="F1" s="996">
        <f ca="1">J53</f>
        <v>36.020000000000003</v>
      </c>
      <c r="G1" s="1283">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21843</v>
      </c>
      <c r="C2" s="1286" t="s">
        <v>805</v>
      </c>
      <c r="D2" s="1286"/>
      <c r="E2" s="1292"/>
      <c r="F2" s="1293"/>
      <c r="G2" s="2476"/>
      <c r="H2" s="2466"/>
      <c r="I2" s="2466"/>
      <c r="J2" s="2466"/>
      <c r="K2" s="2467"/>
      <c r="L2" s="2466"/>
      <c r="M2" s="2466"/>
    </row>
    <row r="3" spans="1:37" ht="18" customHeight="1" thickBot="1">
      <c r="A3" s="1294" t="s">
        <v>806</v>
      </c>
      <c r="B3" s="1295">
        <f ca="1">IF(ISERROR(B2*10000/F43),0,ROUND(B2*10000/F43,0))</f>
        <v>24199</v>
      </c>
      <c r="C3" s="1286" t="s">
        <v>807</v>
      </c>
      <c r="D3" s="1286"/>
      <c r="E3" s="1292"/>
      <c r="F3" s="1293"/>
      <c r="G3" s="2476"/>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1336</v>
      </c>
      <c r="D5" s="1270" t="s">
        <v>693</v>
      </c>
      <c r="E5" s="1005"/>
      <c r="F5" s="1006"/>
      <c r="G5" s="1289"/>
      <c r="H5" s="291">
        <v>1</v>
      </c>
      <c r="I5" s="292" t="s">
        <v>692</v>
      </c>
      <c r="J5" s="1004">
        <f ca="1">J6+J10+J12</f>
        <v>0</v>
      </c>
      <c r="K5" s="1270" t="s">
        <v>693</v>
      </c>
      <c r="L5" s="1005"/>
      <c r="M5" s="1006"/>
    </row>
    <row r="6" spans="1:37" ht="18" customHeight="1">
      <c r="A6" s="1003" t="s">
        <v>398</v>
      </c>
      <c r="B6" s="3600" t="s">
        <v>694</v>
      </c>
      <c r="C6" s="1008">
        <f ca="1">ROUND(F6*F8*F7*(1-F9)/10000,0)</f>
        <v>1334</v>
      </c>
      <c r="D6" s="147" t="s">
        <v>2109</v>
      </c>
      <c r="E6" s="294" t="s">
        <v>696</v>
      </c>
      <c r="F6" s="295">
        <f ca="1">INDIRECT("'数据-取费表'!u"&amp;$G$1)</f>
        <v>4.5</v>
      </c>
      <c r="G6" s="1289"/>
      <c r="H6" s="1003" t="s">
        <v>398</v>
      </c>
      <c r="I6" s="3600" t="s">
        <v>694</v>
      </c>
      <c r="J6" s="293">
        <f ca="1">ROUND(M6*M8*M7*(1-M9)/10000,0)</f>
        <v>0</v>
      </c>
      <c r="K6" s="147" t="s">
        <v>2108</v>
      </c>
      <c r="L6" s="294" t="s">
        <v>696</v>
      </c>
      <c r="M6" s="295">
        <f ca="1">INDIRECT("'数据-取费表'!z"&amp;$G$1)</f>
        <v>0</v>
      </c>
    </row>
    <row r="7" spans="1:37" ht="18" customHeight="1">
      <c r="A7" s="1007"/>
      <c r="B7" s="3601"/>
      <c r="C7" s="1009"/>
      <c r="D7" s="299"/>
      <c r="E7" s="1010" t="s">
        <v>697</v>
      </c>
      <c r="F7" s="295">
        <f ca="1">IF(INDIRECT("'数据-取费表'!ah"&amp;$G$1)="",INDIRECT("'数据-取费表'!k"&amp;$G$1),INDIRECT("'数据-取费表'!ah"&amp;$G$1))</f>
        <v>9026.5699999999961</v>
      </c>
      <c r="G7" s="1289"/>
      <c r="H7" s="296"/>
      <c r="I7" s="3601"/>
      <c r="J7" s="298"/>
      <c r="K7" s="299"/>
      <c r="L7" s="294" t="s">
        <v>697</v>
      </c>
      <c r="M7" s="295">
        <f ca="1">F7</f>
        <v>9026.5699999999961</v>
      </c>
    </row>
    <row r="8" spans="1:37" ht="18" customHeight="1">
      <c r="A8" s="296"/>
      <c r="B8" s="3601"/>
      <c r="C8" s="298"/>
      <c r="D8" s="299"/>
      <c r="E8" s="294" t="s">
        <v>698</v>
      </c>
      <c r="F8" s="295">
        <f ca="1">INDIRECT("'数据-取费表'!ai"&amp;$G$1)</f>
        <v>365</v>
      </c>
      <c r="G8" s="1289"/>
      <c r="H8" s="296"/>
      <c r="I8" s="3601"/>
      <c r="J8" s="298"/>
      <c r="K8" s="299"/>
      <c r="L8" s="294" t="s">
        <v>698</v>
      </c>
      <c r="M8" s="295">
        <f ca="1">INDIRECT("'数据-取费表'!ai"&amp;$G$1)</f>
        <v>365</v>
      </c>
    </row>
    <row r="9" spans="1:37" ht="18" customHeight="1">
      <c r="A9" s="296"/>
      <c r="B9" s="3602"/>
      <c r="C9" s="298"/>
      <c r="D9" s="299"/>
      <c r="E9" s="294" t="s">
        <v>699</v>
      </c>
      <c r="F9" s="304">
        <f ca="1">INDIRECT("'数据-取费表'!w"&amp;$G$1)</f>
        <v>0.1</v>
      </c>
      <c r="G9" s="1289"/>
      <c r="H9" s="296"/>
      <c r="I9" s="3602"/>
      <c r="J9" s="298"/>
      <c r="K9" s="299"/>
      <c r="L9" s="305" t="s">
        <v>699</v>
      </c>
      <c r="M9" s="306">
        <f ca="1">INDIRECT("'数据-取费表'!ab"&amp;$G$1)</f>
        <v>0</v>
      </c>
    </row>
    <row r="10" spans="1:37" ht="18" customHeight="1">
      <c r="A10" s="1003" t="s">
        <v>402</v>
      </c>
      <c r="B10" s="1271" t="s">
        <v>700</v>
      </c>
      <c r="C10" s="308">
        <f ca="1">ROUND(IF(F10="押一",C6/12*F11,IF(F10="押二",C6/12*2*F11,IF(F10="押三",C6/12*3*F11,C11*F11))),0)</f>
        <v>2</v>
      </c>
      <c r="D10" s="150" t="s">
        <v>2117</v>
      </c>
      <c r="E10" s="305" t="s">
        <v>701</v>
      </c>
      <c r="F10" s="1050" t="s">
        <v>3693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4376</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3611</v>
      </c>
      <c r="D14" s="1254" t="s">
        <v>708</v>
      </c>
      <c r="E14" s="1252"/>
      <c r="F14" s="311"/>
      <c r="G14" s="1289"/>
      <c r="H14" s="925" t="s">
        <v>398</v>
      </c>
      <c r="I14" s="294" t="s">
        <v>709</v>
      </c>
      <c r="J14" s="21">
        <f ca="1">C29</f>
        <v>5148</v>
      </c>
      <c r="K14" s="12"/>
      <c r="L14" s="756"/>
      <c r="M14" s="757"/>
    </row>
    <row r="15" spans="1:37" s="1301" customFormat="1" ht="18" customHeight="1" thickBot="1">
      <c r="A15" s="925" t="s">
        <v>399</v>
      </c>
      <c r="B15" s="294" t="s">
        <v>710</v>
      </c>
      <c r="C15" s="21">
        <f ca="1">ROUND(C14*F15,0)</f>
        <v>108</v>
      </c>
      <c r="D15" s="312" t="s">
        <v>711</v>
      </c>
      <c r="E15" s="312" t="s">
        <v>712</v>
      </c>
      <c r="F15" s="313">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79</v>
      </c>
      <c r="K16" s="1021" t="s">
        <v>715</v>
      </c>
      <c r="L16" s="1022"/>
      <c r="M16" s="1006"/>
    </row>
    <row r="17" spans="1:37" s="1301" customFormat="1" ht="18" customHeight="1">
      <c r="A17" s="925" t="s">
        <v>681</v>
      </c>
      <c r="B17" s="294" t="s">
        <v>716</v>
      </c>
      <c r="C17" s="21">
        <f ca="1">ROUND(F17*(F43+INDIRECT("'数据-取费表'!S"&amp;$G$1))/10000,0)</f>
        <v>181</v>
      </c>
      <c r="D17" s="294" t="s">
        <v>717</v>
      </c>
      <c r="E17" s="294" t="s">
        <v>718</v>
      </c>
      <c r="F17" s="23">
        <f>'数据-取费表'!B35</f>
        <v>200</v>
      </c>
      <c r="G17" s="1300"/>
      <c r="H17" s="925" t="s">
        <v>398</v>
      </c>
      <c r="I17" s="294" t="s">
        <v>719</v>
      </c>
      <c r="J17" s="2137">
        <f ca="1">ROUND(IF(AND(项目基本情况!B11="自然人",项目基本情况!B10="北京市"),J6*M17/(1+'数据-取费表'!C42),J18+J19+J20),2)</f>
        <v>1.58</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54</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3954</v>
      </c>
      <c r="D19" s="123" t="s">
        <v>726</v>
      </c>
      <c r="E19" s="1266"/>
      <c r="F19" s="23"/>
      <c r="G19" s="1289"/>
      <c r="H19" s="925" t="s">
        <v>399</v>
      </c>
      <c r="I19" s="294" t="s">
        <v>727</v>
      </c>
      <c r="J19" s="21">
        <f ca="1">IF(K19="按租金收入计税",ROUND(J6*M19/(1+'数据-取费表'!C42),2),ROUND(C29*M19*0.7,2))</f>
        <v>0</v>
      </c>
      <c r="K19" s="1275" t="s">
        <v>3343</v>
      </c>
      <c r="L19" s="294" t="s">
        <v>712</v>
      </c>
      <c r="M19" s="314">
        <f>IF(K19="按租金收入计税",'数据-取费表'!B51,'数据-取费表'!B50)</f>
        <v>0.12</v>
      </c>
    </row>
    <row r="20" spans="1:37" s="1301" customFormat="1" ht="18" customHeight="1">
      <c r="A20" s="925" t="s">
        <v>402</v>
      </c>
      <c r="B20" s="294" t="s">
        <v>728</v>
      </c>
      <c r="C20" s="21">
        <f ca="1">ROUND(C19*F20,0)</f>
        <v>59</v>
      </c>
      <c r="D20" s="315" t="s">
        <v>729</v>
      </c>
      <c r="E20" s="294" t="s">
        <v>712</v>
      </c>
      <c r="F20" s="314">
        <f>'数据-取费表'!B37</f>
        <v>1.4999999999999999E-2</v>
      </c>
      <c r="G20" s="1300"/>
      <c r="H20" s="925" t="s">
        <v>680</v>
      </c>
      <c r="I20" s="147" t="s">
        <v>730</v>
      </c>
      <c r="J20" s="22">
        <f ca="1">ROUND(M20*M21/10000,2)</f>
        <v>1.58</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2637.27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77.22</v>
      </c>
      <c r="K22" s="1253" t="s">
        <v>739</v>
      </c>
      <c r="L22" s="294" t="s">
        <v>712</v>
      </c>
      <c r="M22" s="320">
        <f ca="1">INDIRECT("'数据-取费表'!Ak"&amp;$G$1)</f>
        <v>1.4999999999999999E-2</v>
      </c>
    </row>
    <row r="23" spans="1:37" s="1301" customFormat="1" ht="18" customHeight="1">
      <c r="A23" s="925" t="s">
        <v>397</v>
      </c>
      <c r="B23" s="294" t="s">
        <v>740</v>
      </c>
      <c r="C23" s="21">
        <f ca="1">IF('数据-取费表'!B22&lt;=1,ROUND(C19*F24*F23/2,0)+ROUND(C20*F24*F23/2,0),ROUND(C19*(POWER((1+F24),F23/2)-1),0)+ROUND(C20*(POWER((1+F24),F23/2)-1),0))</f>
        <v>166</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4.1499999999999995E-2</v>
      </c>
      <c r="G24" s="1300"/>
      <c r="H24" s="1023" t="s">
        <v>683</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-79</v>
      </c>
      <c r="K25" s="1029" t="s">
        <v>753</v>
      </c>
      <c r="L25" s="1030"/>
      <c r="M25" s="1031"/>
    </row>
    <row r="26" spans="1:37">
      <c r="A26" s="925" t="s">
        <v>397</v>
      </c>
      <c r="B26" s="294" t="s">
        <v>754</v>
      </c>
      <c r="C26" s="21">
        <f ca="1">ROUND((C19+C20)*F26,0)</f>
        <v>602</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2.3E-3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5148</v>
      </c>
      <c r="D29" s="1026"/>
      <c r="E29" s="1024"/>
      <c r="F29" s="1027"/>
      <c r="G29" s="1300"/>
      <c r="H29" s="325" t="s">
        <v>396</v>
      </c>
      <c r="I29" s="326" t="s">
        <v>768</v>
      </c>
      <c r="J29" s="327">
        <f ca="1">ROUND(J26/(1+F40)^F41,0)</f>
        <v>0</v>
      </c>
      <c r="K29" s="328" t="s">
        <v>769</v>
      </c>
      <c r="L29" s="329"/>
      <c r="M29" s="330">
        <f ca="1">INDIRECT("'数据-取费表'!k"&amp;$G$1)</f>
        <v>9026.5699999999961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322</v>
      </c>
      <c r="D30" s="1021" t="s">
        <v>715</v>
      </c>
      <c r="E30" s="1022"/>
      <c r="F30" s="1006"/>
      <c r="G30" s="1289"/>
      <c r="H30" s="2468"/>
      <c r="I30" s="1302"/>
      <c r="J30" s="1303"/>
      <c r="K30" s="121"/>
      <c r="L30" s="2469"/>
      <c r="M30" s="2470"/>
    </row>
    <row r="31" spans="1:37" ht="18" customHeight="1">
      <c r="A31" s="925" t="s">
        <v>398</v>
      </c>
      <c r="B31" s="294" t="s">
        <v>719</v>
      </c>
      <c r="C31" s="2137">
        <f ca="1">ROUND(IF(AND(项目基本情况!B11="自然人",项目基本情况!B10="北京市"),C6*F31/(1+'数据-取费表'!C42),C32+C33+C34),2)</f>
        <v>225.19</v>
      </c>
      <c r="D31" s="1254" t="s">
        <v>720</v>
      </c>
      <c r="E31" s="1253" t="s">
        <v>770</v>
      </c>
      <c r="F31" s="2136" t="str">
        <f>IF(项目基本情况!B11="企业","——",IF(M47="住宅",IF(F6*F7*F8/12/(1+'数据-取费表'!F30)&gt;100000,4%,2.5%),IF(F6*F7*F8/12/(1+'数据-取费表'!F30)&gt;100000,12%,7%)))</f>
        <v>——</v>
      </c>
      <c r="G31" s="1289"/>
      <c r="H31" s="2567" t="s">
        <v>2310</v>
      </c>
      <c r="I31" s="1302"/>
      <c r="J31" s="1303"/>
      <c r="K31" s="121"/>
      <c r="L31" s="2469"/>
      <c r="M31" s="2470"/>
    </row>
    <row r="32" spans="1:37" ht="18" customHeight="1">
      <c r="A32" s="925" t="s">
        <v>397</v>
      </c>
      <c r="B32" s="294" t="s">
        <v>723</v>
      </c>
      <c r="C32" s="21">
        <f ca="1">IF(项目基本情况!B11="自然人","——",ROUND(C6*F32/(1+'数据-取费表'!C42),2))</f>
        <v>71.150000000000006</v>
      </c>
      <c r="D32" s="1253" t="s">
        <v>724</v>
      </c>
      <c r="E32" s="294" t="s">
        <v>712</v>
      </c>
      <c r="F32" s="322">
        <f>'数据-取费表'!B41</f>
        <v>5.6000000000000001E-2</v>
      </c>
      <c r="G32" s="1289"/>
      <c r="H32" s="2468"/>
      <c r="I32" s="1302"/>
      <c r="J32" s="1303"/>
      <c r="K32" s="121"/>
      <c r="L32" s="2469"/>
      <c r="M32" s="2470"/>
    </row>
    <row r="33" spans="1:18" ht="18" customHeight="1">
      <c r="A33" s="925" t="s">
        <v>399</v>
      </c>
      <c r="B33" s="294" t="s">
        <v>727</v>
      </c>
      <c r="C33" s="21">
        <f ca="1">IF(项目基本情况!B11="自然人","——",IF(D33="按租金收入计税",ROUND(C6*F33/(1+'数据-取费表'!C42),2),IF(D33="按房产原值计税",ROUND(C29*F33*0.7,2),INDIRECT("'数据-取费表'!Aj"&amp;$G$1))))</f>
        <v>152.46</v>
      </c>
      <c r="D33" s="1275" t="s">
        <v>3343</v>
      </c>
      <c r="E33" s="294" t="s">
        <v>712</v>
      </c>
      <c r="F33" s="314">
        <f>IF(D33="按票据","——",IF(D33="按租金收入计税",'数据-取费表'!B51,'数据-取费表'!B50))</f>
        <v>0.12</v>
      </c>
      <c r="G33" s="1289"/>
      <c r="H33" s="2471"/>
      <c r="I33" s="1302"/>
      <c r="J33" s="1303"/>
      <c r="K33" s="2472"/>
      <c r="L33" s="2471"/>
      <c r="M33" s="2471"/>
    </row>
    <row r="34" spans="1:18" ht="18" customHeight="1">
      <c r="A34" s="1003" t="s">
        <v>680</v>
      </c>
      <c r="B34" s="147" t="s">
        <v>730</v>
      </c>
      <c r="C34" s="22">
        <f ca="1">IF(项目基本情况!B11="自然人","——",ROUND(F34*F35/10000,2))</f>
        <v>1.58</v>
      </c>
      <c r="D34" s="316" t="s">
        <v>731</v>
      </c>
      <c r="E34" s="294" t="s">
        <v>732</v>
      </c>
      <c r="F34" s="317">
        <f>'数据-取费表'!B52</f>
        <v>6</v>
      </c>
      <c r="G34" s="1289"/>
      <c r="H34" s="2468"/>
      <c r="I34" s="1302"/>
      <c r="J34" s="1303"/>
      <c r="K34" s="2473"/>
      <c r="L34" s="2474"/>
      <c r="M34" s="2474"/>
    </row>
    <row r="35" spans="1:18" ht="18" customHeight="1">
      <c r="A35" s="1037"/>
      <c r="B35" s="1035"/>
      <c r="C35" s="26"/>
      <c r="D35" s="319"/>
      <c r="E35" s="294" t="s">
        <v>736</v>
      </c>
      <c r="F35" s="295">
        <f ca="1">INDIRECT("'数据-取费表'!r"&amp;$G$1)</f>
        <v>2637.27</v>
      </c>
      <c r="G35" s="1289"/>
      <c r="H35" s="2468"/>
      <c r="I35" s="1302"/>
      <c r="J35" s="1303"/>
      <c r="K35" s="2472"/>
      <c r="L35" s="2471"/>
      <c r="M35" s="2471"/>
    </row>
    <row r="36" spans="1:18" ht="18" customHeight="1">
      <c r="A36" s="1036" t="s">
        <v>402</v>
      </c>
      <c r="B36" s="294" t="s">
        <v>738</v>
      </c>
      <c r="C36" s="21">
        <f ca="1">ROUND(C29*F36,2)</f>
        <v>77.22</v>
      </c>
      <c r="D36" s="1253" t="s">
        <v>771</v>
      </c>
      <c r="E36" s="294" t="s">
        <v>712</v>
      </c>
      <c r="F36" s="320">
        <f ca="1">INDIRECT("'数据-取费表'!Ak"&amp;$G$1)</f>
        <v>1.4999999999999999E-2</v>
      </c>
      <c r="G36" s="1289"/>
      <c r="H36" s="2471"/>
      <c r="I36" s="1302"/>
      <c r="J36" s="1303"/>
      <c r="K36" s="2328"/>
      <c r="L36" s="2471"/>
      <c r="M36" s="2471"/>
    </row>
    <row r="37" spans="1:18" ht="18" customHeight="1">
      <c r="A37" s="925" t="s">
        <v>437</v>
      </c>
      <c r="B37" s="294" t="s">
        <v>742</v>
      </c>
      <c r="C37" s="21">
        <f ca="1">ROUND(C13*F37,2)</f>
        <v>6.56</v>
      </c>
      <c r="D37" s="1253" t="s">
        <v>743</v>
      </c>
      <c r="E37" s="294" t="s">
        <v>744</v>
      </c>
      <c r="F37" s="321">
        <f ca="1">INDIRECT("'数据-取费表'!Al"&amp;$G$1)</f>
        <v>1.5E-3</v>
      </c>
      <c r="G37" s="1289"/>
      <c r="H37" s="2471"/>
      <c r="I37" s="1302"/>
      <c r="J37" s="1303"/>
      <c r="K37" s="2328"/>
      <c r="L37" s="2471"/>
      <c r="M37" s="2471"/>
    </row>
    <row r="38" spans="1:18" ht="18" customHeight="1" thickBot="1">
      <c r="A38" s="1023" t="s">
        <v>683</v>
      </c>
      <c r="B38" s="1024" t="s">
        <v>728</v>
      </c>
      <c r="C38" s="1025">
        <f ca="1">ROUND(C5*F38,2)</f>
        <v>13.36</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752</v>
      </c>
      <c r="C39" s="302">
        <f ca="1">C5-C30</f>
        <v>1014</v>
      </c>
      <c r="D39" s="1029" t="s">
        <v>773</v>
      </c>
      <c r="E39" s="1030"/>
      <c r="F39" s="1031"/>
      <c r="G39" s="1289"/>
      <c r="H39" s="2471"/>
      <c r="I39" s="1302"/>
      <c r="J39" s="1303"/>
      <c r="K39" s="2469"/>
      <c r="L39" s="2471"/>
      <c r="M39" s="2471"/>
    </row>
    <row r="40" spans="1:18" ht="18" customHeight="1">
      <c r="A40" s="291" t="s">
        <v>395</v>
      </c>
      <c r="B40" s="292" t="s">
        <v>774</v>
      </c>
      <c r="C40" s="293">
        <f ca="1">ROUND(C39*(1-((1+F42)/(1+F40))^F41)/(F40-F42),0)</f>
        <v>21843</v>
      </c>
      <c r="D40" s="316" t="s">
        <v>758</v>
      </c>
      <c r="E40" s="294" t="s">
        <v>759</v>
      </c>
      <c r="F40" s="304">
        <f ca="1">INDIRECT("'数据-取费表'!I"&amp;$G$1)</f>
        <v>5.5E-2</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36.020000000000003</v>
      </c>
      <c r="G41" s="1289"/>
      <c r="H41" s="121"/>
      <c r="I41" s="1302"/>
      <c r="J41" s="1303"/>
      <c r="K41" s="2328"/>
      <c r="L41" s="121"/>
      <c r="M41" s="121"/>
    </row>
    <row r="42" spans="1:18" ht="18" customHeight="1">
      <c r="A42" s="300"/>
      <c r="B42" s="301"/>
      <c r="C42" s="302"/>
      <c r="D42" s="319"/>
      <c r="E42" s="294" t="s">
        <v>766</v>
      </c>
      <c r="F42" s="304">
        <f ca="1">INDIRECT("'数据-取费表'!v"&amp;$G$1)</f>
        <v>2.5000000000000001E-2</v>
      </c>
      <c r="G42" s="1289"/>
      <c r="H42" s="121"/>
      <c r="I42" s="1302"/>
      <c r="J42" s="1303"/>
      <c r="K42" s="2328"/>
      <c r="L42" s="121"/>
      <c r="M42" s="121"/>
    </row>
    <row r="43" spans="1:18" ht="18" customHeight="1" thickBot="1">
      <c r="A43" s="325" t="s">
        <v>396</v>
      </c>
      <c r="B43" s="326" t="s">
        <v>776</v>
      </c>
      <c r="C43" s="327">
        <f ca="1">ROUND(C40*10000/F43,0)</f>
        <v>24199</v>
      </c>
      <c r="D43" s="328" t="s">
        <v>777</v>
      </c>
      <c r="E43" s="329" t="s">
        <v>778</v>
      </c>
      <c r="F43" s="330">
        <f ca="1">INDIRECT("'数据-取费表'!k"&amp;$G$1)</f>
        <v>9026.5699999999961</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808</v>
      </c>
      <c r="P45" s="1363"/>
      <c r="Q45" s="1363"/>
      <c r="R45" s="1363"/>
    </row>
    <row r="46" spans="1:18" s="1289" customFormat="1" ht="13.5" thickBot="1">
      <c r="A46" s="1308" t="s">
        <v>809</v>
      </c>
      <c r="C46" s="1309">
        <f ca="1">C68-C40</f>
        <v>-23179</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3694</v>
      </c>
      <c r="K47" s="1320" t="s">
        <v>816</v>
      </c>
      <c r="L47" s="1321">
        <f ca="1">INDIRECT("'数据-取费表'!d"&amp;$G$1)</f>
        <v>50</v>
      </c>
      <c r="M47" s="1285" t="str">
        <f>IF(ISNUMBER(FIND("住宅",C1)),"住宅","非住宅")</f>
        <v>非住宅</v>
      </c>
      <c r="O47" s="1322" t="s">
        <v>403</v>
      </c>
      <c r="P47" s="1323" t="s">
        <v>817</v>
      </c>
      <c r="Q47" s="1324">
        <f ca="1">C40+J29</f>
        <v>21843</v>
      </c>
      <c r="R47" s="1324" t="s">
        <v>818</v>
      </c>
    </row>
    <row r="48" spans="1:18" s="1289" customFormat="1" ht="28.5" thickBot="1">
      <c r="A48" s="1044" t="s">
        <v>438</v>
      </c>
      <c r="B48" s="292" t="s">
        <v>692</v>
      </c>
      <c r="C48" s="1265">
        <f ca="1">C49+C53+C55</f>
        <v>0</v>
      </c>
      <c r="D48" s="1046"/>
      <c r="E48" s="1047"/>
      <c r="F48" s="905"/>
      <c r="G48" s="681"/>
      <c r="H48" s="682"/>
      <c r="I48" s="1325" t="s">
        <v>819</v>
      </c>
      <c r="J48" s="1326" t="s">
        <v>3695</v>
      </c>
      <c r="K48" s="1327" t="s">
        <v>820</v>
      </c>
      <c r="L48" s="1328">
        <f ca="1">INDIRECT("'数据-取费表'!f"&amp;$G$1)</f>
        <v>36.020000000000003</v>
      </c>
      <c r="O48" s="1322" t="s">
        <v>404</v>
      </c>
      <c r="P48" s="1323" t="s">
        <v>821</v>
      </c>
      <c r="Q48" s="1324" t="str">
        <f ca="1">J60</f>
        <v>0</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2014</v>
      </c>
      <c r="K49" s="1327" t="s">
        <v>824</v>
      </c>
      <c r="L49" s="1330"/>
      <c r="O49" s="1331" t="s">
        <v>405</v>
      </c>
      <c r="P49" s="1323" t="s">
        <v>825</v>
      </c>
      <c r="Q49" s="1324">
        <f ca="1">C29</f>
        <v>5148</v>
      </c>
      <c r="R49" s="1324" t="s">
        <v>818</v>
      </c>
    </row>
    <row r="50" spans="1:18" s="1289" customFormat="1" ht="13.5" thickBot="1">
      <c r="A50" s="919"/>
      <c r="B50" s="922"/>
      <c r="C50" s="1052"/>
      <c r="D50" s="896"/>
      <c r="E50" s="990" t="s">
        <v>697</v>
      </c>
      <c r="F50" s="991">
        <f ca="1">F7</f>
        <v>9026.5699999999961</v>
      </c>
      <c r="H50" s="682"/>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0"/>
      <c r="B51" s="922"/>
      <c r="C51" s="923"/>
      <c r="D51" s="896"/>
      <c r="E51" s="924" t="s">
        <v>698</v>
      </c>
      <c r="F51" s="295">
        <f ca="1">F8</f>
        <v>365</v>
      </c>
      <c r="I51" s="1335" t="s">
        <v>829</v>
      </c>
      <c r="J51" s="1328">
        <f>IF(J49="",J50,J49+J50-YEAR('数据-取费表'!B2))</f>
        <v>51</v>
      </c>
      <c r="K51" s="1336" t="s">
        <v>830</v>
      </c>
      <c r="L51" s="1337">
        <f ca="1">ROUND(-PV(INDIRECT("'数据-取费表'!h"&amp;$G$1),J51,(C39-C13*C76),0),0)</f>
        <v>14060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36.020000000000003</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36.020000000000003</v>
      </c>
      <c r="K53" s="3598" t="s">
        <v>837</v>
      </c>
      <c r="L53" s="3599"/>
      <c r="O53" s="1322" t="s">
        <v>409</v>
      </c>
      <c r="P53" s="1323" t="s">
        <v>838</v>
      </c>
      <c r="Q53" s="1324">
        <f ca="1">Q47+Q48</f>
        <v>21843</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0">
        <v>2</v>
      </c>
      <c r="B56" s="901" t="s">
        <v>704</v>
      </c>
      <c r="C56" s="224">
        <f ca="1">C13</f>
        <v>4376</v>
      </c>
      <c r="D56" s="1349"/>
      <c r="E56" s="1350"/>
      <c r="F56" s="1342"/>
      <c r="I56" s="1351" t="s">
        <v>842</v>
      </c>
      <c r="J56" s="1352" t="s">
        <v>3457</v>
      </c>
      <c r="K56" s="1325" t="s">
        <v>843</v>
      </c>
      <c r="L56" s="1328" t="str">
        <f ca="1">IF(L48&lt;J51,"——",L48-J53)</f>
        <v>——</v>
      </c>
      <c r="O56" s="1322" t="s">
        <v>403</v>
      </c>
      <c r="P56" s="1323" t="s">
        <v>817</v>
      </c>
      <c r="Q56" s="1324">
        <f ca="1">C40+J29</f>
        <v>21843</v>
      </c>
      <c r="R56" s="1324" t="s">
        <v>818</v>
      </c>
    </row>
    <row r="57" spans="1:18" s="1289" customFormat="1" ht="24.75" thickBot="1">
      <c r="A57" s="1353"/>
      <c r="B57" s="893" t="s">
        <v>767</v>
      </c>
      <c r="C57" s="230">
        <f ca="1">C29</f>
        <v>5148</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86</v>
      </c>
      <c r="D58" s="903" t="s">
        <v>715</v>
      </c>
      <c r="E58" s="904"/>
      <c r="F58" s="905"/>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2</v>
      </c>
      <c r="D59" s="906" t="s">
        <v>720</v>
      </c>
      <c r="E59" s="907"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3343</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1.58</v>
      </c>
      <c r="D62" s="908" t="s">
        <v>786</v>
      </c>
      <c r="E62" s="893" t="s">
        <v>787</v>
      </c>
      <c r="F62" s="317">
        <f t="shared" si="0"/>
        <v>6</v>
      </c>
      <c r="I62" s="1364" t="s">
        <v>858</v>
      </c>
      <c r="J62" s="610" t="s">
        <v>859</v>
      </c>
      <c r="K62" s="610" t="s">
        <v>860</v>
      </c>
      <c r="L62" s="610" t="s">
        <v>861</v>
      </c>
      <c r="M62" s="1365" t="s">
        <v>862</v>
      </c>
      <c r="O62" s="1322" t="s">
        <v>409</v>
      </c>
      <c r="P62" s="1323" t="s">
        <v>863</v>
      </c>
      <c r="Q62" s="1324">
        <f ca="1">Q56+Q57</f>
        <v>21843</v>
      </c>
      <c r="R62" s="1324" t="s">
        <v>410</v>
      </c>
    </row>
    <row r="63" spans="1:18" s="1289" customFormat="1" ht="13.5" thickBot="1">
      <c r="A63" s="318"/>
      <c r="B63" s="899"/>
      <c r="C63" s="26"/>
      <c r="D63" s="909"/>
      <c r="E63" s="893" t="s">
        <v>788</v>
      </c>
      <c r="F63" s="295">
        <f t="shared" ca="1" si="0"/>
        <v>2637.27</v>
      </c>
      <c r="I63" s="1364" t="s">
        <v>864</v>
      </c>
      <c r="J63" s="610">
        <v>70</v>
      </c>
      <c r="K63" s="610">
        <v>50</v>
      </c>
      <c r="L63" s="610">
        <v>80</v>
      </c>
      <c r="M63" s="1366">
        <v>0.02</v>
      </c>
      <c r="O63" s="1307" t="s">
        <v>865</v>
      </c>
      <c r="P63" s="1286"/>
      <c r="Q63" s="1286"/>
      <c r="R63" s="1286"/>
    </row>
    <row r="64" spans="1:18" s="1289" customFormat="1" ht="13.5" thickBot="1">
      <c r="A64" s="925" t="s">
        <v>789</v>
      </c>
      <c r="B64" s="893" t="s">
        <v>738</v>
      </c>
      <c r="C64" s="21">
        <f ca="1">ROUND(C57*F64,2)</f>
        <v>77.22</v>
      </c>
      <c r="D64" s="907" t="s">
        <v>791</v>
      </c>
      <c r="E64" s="893" t="s">
        <v>783</v>
      </c>
      <c r="F64" s="320">
        <f t="shared" ca="1" si="0"/>
        <v>1.4999999999999999E-2</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6.56</v>
      </c>
      <c r="D65" s="907" t="s">
        <v>743</v>
      </c>
      <c r="E65" s="893" t="s">
        <v>744</v>
      </c>
      <c r="F65" s="321">
        <f t="shared" ca="1" si="0"/>
        <v>1.5E-3</v>
      </c>
      <c r="I65" s="1364" t="s">
        <v>867</v>
      </c>
      <c r="J65" s="610">
        <v>40</v>
      </c>
      <c r="K65" s="610">
        <v>30</v>
      </c>
      <c r="L65" s="610">
        <v>50</v>
      </c>
      <c r="M65" s="1366">
        <v>0.02</v>
      </c>
      <c r="O65" s="1322" t="s">
        <v>403</v>
      </c>
      <c r="P65" s="1323" t="s">
        <v>868</v>
      </c>
      <c r="Q65" s="1324">
        <f ca="1">C40+J29</f>
        <v>21843</v>
      </c>
      <c r="R65" s="1324" t="s">
        <v>818</v>
      </c>
    </row>
    <row r="66" spans="1:18" s="1289" customFormat="1" ht="16.5"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16.5" thickBot="1">
      <c r="A67" s="900" t="s">
        <v>394</v>
      </c>
      <c r="B67" s="910" t="s">
        <v>752</v>
      </c>
      <c r="C67" s="308">
        <f ca="1">C48-C58</f>
        <v>-86</v>
      </c>
      <c r="D67" s="906" t="s">
        <v>753</v>
      </c>
      <c r="E67" s="911"/>
      <c r="F67" s="912"/>
      <c r="O67" s="1331" t="s">
        <v>405</v>
      </c>
      <c r="P67" s="1323" t="s">
        <v>850</v>
      </c>
      <c r="Q67" s="1367">
        <f ca="1">L51</f>
        <v>14060</v>
      </c>
      <c r="R67" s="1324" t="s">
        <v>870</v>
      </c>
    </row>
    <row r="68" spans="1:18" s="1289" customFormat="1" ht="16.5" thickBot="1">
      <c r="A68" s="890" t="s">
        <v>395</v>
      </c>
      <c r="B68" s="891" t="s">
        <v>774</v>
      </c>
      <c r="C68" s="293">
        <f ca="1">ROUND(C67*(1-((1+F70)/(1+F68))^F69)/(F68-F70),0)</f>
        <v>-1336</v>
      </c>
      <c r="D68" s="908" t="s">
        <v>758</v>
      </c>
      <c r="E68" s="893" t="s">
        <v>759</v>
      </c>
      <c r="F68" s="304">
        <f ca="1">F40</f>
        <v>5.5E-2</v>
      </c>
      <c r="O68" s="1331" t="s">
        <v>406</v>
      </c>
      <c r="P68" s="1368" t="s">
        <v>871</v>
      </c>
      <c r="Q68" s="1324">
        <f ca="1">ROUND(Q69-Q70*Q71,0)</f>
        <v>708</v>
      </c>
      <c r="R68" s="1324" t="s">
        <v>414</v>
      </c>
    </row>
    <row r="69" spans="1:18" s="1289" customFormat="1" ht="13.5" thickBot="1">
      <c r="A69" s="894"/>
      <c r="B69" s="895"/>
      <c r="C69" s="298"/>
      <c r="D69" s="913" t="s">
        <v>762</v>
      </c>
      <c r="E69" s="893" t="s">
        <v>763</v>
      </c>
      <c r="F69" s="324">
        <f ca="1">F41</f>
        <v>36.020000000000003</v>
      </c>
      <c r="O69" s="1331" t="s">
        <v>411</v>
      </c>
      <c r="P69" s="1368" t="s">
        <v>872</v>
      </c>
      <c r="Q69" s="1324">
        <f ca="1">C39</f>
        <v>1014</v>
      </c>
      <c r="R69" s="1324" t="s">
        <v>818</v>
      </c>
    </row>
    <row r="70" spans="1:18" s="1289" customFormat="1" ht="13.5" thickBot="1">
      <c r="A70" s="897"/>
      <c r="B70" s="898"/>
      <c r="C70" s="302"/>
      <c r="D70" s="909"/>
      <c r="E70" s="893" t="s">
        <v>766</v>
      </c>
      <c r="F70" s="988"/>
      <c r="O70" s="1331" t="s">
        <v>412</v>
      </c>
      <c r="P70" s="1368" t="s">
        <v>873</v>
      </c>
      <c r="Q70" s="1324">
        <f ca="1">C13</f>
        <v>4376</v>
      </c>
      <c r="R70" s="1324" t="s">
        <v>818</v>
      </c>
    </row>
    <row r="71" spans="1:18" s="1289" customFormat="1" ht="13.5" thickBot="1">
      <c r="A71" s="914" t="s">
        <v>396</v>
      </c>
      <c r="B71" s="915" t="s">
        <v>776</v>
      </c>
      <c r="C71" s="327">
        <f ca="1">ROUND(C68*10000/F71,0)</f>
        <v>-1480</v>
      </c>
      <c r="D71" s="916" t="s">
        <v>777</v>
      </c>
      <c r="E71" s="917" t="s">
        <v>778</v>
      </c>
      <c r="F71" s="330">
        <f ca="1">F43</f>
        <v>9026.5699999999961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306</v>
      </c>
      <c r="D75" s="1289"/>
      <c r="E75" s="1289"/>
      <c r="F75" s="1289"/>
      <c r="K75" s="1306"/>
      <c r="L75" s="1289"/>
      <c r="O75" s="1322" t="s">
        <v>409</v>
      </c>
      <c r="P75" s="1323" t="s">
        <v>838</v>
      </c>
      <c r="Q75" s="1324">
        <f ca="1">Q65+Q66</f>
        <v>21843</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0.69799999999999995</v>
      </c>
    </row>
    <row r="80" spans="1:18">
      <c r="B80" s="331" t="s">
        <v>800</v>
      </c>
      <c r="C80" s="266">
        <f ca="1">ROUND(C75/C39,3)</f>
        <v>0.30199999999999999</v>
      </c>
    </row>
    <row r="81" spans="2:3">
      <c r="B81" s="262" t="s">
        <v>801</v>
      </c>
      <c r="C81" s="230"/>
    </row>
    <row r="82" spans="2:3">
      <c r="B82" s="265" t="s">
        <v>802</v>
      </c>
      <c r="C82" s="267">
        <f ca="1">1-C83</f>
        <v>0.8</v>
      </c>
    </row>
    <row r="83" spans="2:3">
      <c r="B83" s="265" t="s">
        <v>803</v>
      </c>
      <c r="C83" s="266">
        <f ca="1">ROUND(C13/C40,3)</f>
        <v>0.2</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D1" xr:uid="{00000000-0002-0000-2400-000000000000}">
      <formula1>"在建（套用方法）,土地（套用方法）,——"</formula1>
    </dataValidation>
    <dataValidation type="list" allowBlank="1" showInputMessage="1" showErrorMessage="1" sqref="M10 F10 F53" xr:uid="{00000000-0002-0000-2400-000001000000}">
      <formula1>"押一,押二,押三,自定义"</formula1>
    </dataValidation>
    <dataValidation type="list" allowBlank="1" showInputMessage="1" showErrorMessage="1" sqref="L55" xr:uid="{00000000-0002-0000-2400-000002000000}">
      <formula1>"比较法,基准地价,收益还原"</formula1>
    </dataValidation>
    <dataValidation type="list" allowBlank="1" showInputMessage="1" showErrorMessage="1" sqref="J56" xr:uid="{00000000-0002-0000-2400-000003000000}">
      <formula1>估价范围判定</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47" xr:uid="{00000000-0002-0000-2400-000005000000}">
      <formula1>"钢,钢混,砖混"</formula1>
    </dataValidation>
    <dataValidation type="list" allowBlank="1" showInputMessage="1" showErrorMessage="1" sqref="C1" xr:uid="{00000000-0002-0000-2400-000006000000}">
      <formula1>项目类型</formula1>
    </dataValidation>
    <dataValidation type="list" allowBlank="1" showInputMessage="1" showErrorMessage="1" sqref="D33 D61" xr:uid="{00000000-0002-0000-2400-000007000000}">
      <formula1>"按租金收入计税,按房产原值计税,按票据"</formula1>
    </dataValidation>
    <dataValidation type="list" allowBlank="1" showInputMessage="1" showErrorMessage="1" sqref="K19" xr:uid="{00000000-0002-0000-24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0" zoomScale="85" zoomScaleNormal="70" zoomScaleSheetLayoutView="85" workbookViewId="0">
      <selection activeCell="H34" sqref="H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3340</v>
      </c>
      <c r="D1" s="1268" t="s">
        <v>43</v>
      </c>
      <c r="E1" s="1269" t="s">
        <v>678</v>
      </c>
      <c r="F1" s="996">
        <f ca="1">J53</f>
        <v>36.020000000000003</v>
      </c>
      <c r="G1" s="1283">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367</v>
      </c>
      <c r="C2" s="1286" t="s">
        <v>805</v>
      </c>
      <c r="D2" s="1286"/>
      <c r="E2" s="1292"/>
      <c r="F2" s="1293"/>
      <c r="G2" s="2476"/>
      <c r="H2" s="2466"/>
      <c r="I2" s="2466"/>
      <c r="J2" s="2466"/>
      <c r="K2" s="2467"/>
      <c r="L2" s="2466"/>
      <c r="M2" s="2466"/>
    </row>
    <row r="3" spans="1:37" ht="18" customHeight="1" thickBot="1">
      <c r="A3" s="1294" t="s">
        <v>806</v>
      </c>
      <c r="B3" s="1295">
        <f ca="1">IF(ISERROR(B2*10000/F43),0,ROUND(B2*10000/F43,0))</f>
        <v>2511</v>
      </c>
      <c r="C3" s="1286" t="s">
        <v>807</v>
      </c>
      <c r="D3" s="1286"/>
      <c r="E3" s="1292"/>
      <c r="F3" s="1293"/>
      <c r="G3" s="2476"/>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31</v>
      </c>
      <c r="D5" s="1270" t="s">
        <v>693</v>
      </c>
      <c r="E5" s="1005"/>
      <c r="F5" s="1006"/>
      <c r="G5" s="1289"/>
      <c r="H5" s="291">
        <v>1</v>
      </c>
      <c r="I5" s="292" t="s">
        <v>692</v>
      </c>
      <c r="J5" s="1004">
        <f ca="1">J6+J10+J12</f>
        <v>0</v>
      </c>
      <c r="K5" s="1270" t="s">
        <v>693</v>
      </c>
      <c r="L5" s="1005"/>
      <c r="M5" s="1006"/>
    </row>
    <row r="6" spans="1:37" ht="18" customHeight="1">
      <c r="A6" s="1003" t="s">
        <v>398</v>
      </c>
      <c r="B6" s="3600" t="s">
        <v>694</v>
      </c>
      <c r="C6" s="1008">
        <f ca="1">ROUND(F6*F8*F7*(1-F9)/10000,0)</f>
        <v>31</v>
      </c>
      <c r="D6" s="147" t="s">
        <v>2109</v>
      </c>
      <c r="E6" s="294" t="s">
        <v>696</v>
      </c>
      <c r="F6" s="295">
        <f ca="1">INDIRECT("'数据-取费表'!u"&amp;$G$1)</f>
        <v>900</v>
      </c>
      <c r="G6" s="1289"/>
      <c r="H6" s="1003" t="s">
        <v>398</v>
      </c>
      <c r="I6" s="3600" t="s">
        <v>694</v>
      </c>
      <c r="J6" s="293">
        <f ca="1">ROUND(M6*M8*M7*(1-M9)/10000,0)</f>
        <v>0</v>
      </c>
      <c r="K6" s="147" t="s">
        <v>2108</v>
      </c>
      <c r="L6" s="294" t="s">
        <v>696</v>
      </c>
      <c r="M6" s="295">
        <f ca="1">INDIRECT("'数据-取费表'!z"&amp;$G$1)</f>
        <v>0</v>
      </c>
    </row>
    <row r="7" spans="1:37" ht="18" customHeight="1">
      <c r="A7" s="1007"/>
      <c r="B7" s="3601"/>
      <c r="C7" s="1009"/>
      <c r="D7" s="299"/>
      <c r="E7" s="1010" t="s">
        <v>697</v>
      </c>
      <c r="F7" s="295">
        <f ca="1">IF(INDIRECT("'数据-取费表'!ah"&amp;$G$1)="",INDIRECT("'数据-取费表'!k"&amp;$G$1),INDIRECT("'数据-取费表'!ah"&amp;$G$1))</f>
        <v>30</v>
      </c>
      <c r="G7" s="1289"/>
      <c r="H7" s="296"/>
      <c r="I7" s="3601"/>
      <c r="J7" s="298"/>
      <c r="K7" s="299"/>
      <c r="L7" s="294" t="s">
        <v>697</v>
      </c>
      <c r="M7" s="295">
        <f ca="1">F7</f>
        <v>30</v>
      </c>
    </row>
    <row r="8" spans="1:37" ht="18" customHeight="1">
      <c r="A8" s="296"/>
      <c r="B8" s="3601"/>
      <c r="C8" s="298"/>
      <c r="D8" s="299"/>
      <c r="E8" s="294" t="s">
        <v>698</v>
      </c>
      <c r="F8" s="295">
        <f ca="1">INDIRECT("'数据-取费表'!ai"&amp;$G$1)</f>
        <v>12</v>
      </c>
      <c r="G8" s="1289"/>
      <c r="H8" s="296"/>
      <c r="I8" s="3601"/>
      <c r="J8" s="298"/>
      <c r="K8" s="299"/>
      <c r="L8" s="294" t="s">
        <v>698</v>
      </c>
      <c r="M8" s="295">
        <f ca="1">INDIRECT("'数据-取费表'!ai"&amp;$G$1)</f>
        <v>12</v>
      </c>
    </row>
    <row r="9" spans="1:37" ht="18" customHeight="1">
      <c r="A9" s="296"/>
      <c r="B9" s="3602"/>
      <c r="C9" s="298"/>
      <c r="D9" s="299"/>
      <c r="E9" s="294" t="s">
        <v>699</v>
      </c>
      <c r="F9" s="304">
        <f ca="1">INDIRECT("'数据-取费表'!w"&amp;$G$1)</f>
        <v>0.05</v>
      </c>
      <c r="G9" s="1289"/>
      <c r="H9" s="296"/>
      <c r="I9" s="360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2117</v>
      </c>
      <c r="E10" s="305" t="s">
        <v>701</v>
      </c>
      <c r="F10" s="1050" t="s">
        <v>3693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679</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585</v>
      </c>
      <c r="D14" s="1254" t="s">
        <v>708</v>
      </c>
      <c r="E14" s="1252"/>
      <c r="F14" s="311"/>
      <c r="G14" s="1289"/>
      <c r="H14" s="925" t="s">
        <v>398</v>
      </c>
      <c r="I14" s="294" t="s">
        <v>709</v>
      </c>
      <c r="J14" s="21">
        <f ca="1">C29</f>
        <v>799</v>
      </c>
      <c r="K14" s="12"/>
      <c r="L14" s="756"/>
      <c r="M14" s="757"/>
    </row>
    <row r="15" spans="1:37" s="1301" customFormat="1" ht="18" customHeight="1" thickBot="1">
      <c r="A15" s="925" t="s">
        <v>399</v>
      </c>
      <c r="B15" s="294" t="s">
        <v>710</v>
      </c>
      <c r="C15" s="21">
        <f ca="1">ROUND(C14*F15,0)</f>
        <v>18</v>
      </c>
      <c r="D15" s="312" t="s">
        <v>711</v>
      </c>
      <c r="E15" s="312" t="s">
        <v>712</v>
      </c>
      <c r="F15" s="313">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8</v>
      </c>
      <c r="K16" s="1021" t="s">
        <v>715</v>
      </c>
      <c r="L16" s="1022"/>
      <c r="M16" s="1006"/>
    </row>
    <row r="17" spans="1:37" s="1301" customFormat="1" ht="18" customHeight="1">
      <c r="A17" s="925" t="s">
        <v>681</v>
      </c>
      <c r="B17" s="294" t="s">
        <v>716</v>
      </c>
      <c r="C17" s="21">
        <f ca="1">ROUND(F17*(F43+INDIRECT("'数据-取费表'!S"&amp;$G$1))/10000,0)</f>
        <v>29</v>
      </c>
      <c r="D17" s="294" t="s">
        <v>717</v>
      </c>
      <c r="E17" s="294" t="s">
        <v>718</v>
      </c>
      <c r="F17" s="23">
        <f>'数据-取费表'!B35</f>
        <v>200</v>
      </c>
      <c r="G17" s="1300"/>
      <c r="H17" s="925" t="s">
        <v>398</v>
      </c>
      <c r="I17" s="294" t="s">
        <v>719</v>
      </c>
      <c r="J17" s="2137">
        <f ca="1">ROUND(IF(AND(项目基本情况!B11="自然人",项目基本情况!B10="北京市"),J6*M17/(1+'数据-取费表'!C42),J18+J19+J20),2)</f>
        <v>0.26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9</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641</v>
      </c>
      <c r="D19" s="123" t="s">
        <v>726</v>
      </c>
      <c r="E19" s="1266"/>
      <c r="F19" s="23"/>
      <c r="G19" s="1289"/>
      <c r="H19" s="925" t="s">
        <v>399</v>
      </c>
      <c r="I19" s="294" t="s">
        <v>727</v>
      </c>
      <c r="J19" s="21">
        <f ca="1">IF(K19="按租金收入计税",ROUND(J6*M19/(1+'数据-取费表'!C42),2),ROUND(C29*M19*0.7,2))</f>
        <v>0</v>
      </c>
      <c r="K19" s="1275" t="s">
        <v>3343</v>
      </c>
      <c r="L19" s="294" t="s">
        <v>712</v>
      </c>
      <c r="M19" s="314">
        <f>IF(K19="按租金收入计税",'数据-取费表'!B51,'数据-取费表'!B50)</f>
        <v>0.12</v>
      </c>
    </row>
    <row r="20" spans="1:37" s="1301" customFormat="1" ht="18" customHeight="1">
      <c r="A20" s="925" t="s">
        <v>402</v>
      </c>
      <c r="B20" s="294" t="s">
        <v>728</v>
      </c>
      <c r="C20" s="21">
        <f ca="1">ROUND(C19*F20,0)</f>
        <v>10</v>
      </c>
      <c r="D20" s="315" t="s">
        <v>729</v>
      </c>
      <c r="E20" s="294" t="s">
        <v>712</v>
      </c>
      <c r="F20" s="314">
        <f>'数据-取费表'!B37</f>
        <v>1.4999999999999999E-2</v>
      </c>
      <c r="G20" s="1300"/>
      <c r="H20" s="925" t="s">
        <v>680</v>
      </c>
      <c r="I20" s="147" t="s">
        <v>730</v>
      </c>
      <c r="J20" s="22">
        <f ca="1">ROUND(M20*M21/10000,2)</f>
        <v>0.26</v>
      </c>
      <c r="K20" s="316" t="s">
        <v>731</v>
      </c>
      <c r="L20" s="294" t="s">
        <v>732</v>
      </c>
      <c r="M20" s="317">
        <f>'数据-取费表'!B52</f>
        <v>6</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426.99</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7.99</v>
      </c>
      <c r="K22" s="1253" t="s">
        <v>739</v>
      </c>
      <c r="L22" s="294" t="s">
        <v>712</v>
      </c>
      <c r="M22" s="320">
        <f ca="1">INDIRECT("'数据-取费表'!Ak"&amp;$G$1)</f>
        <v>0.01</v>
      </c>
    </row>
    <row r="23" spans="1:37" s="1301" customFormat="1" ht="18" customHeight="1">
      <c r="A23" s="925"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4.1499999999999995E-2</v>
      </c>
      <c r="G24" s="1300"/>
      <c r="H24" s="1023" t="s">
        <v>683</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-8</v>
      </c>
      <c r="K25" s="1029" t="s">
        <v>753</v>
      </c>
      <c r="L25" s="1030"/>
      <c r="M25" s="1031"/>
    </row>
    <row r="26" spans="1:37">
      <c r="A26" s="925" t="s">
        <v>397</v>
      </c>
      <c r="B26" s="294" t="s">
        <v>754</v>
      </c>
      <c r="C26" s="21">
        <f ca="1">ROUND((C19+C20)*F26,0)</f>
        <v>65</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1.5E-3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799</v>
      </c>
      <c r="D29" s="1026"/>
      <c r="E29" s="1024"/>
      <c r="F29" s="1027"/>
      <c r="G29" s="1300"/>
      <c r="H29" s="325" t="s">
        <v>396</v>
      </c>
      <c r="I29" s="326" t="s">
        <v>768</v>
      </c>
      <c r="J29" s="327">
        <f ca="1">ROUND(J26/(1+F40)^F41,0)</f>
        <v>0</v>
      </c>
      <c r="K29" s="328" t="s">
        <v>769</v>
      </c>
      <c r="L29" s="329"/>
      <c r="M29" s="330">
        <f ca="1">INDIRECT("'数据-取费表'!k"&amp;$G$1)</f>
        <v>1461.4599999999998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14</v>
      </c>
      <c r="D30" s="1021" t="s">
        <v>715</v>
      </c>
      <c r="E30" s="1022"/>
      <c r="F30" s="1006"/>
      <c r="G30" s="1289"/>
      <c r="H30" s="2468"/>
      <c r="I30" s="1302"/>
      <c r="J30" s="1303"/>
      <c r="K30" s="121"/>
      <c r="L30" s="2469"/>
      <c r="M30" s="2470"/>
    </row>
    <row r="31" spans="1:37" ht="18" customHeight="1">
      <c r="A31" s="925" t="s">
        <v>398</v>
      </c>
      <c r="B31" s="294" t="s">
        <v>719</v>
      </c>
      <c r="C31" s="2137">
        <f ca="1">ROUND(IF(AND(项目基本情况!B11="自然人",项目基本情况!B10="北京市"),C6*F31/(1+'数据-取费表'!C42),C32+C33+C34),2)</f>
        <v>5.45</v>
      </c>
      <c r="D31" s="1254" t="s">
        <v>720</v>
      </c>
      <c r="E31" s="1253" t="s">
        <v>770</v>
      </c>
      <c r="F31" s="2136" t="str">
        <f>IF(项目基本情况!B11="企业","——",IF(M47="住宅",IF(F6*F7*F8/12/(1+'数据-取费表'!F30)&gt;100000,4%,2.5%),IF(F6*F7*F8/12/(1+'数据-取费表'!F30)&gt;100000,12%,7%)))</f>
        <v>——</v>
      </c>
      <c r="G31" s="1289"/>
      <c r="H31" s="2567" t="s">
        <v>2310</v>
      </c>
      <c r="I31" s="1302"/>
      <c r="J31" s="1303"/>
      <c r="K31" s="121"/>
      <c r="L31" s="2469"/>
      <c r="M31" s="2470"/>
    </row>
    <row r="32" spans="1:37" ht="18" customHeight="1">
      <c r="A32" s="925" t="s">
        <v>397</v>
      </c>
      <c r="B32" s="294" t="s">
        <v>723</v>
      </c>
      <c r="C32" s="21">
        <f ca="1">IF(项目基本情况!B11="自然人","——",ROUND(C6*F32/(1+'数据-取费表'!C42),2))</f>
        <v>1.65</v>
      </c>
      <c r="D32" s="1253" t="s">
        <v>724</v>
      </c>
      <c r="E32" s="294" t="s">
        <v>712</v>
      </c>
      <c r="F32" s="322">
        <f>'数据-取费表'!B41</f>
        <v>5.6000000000000001E-2</v>
      </c>
      <c r="G32" s="1289"/>
      <c r="H32" s="2468"/>
      <c r="I32" s="1302"/>
      <c r="J32" s="1303"/>
      <c r="K32" s="121"/>
      <c r="L32" s="2469"/>
      <c r="M32" s="2470"/>
    </row>
    <row r="33" spans="1:18" ht="18" customHeight="1">
      <c r="A33" s="925" t="s">
        <v>399</v>
      </c>
      <c r="B33" s="294" t="s">
        <v>727</v>
      </c>
      <c r="C33" s="21">
        <f ca="1">IF(项目基本情况!B11="自然人","——",IF(D33="按租金收入计税",ROUND(C6*F33/(1+'数据-取费表'!C42),2),IF(D33="按房产原值计税",ROUND(C29*F33*0.7,2),INDIRECT("'数据-取费表'!Aj"&amp;$G$1))))</f>
        <v>3.54</v>
      </c>
      <c r="D33" s="1275" t="s">
        <v>3343</v>
      </c>
      <c r="E33" s="294" t="s">
        <v>712</v>
      </c>
      <c r="F33" s="314">
        <f>IF(D33="按票据","——",IF(D33="按租金收入计税",'数据-取费表'!B51,'数据-取费表'!B50))</f>
        <v>0.12</v>
      </c>
      <c r="G33" s="1289"/>
      <c r="H33" s="2471">
        <f ca="1">C36+C37+C38</f>
        <v>8.98</v>
      </c>
      <c r="I33" s="1302"/>
      <c r="J33" s="1303"/>
      <c r="K33" s="2472"/>
      <c r="L33" s="2471"/>
      <c r="M33" s="2471"/>
    </row>
    <row r="34" spans="1:18" ht="18" customHeight="1">
      <c r="A34" s="1003" t="s">
        <v>680</v>
      </c>
      <c r="B34" s="147" t="s">
        <v>730</v>
      </c>
      <c r="C34" s="22">
        <f ca="1">IF(项目基本情况!B11="自然人","——",ROUND(F34*F35/10000,2))</f>
        <v>0.26</v>
      </c>
      <c r="D34" s="316" t="s">
        <v>731</v>
      </c>
      <c r="E34" s="294" t="s">
        <v>732</v>
      </c>
      <c r="F34" s="317">
        <f>'数据-取费表'!B52</f>
        <v>6</v>
      </c>
      <c r="G34" s="1289"/>
      <c r="H34" s="1302">
        <f ca="1">H33*10000/12/30</f>
        <v>249.44444444444443</v>
      </c>
      <c r="I34" s="1302"/>
      <c r="J34" s="1303"/>
      <c r="K34" s="2473"/>
      <c r="L34" s="2474"/>
      <c r="M34" s="2474"/>
    </row>
    <row r="35" spans="1:18" ht="18" customHeight="1">
      <c r="A35" s="1037"/>
      <c r="B35" s="1035"/>
      <c r="C35" s="26"/>
      <c r="D35" s="319"/>
      <c r="E35" s="294" t="s">
        <v>736</v>
      </c>
      <c r="F35" s="295">
        <f ca="1">INDIRECT("'数据-取费表'!r"&amp;$G$1)</f>
        <v>426.99</v>
      </c>
      <c r="G35" s="1289"/>
      <c r="H35" s="2468"/>
      <c r="I35" s="1302"/>
      <c r="J35" s="1303"/>
      <c r="K35" s="2472"/>
      <c r="L35" s="2471"/>
      <c r="M35" s="2471"/>
    </row>
    <row r="36" spans="1:18" ht="18" customHeight="1">
      <c r="A36" s="1036" t="s">
        <v>402</v>
      </c>
      <c r="B36" s="294" t="s">
        <v>738</v>
      </c>
      <c r="C36" s="21">
        <f ca="1">ROUND(C29*F36,2)</f>
        <v>7.99</v>
      </c>
      <c r="D36" s="1253" t="s">
        <v>771</v>
      </c>
      <c r="E36" s="294" t="s">
        <v>712</v>
      </c>
      <c r="F36" s="320">
        <f ca="1">INDIRECT("'数据-取费表'!Ak"&amp;$G$1)</f>
        <v>0.01</v>
      </c>
      <c r="G36" s="1289"/>
      <c r="H36" s="2471"/>
      <c r="I36" s="1302"/>
      <c r="J36" s="1303"/>
      <c r="K36" s="2328"/>
      <c r="L36" s="2471"/>
      <c r="M36" s="2471"/>
    </row>
    <row r="37" spans="1:18" ht="18" customHeight="1">
      <c r="A37" s="925" t="s">
        <v>437</v>
      </c>
      <c r="B37" s="294" t="s">
        <v>742</v>
      </c>
      <c r="C37" s="21">
        <f ca="1">ROUND(C13*F37,2)</f>
        <v>0.68</v>
      </c>
      <c r="D37" s="1253" t="s">
        <v>743</v>
      </c>
      <c r="E37" s="294" t="s">
        <v>744</v>
      </c>
      <c r="F37" s="321">
        <f ca="1">INDIRECT("'数据-取费表'!Al"&amp;$G$1)</f>
        <v>1E-3</v>
      </c>
      <c r="G37" s="1289"/>
      <c r="H37" s="2471"/>
      <c r="I37" s="1302"/>
      <c r="J37" s="1303"/>
      <c r="K37" s="2328"/>
      <c r="L37" s="2471"/>
      <c r="M37" s="2471"/>
    </row>
    <row r="38" spans="1:18" ht="18" customHeight="1" thickBot="1">
      <c r="A38" s="1023" t="s">
        <v>683</v>
      </c>
      <c r="B38" s="1024" t="s">
        <v>728</v>
      </c>
      <c r="C38" s="1025">
        <f ca="1">ROUND(C5*F38,2)</f>
        <v>0.31</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752</v>
      </c>
      <c r="C39" s="302">
        <f ca="1">C5-C30</f>
        <v>17</v>
      </c>
      <c r="D39" s="1029" t="s">
        <v>773</v>
      </c>
      <c r="E39" s="1030"/>
      <c r="F39" s="1031"/>
      <c r="G39" s="1289"/>
      <c r="H39" s="2471"/>
      <c r="I39" s="1302"/>
      <c r="J39" s="1303"/>
      <c r="K39" s="2469"/>
      <c r="L39" s="2471"/>
      <c r="M39" s="2471"/>
    </row>
    <row r="40" spans="1:18" ht="18" customHeight="1">
      <c r="A40" s="291" t="s">
        <v>395</v>
      </c>
      <c r="B40" s="292" t="s">
        <v>774</v>
      </c>
      <c r="C40" s="293">
        <f ca="1">ROUND(C39*(1-((1+F42)/(1+F40))^F41)/(F40-F42),0)</f>
        <v>367</v>
      </c>
      <c r="D40" s="316" t="s">
        <v>758</v>
      </c>
      <c r="E40" s="294" t="s">
        <v>759</v>
      </c>
      <c r="F40" s="304">
        <f ca="1">INDIRECT("'数据-取费表'!I"&amp;$G$1)</f>
        <v>0.05</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36.020000000000003</v>
      </c>
      <c r="G41" s="1289"/>
      <c r="H41" s="121"/>
      <c r="I41" s="1302"/>
      <c r="J41" s="1303"/>
      <c r="K41" s="2328"/>
      <c r="L41" s="121"/>
      <c r="M41" s="121"/>
    </row>
    <row r="42" spans="1:18" ht="18" customHeight="1">
      <c r="A42" s="300"/>
      <c r="B42" s="301"/>
      <c r="C42" s="302"/>
      <c r="D42" s="319"/>
      <c r="E42" s="294" t="s">
        <v>766</v>
      </c>
      <c r="F42" s="304">
        <f ca="1">INDIRECT("'数据-取费表'!v"&amp;$G$1)</f>
        <v>0.02</v>
      </c>
      <c r="G42" s="1289"/>
      <c r="H42" s="121"/>
      <c r="I42" s="1302"/>
      <c r="J42" s="1303"/>
      <c r="K42" s="2328"/>
      <c r="L42" s="121"/>
      <c r="M42" s="121"/>
    </row>
    <row r="43" spans="1:18" ht="18" customHeight="1" thickBot="1">
      <c r="A43" s="325" t="s">
        <v>396</v>
      </c>
      <c r="B43" s="326" t="s">
        <v>776</v>
      </c>
      <c r="C43" s="327">
        <f ca="1">ROUND(C40*10000/F43,0)</f>
        <v>2511</v>
      </c>
      <c r="D43" s="328" t="s">
        <v>777</v>
      </c>
      <c r="E43" s="329" t="s">
        <v>778</v>
      </c>
      <c r="F43" s="330">
        <f ca="1">INDIRECT("'数据-取费表'!k"&amp;$G$1)</f>
        <v>1461.4599999999998</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808</v>
      </c>
      <c r="P45" s="1363"/>
      <c r="Q45" s="1363"/>
      <c r="R45" s="1363"/>
    </row>
    <row r="46" spans="1:18" s="1289" customFormat="1" ht="13.5" thickBot="1">
      <c r="A46" s="1308" t="s">
        <v>809</v>
      </c>
      <c r="C46" s="1309">
        <f ca="1">C68-C40</f>
        <v>-516</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3694</v>
      </c>
      <c r="K47" s="1320" t="s">
        <v>816</v>
      </c>
      <c r="L47" s="1321">
        <f ca="1">INDIRECT("'数据-取费表'!d"&amp;$G$1)</f>
        <v>50</v>
      </c>
      <c r="M47" s="1285" t="str">
        <f>IF(ISNUMBER(FIND("住宅",C1)),"住宅","非住宅")</f>
        <v>非住宅</v>
      </c>
      <c r="O47" s="1322" t="s">
        <v>403</v>
      </c>
      <c r="P47" s="1323" t="s">
        <v>817</v>
      </c>
      <c r="Q47" s="1324">
        <f ca="1">C40+J29</f>
        <v>367</v>
      </c>
      <c r="R47" s="1324" t="s">
        <v>818</v>
      </c>
    </row>
    <row r="48" spans="1:18" s="1289" customFormat="1" ht="28.5" thickBot="1">
      <c r="A48" s="1044" t="s">
        <v>438</v>
      </c>
      <c r="B48" s="292" t="s">
        <v>692</v>
      </c>
      <c r="C48" s="1265">
        <f ca="1">C49+C53+C55</f>
        <v>0</v>
      </c>
      <c r="D48" s="1046"/>
      <c r="E48" s="1047"/>
      <c r="F48" s="905"/>
      <c r="G48" s="681"/>
      <c r="H48" s="682"/>
      <c r="I48" s="1325" t="s">
        <v>819</v>
      </c>
      <c r="J48" s="1326" t="s">
        <v>3695</v>
      </c>
      <c r="K48" s="1327" t="s">
        <v>820</v>
      </c>
      <c r="L48" s="1328">
        <f ca="1">INDIRECT("'数据-取费表'!f"&amp;$G$1)</f>
        <v>36.020000000000003</v>
      </c>
      <c r="O48" s="1322" t="s">
        <v>404</v>
      </c>
      <c r="P48" s="1323" t="s">
        <v>821</v>
      </c>
      <c r="Q48" s="1324" t="str">
        <f ca="1">J60</f>
        <v>0</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2014</v>
      </c>
      <c r="K49" s="1327" t="s">
        <v>824</v>
      </c>
      <c r="L49" s="1330"/>
      <c r="O49" s="1331" t="s">
        <v>405</v>
      </c>
      <c r="P49" s="1323" t="s">
        <v>825</v>
      </c>
      <c r="Q49" s="1324">
        <f ca="1">C29</f>
        <v>799</v>
      </c>
      <c r="R49" s="1324" t="s">
        <v>818</v>
      </c>
    </row>
    <row r="50" spans="1:18" s="1289" customFormat="1" ht="13.5" thickBot="1">
      <c r="A50" s="919"/>
      <c r="B50" s="922"/>
      <c r="C50" s="1052"/>
      <c r="D50" s="896"/>
      <c r="E50" s="990" t="s">
        <v>697</v>
      </c>
      <c r="F50" s="991">
        <f ca="1">F7</f>
        <v>30</v>
      </c>
      <c r="H50" s="682"/>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0"/>
      <c r="B51" s="922"/>
      <c r="C51" s="923"/>
      <c r="D51" s="896"/>
      <c r="E51" s="924" t="s">
        <v>698</v>
      </c>
      <c r="F51" s="295">
        <f ca="1">F8</f>
        <v>12</v>
      </c>
      <c r="I51" s="1335" t="s">
        <v>829</v>
      </c>
      <c r="J51" s="1328">
        <f>IF(J49="",J50,J49+J50-YEAR('数据-取费表'!B2))</f>
        <v>51</v>
      </c>
      <c r="K51" s="1336" t="s">
        <v>830</v>
      </c>
      <c r="L51" s="1337">
        <f ca="1">ROUND(-PV(INDIRECT("'数据-取费表'!h"&amp;$G$1),J51,(C39-C13*C76),0),0)</f>
        <v>-660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36.020000000000003</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36.020000000000003</v>
      </c>
      <c r="K53" s="3598" t="s">
        <v>837</v>
      </c>
      <c r="L53" s="3599"/>
      <c r="O53" s="1322" t="s">
        <v>409</v>
      </c>
      <c r="P53" s="1323" t="s">
        <v>838</v>
      </c>
      <c r="Q53" s="1324">
        <f ca="1">Q47+Q48</f>
        <v>367</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25.5" thickTop="1" thickBot="1">
      <c r="A56" s="900">
        <v>2</v>
      </c>
      <c r="B56" s="901" t="s">
        <v>704</v>
      </c>
      <c r="C56" s="224">
        <f ca="1">C13</f>
        <v>679</v>
      </c>
      <c r="D56" s="1349"/>
      <c r="E56" s="1350"/>
      <c r="F56" s="1342"/>
      <c r="I56" s="1351" t="s">
        <v>842</v>
      </c>
      <c r="J56" s="1352" t="s">
        <v>3457</v>
      </c>
      <c r="K56" s="1325" t="s">
        <v>843</v>
      </c>
      <c r="L56" s="1328" t="str">
        <f ca="1">IF(L48&lt;J51,"——",L48-J53)</f>
        <v>——</v>
      </c>
      <c r="O56" s="1322" t="s">
        <v>403</v>
      </c>
      <c r="P56" s="1323" t="s">
        <v>817</v>
      </c>
      <c r="Q56" s="1324">
        <f ca="1">C40+J29</f>
        <v>367</v>
      </c>
      <c r="R56" s="1324" t="s">
        <v>818</v>
      </c>
    </row>
    <row r="57" spans="1:18" s="1289" customFormat="1" ht="24.75" thickBot="1">
      <c r="A57" s="1353"/>
      <c r="B57" s="893" t="s">
        <v>767</v>
      </c>
      <c r="C57" s="230">
        <f ca="1">C29</f>
        <v>799</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9</v>
      </c>
      <c r="D58" s="903" t="s">
        <v>715</v>
      </c>
      <c r="E58" s="904"/>
      <c r="F58" s="905"/>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3343</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0.26</v>
      </c>
      <c r="D62" s="908" t="s">
        <v>786</v>
      </c>
      <c r="E62" s="893" t="s">
        <v>787</v>
      </c>
      <c r="F62" s="317">
        <f t="shared" si="0"/>
        <v>6</v>
      </c>
      <c r="I62" s="1364" t="s">
        <v>858</v>
      </c>
      <c r="J62" s="610" t="s">
        <v>859</v>
      </c>
      <c r="K62" s="610" t="s">
        <v>860</v>
      </c>
      <c r="L62" s="610" t="s">
        <v>861</v>
      </c>
      <c r="M62" s="1365" t="s">
        <v>862</v>
      </c>
      <c r="O62" s="1322" t="s">
        <v>409</v>
      </c>
      <c r="P62" s="1323" t="s">
        <v>863</v>
      </c>
      <c r="Q62" s="1324">
        <f ca="1">Q56+Q57</f>
        <v>367</v>
      </c>
      <c r="R62" s="1324" t="s">
        <v>410</v>
      </c>
    </row>
    <row r="63" spans="1:18" s="1289" customFormat="1" ht="13.5" thickBot="1">
      <c r="A63" s="318"/>
      <c r="B63" s="899"/>
      <c r="C63" s="26"/>
      <c r="D63" s="909"/>
      <c r="E63" s="893" t="s">
        <v>788</v>
      </c>
      <c r="F63" s="295">
        <f t="shared" ca="1" si="0"/>
        <v>426.99</v>
      </c>
      <c r="I63" s="1364" t="s">
        <v>864</v>
      </c>
      <c r="J63" s="610">
        <v>70</v>
      </c>
      <c r="K63" s="610">
        <v>50</v>
      </c>
      <c r="L63" s="610">
        <v>80</v>
      </c>
      <c r="M63" s="1366">
        <v>0.02</v>
      </c>
      <c r="O63" s="1307" t="s">
        <v>865</v>
      </c>
      <c r="P63" s="1286"/>
      <c r="Q63" s="1286"/>
      <c r="R63" s="1286"/>
    </row>
    <row r="64" spans="1:18" s="1289" customFormat="1" ht="13.5" thickBot="1">
      <c r="A64" s="925" t="s">
        <v>789</v>
      </c>
      <c r="B64" s="893" t="s">
        <v>738</v>
      </c>
      <c r="C64" s="21">
        <f ca="1">ROUND(C57*F64,2)</f>
        <v>7.99</v>
      </c>
      <c r="D64" s="907" t="s">
        <v>791</v>
      </c>
      <c r="E64" s="893"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0.68</v>
      </c>
      <c r="D65" s="907" t="s">
        <v>743</v>
      </c>
      <c r="E65" s="893" t="s">
        <v>744</v>
      </c>
      <c r="F65" s="321">
        <f t="shared" ca="1" si="0"/>
        <v>1E-3</v>
      </c>
      <c r="I65" s="1364" t="s">
        <v>867</v>
      </c>
      <c r="J65" s="610">
        <v>40</v>
      </c>
      <c r="K65" s="610">
        <v>30</v>
      </c>
      <c r="L65" s="610">
        <v>50</v>
      </c>
      <c r="M65" s="1366">
        <v>0.02</v>
      </c>
      <c r="O65" s="1322" t="s">
        <v>403</v>
      </c>
      <c r="P65" s="1323" t="s">
        <v>868</v>
      </c>
      <c r="Q65" s="1324">
        <f ca="1">C40+J29</f>
        <v>367</v>
      </c>
      <c r="R65" s="1324" t="s">
        <v>818</v>
      </c>
    </row>
    <row r="66" spans="1:18" s="1289" customFormat="1" ht="16.5" thickBot="1">
      <c r="A66" s="925" t="s">
        <v>793</v>
      </c>
      <c r="B66" s="893" t="s">
        <v>728</v>
      </c>
      <c r="C66" s="21">
        <f ca="1">ROUND(C48*F66,2)</f>
        <v>0</v>
      </c>
      <c r="D66" s="907" t="s">
        <v>794</v>
      </c>
      <c r="E66" s="893" t="s">
        <v>712</v>
      </c>
      <c r="F66" s="304">
        <f t="shared" ca="1" si="0"/>
        <v>0.01</v>
      </c>
      <c r="O66" s="1322" t="s">
        <v>404</v>
      </c>
      <c r="P66" s="1323" t="s">
        <v>846</v>
      </c>
      <c r="Q66" s="1324">
        <f ca="1">L60</f>
        <v>0</v>
      </c>
      <c r="R66" s="1324" t="s">
        <v>869</v>
      </c>
    </row>
    <row r="67" spans="1:18" s="1289" customFormat="1" ht="16.5" thickBot="1">
      <c r="A67" s="900" t="s">
        <v>394</v>
      </c>
      <c r="B67" s="910" t="s">
        <v>752</v>
      </c>
      <c r="C67" s="308">
        <f ca="1">C48-C58</f>
        <v>-9</v>
      </c>
      <c r="D67" s="906" t="s">
        <v>753</v>
      </c>
      <c r="E67" s="911"/>
      <c r="F67" s="912"/>
      <c r="O67" s="1331" t="s">
        <v>405</v>
      </c>
      <c r="P67" s="1323" t="s">
        <v>850</v>
      </c>
      <c r="Q67" s="1367">
        <f ca="1">L51</f>
        <v>-660</v>
      </c>
      <c r="R67" s="1324" t="s">
        <v>870</v>
      </c>
    </row>
    <row r="68" spans="1:18" s="1289" customFormat="1" ht="16.5" thickBot="1">
      <c r="A68" s="890" t="s">
        <v>395</v>
      </c>
      <c r="B68" s="891" t="s">
        <v>774</v>
      </c>
      <c r="C68" s="293">
        <f ca="1">ROUND(C67*(1-((1+F70)/(1+F68))^F69)/(F68-F70),0)</f>
        <v>-149</v>
      </c>
      <c r="D68" s="908" t="s">
        <v>758</v>
      </c>
      <c r="E68" s="893" t="s">
        <v>759</v>
      </c>
      <c r="F68" s="304">
        <f ca="1">F40</f>
        <v>0.05</v>
      </c>
      <c r="O68" s="1331" t="s">
        <v>406</v>
      </c>
      <c r="P68" s="1368" t="s">
        <v>871</v>
      </c>
      <c r="Q68" s="1324">
        <f ca="1">ROUND(Q69-Q70*Q71,0)</f>
        <v>-31</v>
      </c>
      <c r="R68" s="1324" t="s">
        <v>414</v>
      </c>
    </row>
    <row r="69" spans="1:18" s="1289" customFormat="1" ht="13.5" thickBot="1">
      <c r="A69" s="894"/>
      <c r="B69" s="895"/>
      <c r="C69" s="298"/>
      <c r="D69" s="913" t="s">
        <v>762</v>
      </c>
      <c r="E69" s="893" t="s">
        <v>763</v>
      </c>
      <c r="F69" s="324">
        <f ca="1">F41</f>
        <v>36.020000000000003</v>
      </c>
      <c r="O69" s="1331" t="s">
        <v>411</v>
      </c>
      <c r="P69" s="1368" t="s">
        <v>872</v>
      </c>
      <c r="Q69" s="1324">
        <f ca="1">C39</f>
        <v>17</v>
      </c>
      <c r="R69" s="1324" t="s">
        <v>818</v>
      </c>
    </row>
    <row r="70" spans="1:18" s="1289" customFormat="1" ht="13.5" thickBot="1">
      <c r="A70" s="897"/>
      <c r="B70" s="898"/>
      <c r="C70" s="302"/>
      <c r="D70" s="909"/>
      <c r="E70" s="893" t="s">
        <v>766</v>
      </c>
      <c r="F70" s="988"/>
      <c r="O70" s="1331" t="s">
        <v>412</v>
      </c>
      <c r="P70" s="1368" t="s">
        <v>873</v>
      </c>
      <c r="Q70" s="1324">
        <f ca="1">C13</f>
        <v>679</v>
      </c>
      <c r="R70" s="1324" t="s">
        <v>818</v>
      </c>
    </row>
    <row r="71" spans="1:18" s="1289" customFormat="1" ht="13.5" thickBot="1">
      <c r="A71" s="914" t="s">
        <v>396</v>
      </c>
      <c r="B71" s="915" t="s">
        <v>776</v>
      </c>
      <c r="C71" s="327">
        <f ca="1">ROUND(C68*10000/F71,0)</f>
        <v>-1020</v>
      </c>
      <c r="D71" s="916" t="s">
        <v>777</v>
      </c>
      <c r="E71" s="917" t="s">
        <v>778</v>
      </c>
      <c r="F71" s="330">
        <f ca="1">F43</f>
        <v>1461.4599999999998</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48</v>
      </c>
      <c r="D75" s="1289"/>
      <c r="E75" s="1289"/>
      <c r="F75" s="1289"/>
      <c r="K75" s="1306"/>
      <c r="L75" s="1289"/>
      <c r="O75" s="1322" t="s">
        <v>409</v>
      </c>
      <c r="P75" s="1323" t="s">
        <v>838</v>
      </c>
      <c r="Q75" s="1324">
        <f ca="1">Q65+Q66</f>
        <v>367</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-1.8239999999999998</v>
      </c>
    </row>
    <row r="80" spans="1:18">
      <c r="B80" s="331" t="s">
        <v>800</v>
      </c>
      <c r="C80" s="266">
        <f ca="1">ROUND(C75/C39,3)</f>
        <v>2.8239999999999998</v>
      </c>
    </row>
    <row r="81" spans="2:3">
      <c r="B81" s="262" t="s">
        <v>801</v>
      </c>
      <c r="C81" s="230"/>
    </row>
    <row r="82" spans="2:3">
      <c r="B82" s="265" t="s">
        <v>802</v>
      </c>
      <c r="C82" s="267">
        <f ca="1">1-C83</f>
        <v>-0.85000000000000009</v>
      </c>
    </row>
    <row r="83" spans="2:3">
      <c r="B83" s="265" t="s">
        <v>803</v>
      </c>
      <c r="C83" s="266">
        <f ca="1">ROUND(C13/C40,3)</f>
        <v>1.85</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D1" xr:uid="{00000000-0002-0000-2500-000000000000}">
      <formula1>"在建（套用方法）,土地（套用方法）,——"</formula1>
    </dataValidation>
    <dataValidation type="list" allowBlank="1" showInputMessage="1" showErrorMessage="1" sqref="M10 F10 F53" xr:uid="{00000000-0002-0000-2500-000001000000}">
      <formula1>"押一,押二,押三,自定义"</formula1>
    </dataValidation>
    <dataValidation type="list" allowBlank="1" showInputMessage="1" showErrorMessage="1" sqref="L55" xr:uid="{00000000-0002-0000-2500-000002000000}">
      <formula1>"比较法,基准地价,收益还原"</formula1>
    </dataValidation>
    <dataValidation type="list" allowBlank="1" showInputMessage="1" showErrorMessage="1" sqref="J56" xr:uid="{00000000-0002-0000-2500-000003000000}">
      <formula1>估价范围判定</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47" xr:uid="{00000000-0002-0000-2500-000005000000}">
      <formula1>"钢,钢混,砖混"</formula1>
    </dataValidation>
    <dataValidation type="list" allowBlank="1" showInputMessage="1" showErrorMessage="1" sqref="C1" xr:uid="{00000000-0002-0000-2500-000006000000}">
      <formula1>项目类型</formula1>
    </dataValidation>
    <dataValidation type="list" allowBlank="1" showInputMessage="1" showErrorMessage="1" sqref="D33 D61" xr:uid="{00000000-0002-0000-2500-000007000000}">
      <formula1>"按租金收入计税,按房产原值计税,按票据"</formula1>
    </dataValidation>
    <dataValidation type="list" allowBlank="1" showInputMessage="1" showErrorMessage="1" sqref="K19" xr:uid="{00000000-0002-0000-2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9"/>
      <c r="C2" s="3319"/>
      <c r="D2" s="3319"/>
      <c r="E2" s="3319"/>
    </row>
    <row r="3" spans="1:5" ht="18">
      <c r="A3" s="3320" t="str">
        <f>IF(项目基本情况!B9="房地产市场价值","估价结果一览表（市场价值不需“结果表-1”）","估价结果一览表")</f>
        <v>估价结果一览表（市场价值不需“结果表-1”）</v>
      </c>
      <c r="B3" s="3320"/>
      <c r="C3" s="3320"/>
      <c r="D3" s="3320"/>
      <c r="E3" s="3320"/>
    </row>
    <row r="4" spans="1:5" ht="19.5" thickBot="1">
      <c r="A4" s="1388"/>
      <c r="B4" s="3318" t="s">
        <v>917</v>
      </c>
      <c r="C4" s="3318"/>
      <c r="D4" s="3318"/>
      <c r="E4" s="1388"/>
    </row>
    <row r="5" spans="1:5" ht="16.5" thickTop="1">
      <c r="B5" s="3316" t="s">
        <v>909</v>
      </c>
      <c r="C5" s="1389" t="s">
        <v>910</v>
      </c>
      <c r="D5" s="794">
        <f ca="1">结果表!H101</f>
        <v>30741</v>
      </c>
    </row>
    <row r="6" spans="1:5" ht="15.75">
      <c r="B6" s="3316"/>
      <c r="C6" s="1389" t="s">
        <v>911</v>
      </c>
      <c r="D6" s="794" t="str">
        <f ca="1">NUMBERSTRING(INT(D5*10000),2)&amp;"元整"</f>
        <v>叁亿零柒佰肆拾壹万元整</v>
      </c>
    </row>
    <row r="7" spans="1:5" ht="15.75">
      <c r="B7" s="3321"/>
      <c r="C7" s="1390" t="s">
        <v>912</v>
      </c>
      <c r="D7" s="795">
        <f ca="1">结果表!H102</f>
        <v>25977</v>
      </c>
    </row>
    <row r="8" spans="1:5" ht="15.75">
      <c r="B8" s="3322" t="str">
        <f>结果表!E103</f>
        <v>2.估价师知悉的法定优先受偿款</v>
      </c>
      <c r="C8" s="1391" t="s">
        <v>913</v>
      </c>
      <c r="D8" s="795">
        <f>结果表!H103</f>
        <v>0</v>
      </c>
    </row>
    <row r="9" spans="1:5" ht="15.75">
      <c r="B9" s="332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315" t="str">
        <f>结果表!E107</f>
        <v>3.房地产抵押价值</v>
      </c>
      <c r="C13" s="1394" t="s">
        <v>910</v>
      </c>
      <c r="D13" s="797">
        <f ca="1">结果表!H107</f>
        <v>30741</v>
      </c>
    </row>
    <row r="14" spans="1:5" ht="15.75">
      <c r="B14" s="3316"/>
      <c r="C14" s="1389" t="s">
        <v>911</v>
      </c>
      <c r="D14" s="794" t="str">
        <f ca="1">NUMBERSTRING(INT(D13*10000),2)&amp;"元整"</f>
        <v>叁亿零柒佰肆拾壹万元整</v>
      </c>
    </row>
    <row r="15" spans="1:5" ht="15">
      <c r="B15" s="3321"/>
      <c r="C15" s="1390" t="s">
        <v>921</v>
      </c>
      <c r="D15" s="803">
        <f ca="1">结果表!H108</f>
        <v>25977</v>
      </c>
    </row>
    <row r="16" spans="1:5" ht="15">
      <c r="B16" s="3322" t="str">
        <f>结果表!E109</f>
        <v>——</v>
      </c>
      <c r="C16" s="1394" t="s">
        <v>922</v>
      </c>
      <c r="D16" s="1395" t="str">
        <f>结果表!H109</f>
        <v>——</v>
      </c>
    </row>
    <row r="17" spans="1:5" ht="15.75">
      <c r="B17" s="3323"/>
      <c r="C17" s="1389" t="s">
        <v>923</v>
      </c>
      <c r="D17" s="794" t="e">
        <f>NUMBERSTRING(INT(D16*10000),2)&amp;"元整"</f>
        <v>#VALUE!</v>
      </c>
    </row>
    <row r="18" spans="1:5" ht="15">
      <c r="B18" s="3324"/>
      <c r="C18" s="1390" t="s">
        <v>912</v>
      </c>
      <c r="D18" s="803" t="str">
        <f>结果表!H110</f>
        <v>——</v>
      </c>
    </row>
    <row r="19" spans="1:5" ht="15.75">
      <c r="B19" s="3315" t="str">
        <f>结果表!E111</f>
        <v>——</v>
      </c>
      <c r="C19" s="1394" t="s">
        <v>910</v>
      </c>
      <c r="D19" s="795" t="str">
        <f>结果表!H111</f>
        <v>——</v>
      </c>
    </row>
    <row r="20" spans="1:5" ht="15.75">
      <c r="B20" s="3316"/>
      <c r="C20" s="1389" t="s">
        <v>923</v>
      </c>
      <c r="D20" s="794" t="e">
        <f>NUMBERSTRING(INT(D19*10000),2)&amp;"元整"</f>
        <v>#VALUE!</v>
      </c>
    </row>
    <row r="21" spans="1:5" ht="15.75" thickBot="1">
      <c r="B21" s="3317"/>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F17" sqref="F1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7"/>
      <c r="G1" s="459"/>
      <c r="H1" s="459"/>
      <c r="I1" s="459"/>
      <c r="J1" s="459"/>
      <c r="K1" s="459"/>
      <c r="L1" s="459"/>
      <c r="M1" s="459"/>
      <c r="N1" s="459"/>
      <c r="O1" s="459"/>
      <c r="P1" s="459"/>
      <c r="Q1" s="459"/>
      <c r="R1" s="459"/>
      <c r="S1" s="459"/>
    </row>
    <row r="2" spans="1:22" ht="15.75">
      <c r="A2" s="1725" t="s">
        <v>1462</v>
      </c>
      <c r="B2" s="808">
        <f ca="1">SUMIF(B6:B13,"&lt;&gt;#ref!",B6:B13)</f>
        <v>25356</v>
      </c>
      <c r="C2" s="1726" t="s">
        <v>1651</v>
      </c>
      <c r="D2" s="1727" t="s">
        <v>1652</v>
      </c>
      <c r="E2" s="2390">
        <f>SUM(E6:E13)</f>
        <v>11833.989999999994</v>
      </c>
      <c r="F2" s="2477"/>
      <c r="G2" s="459"/>
      <c r="H2" s="459"/>
      <c r="I2" s="459"/>
      <c r="J2" s="459"/>
      <c r="K2" s="459"/>
      <c r="L2" s="459"/>
      <c r="M2" s="459"/>
      <c r="N2" s="459"/>
      <c r="O2" s="459"/>
      <c r="P2" s="459"/>
      <c r="Q2" s="459"/>
      <c r="R2" s="459"/>
      <c r="S2" s="459"/>
    </row>
    <row r="3" spans="1:22" ht="15.75">
      <c r="A3" s="1725" t="s">
        <v>686</v>
      </c>
      <c r="B3" s="2384">
        <f ca="1">ROUND(B2*10000/E2,0)</f>
        <v>21426</v>
      </c>
      <c r="C3" s="1726"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622" t="s">
        <v>1654</v>
      </c>
      <c r="C5" s="3623"/>
      <c r="D5" s="2478"/>
      <c r="E5" s="1728" t="s">
        <v>1655</v>
      </c>
      <c r="F5" s="129" t="s">
        <v>1656</v>
      </c>
      <c r="G5" s="459"/>
      <c r="H5" s="459"/>
      <c r="I5" s="459"/>
      <c r="J5" s="459"/>
      <c r="K5" s="459"/>
      <c r="L5" s="459"/>
      <c r="M5" s="459"/>
      <c r="N5" s="459"/>
      <c r="O5" s="459"/>
      <c r="P5" s="459"/>
      <c r="Q5" s="459"/>
      <c r="R5" s="459"/>
      <c r="S5" s="459"/>
    </row>
    <row r="6" spans="1:22">
      <c r="A6" s="2387" t="str">
        <f>'数据-取费表'!AN6</f>
        <v>收益法（1层商业）</v>
      </c>
      <c r="B6" s="2385">
        <f ca="1">IF(F6="是",'数据-取费表'!AO6,0)</f>
        <v>349</v>
      </c>
      <c r="C6" s="1726" t="s">
        <v>1651</v>
      </c>
      <c r="D6" s="2477"/>
      <c r="E6" s="2389">
        <f>IF(OR(A6=0,F6="否"),0,'数据-取费表'!K6+'数据-取费表'!S6)</f>
        <v>127.79</v>
      </c>
      <c r="F6" s="1729" t="s">
        <v>1657</v>
      </c>
      <c r="G6" s="459"/>
      <c r="H6" s="459"/>
      <c r="I6" s="459"/>
      <c r="J6" s="459"/>
      <c r="K6" s="459"/>
      <c r="L6" s="459"/>
      <c r="M6" s="459"/>
      <c r="N6" s="459"/>
      <c r="O6" s="459"/>
      <c r="P6" s="459"/>
      <c r="Q6" s="459"/>
      <c r="R6" s="459"/>
      <c r="S6" s="459"/>
    </row>
    <row r="7" spans="1:22">
      <c r="A7" s="2387" t="str">
        <f>'数据-取费表'!AN7</f>
        <v>收益法（1-2层商业）</v>
      </c>
      <c r="B7" s="2385">
        <f ca="1">IF(F7="是",'数据-取费表'!AO7,0)</f>
        <v>2797</v>
      </c>
      <c r="C7" s="1726" t="s">
        <v>1651</v>
      </c>
      <c r="D7" s="2477"/>
      <c r="E7" s="2389">
        <f>IF(OR(A7=0,F7="否"),0,'数据-取费表'!K7+'数据-取费表'!S7)</f>
        <v>1218.17</v>
      </c>
      <c r="F7" s="1729" t="s">
        <v>1657</v>
      </c>
      <c r="G7" s="459"/>
      <c r="H7" s="459"/>
      <c r="I7" s="459"/>
      <c r="J7" s="459"/>
      <c r="K7" s="459"/>
      <c r="L7" s="459"/>
      <c r="M7" s="459"/>
      <c r="N7" s="459"/>
      <c r="O7" s="459"/>
      <c r="P7" s="459"/>
      <c r="Q7" s="459"/>
      <c r="R7" s="459"/>
      <c r="S7" s="459"/>
    </row>
    <row r="8" spans="1:22">
      <c r="A8" s="2387" t="str">
        <f>'数据-取费表'!AN8</f>
        <v xml:space="preserve">收益法（办公） </v>
      </c>
      <c r="B8" s="2385">
        <f ca="1">IF(F8="是",'数据-取费表'!AO8,0)</f>
        <v>21843</v>
      </c>
      <c r="C8" s="1726" t="s">
        <v>1651</v>
      </c>
      <c r="D8" s="2477"/>
      <c r="E8" s="2389">
        <f>IF(OR(A8=0,F8="否"),0,'数据-取费表'!K8+'数据-取费表'!S8)</f>
        <v>9026.5699999999961</v>
      </c>
      <c r="F8" s="1729" t="s">
        <v>1657</v>
      </c>
      <c r="G8" s="459"/>
      <c r="H8" s="459"/>
      <c r="I8" s="459"/>
      <c r="J8" s="459"/>
      <c r="K8" s="459"/>
      <c r="L8" s="459"/>
      <c r="M8" s="459"/>
      <c r="N8" s="459"/>
      <c r="O8" s="459"/>
      <c r="P8" s="459"/>
      <c r="Q8" s="459"/>
      <c r="R8" s="459"/>
      <c r="S8" s="459"/>
    </row>
    <row r="9" spans="1:22">
      <c r="A9" s="2387" t="str">
        <f>'数据-取费表'!AN9</f>
        <v>收益法（车库）</v>
      </c>
      <c r="B9" s="2385">
        <f ca="1">IF(F9="是",'数据-取费表'!AO9,0)</f>
        <v>367</v>
      </c>
      <c r="C9" s="1726" t="s">
        <v>1651</v>
      </c>
      <c r="D9" s="2477"/>
      <c r="E9" s="2389">
        <f>IF(OR(A9=0,F9="否"),0,'数据-取费表'!K9+'数据-取费表'!S9)</f>
        <v>1461.4599999999998</v>
      </c>
      <c r="F9" s="1729"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6" t="s">
        <v>1651</v>
      </c>
      <c r="D10" s="2477"/>
      <c r="E10" s="2389">
        <f>IF(OR(A10=0,F10="否"),0,'数据-取费表'!K10+'数据-取费表'!S10)</f>
        <v>0</v>
      </c>
      <c r="F10" s="1729"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6" t="s">
        <v>1651</v>
      </c>
      <c r="D11" s="2477"/>
      <c r="E11" s="2389">
        <f>IF(OR(A11=0,F11="否"),0,'数据-取费表'!K11+'数据-取费表'!S11)</f>
        <v>0</v>
      </c>
      <c r="F11" s="1729"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6" t="s">
        <v>1651</v>
      </c>
      <c r="D12" s="2477"/>
      <c r="E12" s="2389">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600-000000000000}">
      <formula1>估价范围判定</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11833.989999999994</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5" t="s">
        <v>1666</v>
      </c>
      <c r="B4" s="346"/>
      <c r="C4" s="3549" t="s">
        <v>1667</v>
      </c>
      <c r="D4" s="3550"/>
      <c r="E4" s="3551" t="s">
        <v>1668</v>
      </c>
      <c r="F4" s="3552"/>
      <c r="G4" s="3549" t="s">
        <v>1669</v>
      </c>
      <c r="H4" s="3550"/>
      <c r="I4" s="3549" t="s">
        <v>1670</v>
      </c>
      <c r="J4" s="3550"/>
      <c r="K4" s="1741" t="s">
        <v>1671</v>
      </c>
      <c r="L4" s="2484"/>
      <c r="M4" s="2485"/>
      <c r="N4" s="2485"/>
      <c r="O4" s="2485"/>
      <c r="P4" s="3553" t="s">
        <v>1672</v>
      </c>
      <c r="Q4" s="3554"/>
      <c r="R4" s="3536" t="s">
        <v>1668</v>
      </c>
      <c r="S4" s="3537"/>
      <c r="T4" s="3536" t="s">
        <v>1669</v>
      </c>
      <c r="U4" s="3537"/>
      <c r="V4" s="3533" t="s">
        <v>1670</v>
      </c>
      <c r="W4" s="3533"/>
      <c r="X4" s="1262"/>
      <c r="Y4" s="3536" t="s">
        <v>1672</v>
      </c>
      <c r="Z4" s="3537"/>
      <c r="AA4" s="3530" t="s">
        <v>1668</v>
      </c>
      <c r="AB4" s="3530" t="s">
        <v>1669</v>
      </c>
      <c r="AC4" s="3530" t="s">
        <v>1670</v>
      </c>
    </row>
    <row r="5" spans="1:29" ht="15">
      <c r="A5" s="348"/>
      <c r="B5" s="349"/>
      <c r="C5" s="3542" t="s">
        <v>1673</v>
      </c>
      <c r="D5" s="3543"/>
      <c r="E5" s="3540" t="s">
        <v>1674</v>
      </c>
      <c r="F5" s="3541"/>
      <c r="G5" s="3542" t="s">
        <v>1675</v>
      </c>
      <c r="H5" s="3543"/>
      <c r="I5" s="3542" t="s">
        <v>1676</v>
      </c>
      <c r="J5" s="3543"/>
      <c r="K5" s="1742"/>
      <c r="L5" s="2484"/>
      <c r="M5" s="2485"/>
      <c r="N5" s="2485"/>
      <c r="O5" s="2485"/>
      <c r="P5" s="3555"/>
      <c r="Q5" s="3556"/>
      <c r="R5" s="3538"/>
      <c r="S5" s="3539"/>
      <c r="T5" s="3538"/>
      <c r="U5" s="3539"/>
      <c r="V5" s="3533"/>
      <c r="W5" s="3533"/>
      <c r="X5" s="1262"/>
      <c r="Y5" s="3538"/>
      <c r="Z5" s="3539"/>
      <c r="AA5" s="3531"/>
      <c r="AB5" s="3531"/>
      <c r="AC5" s="3531"/>
    </row>
    <row r="6" spans="1:29" ht="15.75" thickBot="1">
      <c r="A6" s="350"/>
      <c r="B6" s="351"/>
      <c r="C6" s="3544" t="s">
        <v>1677</v>
      </c>
      <c r="D6" s="3545"/>
      <c r="E6" s="3546" t="s">
        <v>1677</v>
      </c>
      <c r="F6" s="3547"/>
      <c r="G6" s="3544" t="s">
        <v>1677</v>
      </c>
      <c r="H6" s="3545"/>
      <c r="I6" s="3544" t="s">
        <v>1677</v>
      </c>
      <c r="J6" s="3545"/>
      <c r="K6" s="1742" t="s">
        <v>1678</v>
      </c>
      <c r="L6" s="2484"/>
      <c r="M6" s="2485"/>
      <c r="N6" s="2485"/>
      <c r="O6" s="2485"/>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SUMIF(58:58,YEAR(E7)&amp;"-"&amp;MONTH(E7),59:59)</f>
        <v>0</v>
      </c>
      <c r="G7" s="356"/>
      <c r="H7" s="355">
        <f>SUMIF(58:58,YEAR(G7)&amp;"-"&amp;MONTH(G7),59:59)</f>
        <v>0</v>
      </c>
      <c r="I7" s="356"/>
      <c r="J7" s="355">
        <f>SUMIF(58:58,YEAR(I7)&amp;"-"&amp;MONTH(I7),59:59)</f>
        <v>0</v>
      </c>
      <c r="K7" s="1743"/>
      <c r="L7" s="2486"/>
      <c r="M7" s="2437"/>
      <c r="N7" s="2437"/>
      <c r="O7" s="2437"/>
      <c r="P7" s="3534" t="s">
        <v>1680</v>
      </c>
      <c r="Q7" s="3561"/>
      <c r="R7" s="664" t="s">
        <v>20</v>
      </c>
      <c r="S7" s="665">
        <f t="shared" ref="S7:S15" si="0">F7</f>
        <v>0</v>
      </c>
      <c r="T7" s="664" t="s">
        <v>20</v>
      </c>
      <c r="U7" s="665">
        <f t="shared" ref="U7:U15" si="1">H7</f>
        <v>0</v>
      </c>
      <c r="V7" s="664" t="s">
        <v>20</v>
      </c>
      <c r="W7" s="665">
        <f t="shared" ref="W7:W15" si="2">J7</f>
        <v>0</v>
      </c>
      <c r="X7" s="666"/>
      <c r="Y7" s="3534" t="s">
        <v>1680</v>
      </c>
      <c r="Z7" s="3535"/>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6"/>
      <c r="M8" s="2437"/>
      <c r="N8" s="2437"/>
      <c r="O8" s="2437"/>
      <c r="P8" s="3534" t="s">
        <v>1683</v>
      </c>
      <c r="Q8" s="3535"/>
      <c r="R8" s="664" t="s">
        <v>20</v>
      </c>
      <c r="S8" s="665">
        <f t="shared" si="0"/>
        <v>100</v>
      </c>
      <c r="T8" s="664" t="s">
        <v>20</v>
      </c>
      <c r="U8" s="665">
        <f t="shared" si="1"/>
        <v>100</v>
      </c>
      <c r="V8" s="664" t="s">
        <v>20</v>
      </c>
      <c r="W8" s="665">
        <f t="shared" si="2"/>
        <v>100</v>
      </c>
      <c r="X8" s="666"/>
      <c r="Y8" s="3534" t="s">
        <v>1683</v>
      </c>
      <c r="Z8" s="35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6"/>
      <c r="M9" s="2437"/>
      <c r="N9" s="2437"/>
      <c r="O9" s="2437"/>
      <c r="P9" s="3548"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3"/>
      <c r="L10" s="2487"/>
      <c r="M10" s="2488"/>
      <c r="N10" s="2488"/>
      <c r="O10" s="2488"/>
      <c r="P10" s="3548"/>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548"/>
      <c r="Q11" s="530" t="str">
        <f t="shared" si="6"/>
        <v>容积率</v>
      </c>
      <c r="R11" s="664" t="s">
        <v>18</v>
      </c>
      <c r="S11" s="665" t="e">
        <f t="shared" si="0"/>
        <v>#N/A</v>
      </c>
      <c r="T11" s="664" t="s">
        <v>18</v>
      </c>
      <c r="U11" s="665" t="e">
        <f t="shared" si="1"/>
        <v>#N/A</v>
      </c>
      <c r="V11" s="664" t="s">
        <v>18</v>
      </c>
      <c r="W11" s="665" t="e">
        <f t="shared" si="2"/>
        <v>#N/A</v>
      </c>
      <c r="X11" s="666"/>
      <c r="Y11" s="35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6"/>
      <c r="M12" s="2437"/>
      <c r="N12" s="2437"/>
      <c r="O12" s="2437"/>
      <c r="P12" s="3548"/>
      <c r="Q12" s="530">
        <f t="shared" si="6"/>
        <v>111</v>
      </c>
      <c r="R12" s="664" t="s">
        <v>18</v>
      </c>
      <c r="S12" s="665">
        <f t="shared" si="0"/>
        <v>100</v>
      </c>
      <c r="T12" s="664" t="s">
        <v>18</v>
      </c>
      <c r="U12" s="665">
        <f t="shared" si="1"/>
        <v>100</v>
      </c>
      <c r="V12" s="664" t="s">
        <v>18</v>
      </c>
      <c r="W12" s="665">
        <f t="shared" si="2"/>
        <v>100</v>
      </c>
      <c r="X12" s="666"/>
      <c r="Y12" s="35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90"/>
      <c r="M13" s="2485"/>
      <c r="N13" s="2485"/>
      <c r="O13" s="2485"/>
      <c r="P13" s="3548"/>
      <c r="Q13" s="530">
        <f t="shared" si="6"/>
        <v>111</v>
      </c>
      <c r="R13" s="664" t="s">
        <v>18</v>
      </c>
      <c r="S13" s="665">
        <f t="shared" si="0"/>
        <v>100</v>
      </c>
      <c r="T13" s="664" t="s">
        <v>18</v>
      </c>
      <c r="U13" s="665">
        <f t="shared" si="1"/>
        <v>100</v>
      </c>
      <c r="V13" s="664" t="s">
        <v>18</v>
      </c>
      <c r="W13" s="665">
        <f t="shared" si="2"/>
        <v>100</v>
      </c>
      <c r="X13" s="666"/>
      <c r="Y13" s="3503"/>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90"/>
      <c r="M14" s="2485"/>
      <c r="N14" s="2485"/>
      <c r="O14" s="2485"/>
      <c r="P14" s="3548"/>
      <c r="Q14" s="530">
        <f t="shared" si="6"/>
        <v>111</v>
      </c>
      <c r="R14" s="664" t="s">
        <v>18</v>
      </c>
      <c r="S14" s="665">
        <f t="shared" si="0"/>
        <v>100</v>
      </c>
      <c r="T14" s="664" t="s">
        <v>18</v>
      </c>
      <c r="U14" s="665">
        <f t="shared" si="1"/>
        <v>100</v>
      </c>
      <c r="V14" s="664" t="s">
        <v>18</v>
      </c>
      <c r="W14" s="665">
        <f t="shared" si="2"/>
        <v>100</v>
      </c>
      <c r="X14" s="666"/>
      <c r="Y14" s="3503"/>
      <c r="Z14" s="50">
        <f t="shared" si="7"/>
        <v>111</v>
      </c>
      <c r="AA14" s="50">
        <f t="shared" si="3"/>
        <v>1</v>
      </c>
      <c r="AB14" s="50">
        <f t="shared" si="4"/>
        <v>1</v>
      </c>
      <c r="AC14" s="50">
        <f t="shared" si="5"/>
        <v>1</v>
      </c>
    </row>
    <row r="15" spans="1:29" ht="85.5">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62" t="s">
        <v>1691</v>
      </c>
      <c r="Q15" s="1260" t="str">
        <f t="shared" si="6"/>
        <v>居住社区成熟度</v>
      </c>
      <c r="R15" s="667" t="s">
        <v>18</v>
      </c>
      <c r="S15" s="668">
        <f t="shared" si="0"/>
        <v>100</v>
      </c>
      <c r="T15" s="667" t="s">
        <v>18</v>
      </c>
      <c r="U15" s="668">
        <f t="shared" si="1"/>
        <v>100</v>
      </c>
      <c r="V15" s="667" t="s">
        <v>18</v>
      </c>
      <c r="W15" s="668">
        <f t="shared" si="2"/>
        <v>100</v>
      </c>
      <c r="X15" s="1262"/>
      <c r="Y15" s="3564"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90"/>
      <c r="M16" s="2485"/>
      <c r="N16" s="2485"/>
      <c r="O16" s="2485"/>
      <c r="P16" s="3563"/>
      <c r="Q16" s="1260"/>
      <c r="R16" s="667"/>
      <c r="S16" s="668"/>
      <c r="T16" s="667"/>
      <c r="U16" s="668"/>
      <c r="V16" s="667"/>
      <c r="W16" s="668"/>
      <c r="X16" s="1262"/>
      <c r="Y16" s="3565"/>
      <c r="Z16" s="1261"/>
      <c r="AA16" s="1261">
        <v>1</v>
      </c>
      <c r="AB16" s="1261">
        <v>1</v>
      </c>
      <c r="AC16" s="1261">
        <v>1</v>
      </c>
    </row>
    <row r="17" spans="1:29" ht="71.25">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63"/>
      <c r="Q17" s="1260" t="str">
        <f>B17</f>
        <v>交通便捷度</v>
      </c>
      <c r="R17" s="667" t="s">
        <v>18</v>
      </c>
      <c r="S17" s="668">
        <f>F17</f>
        <v>100</v>
      </c>
      <c r="T17" s="667" t="s">
        <v>18</v>
      </c>
      <c r="U17" s="668">
        <f>H17</f>
        <v>100</v>
      </c>
      <c r="V17" s="667" t="s">
        <v>18</v>
      </c>
      <c r="W17" s="668">
        <f>J17</f>
        <v>100</v>
      </c>
      <c r="X17" s="1262"/>
      <c r="Y17" s="3565"/>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90"/>
      <c r="M18" s="2485"/>
      <c r="N18" s="2485"/>
      <c r="O18" s="2485"/>
      <c r="P18" s="3563"/>
      <c r="Q18" s="1260"/>
      <c r="R18" s="667"/>
      <c r="S18" s="668"/>
      <c r="T18" s="667"/>
      <c r="U18" s="668"/>
      <c r="V18" s="667"/>
      <c r="W18" s="668"/>
      <c r="X18" s="1262"/>
      <c r="Y18" s="3565"/>
      <c r="Z18" s="1261"/>
      <c r="AA18" s="1261">
        <v>1</v>
      </c>
      <c r="AB18" s="1261">
        <v>1</v>
      </c>
      <c r="AC18" s="1261">
        <v>1</v>
      </c>
    </row>
    <row r="19" spans="1:29" ht="42.75">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63"/>
      <c r="Q19" s="1260" t="str">
        <f>B19</f>
        <v>公共配套设施</v>
      </c>
      <c r="R19" s="667" t="s">
        <v>18</v>
      </c>
      <c r="S19" s="668">
        <f>F19</f>
        <v>100</v>
      </c>
      <c r="T19" s="667" t="s">
        <v>18</v>
      </c>
      <c r="U19" s="668">
        <f>H19</f>
        <v>100</v>
      </c>
      <c r="V19" s="667" t="s">
        <v>18</v>
      </c>
      <c r="W19" s="668">
        <f>J19</f>
        <v>100</v>
      </c>
      <c r="X19" s="1262"/>
      <c r="Y19" s="3565"/>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90"/>
      <c r="M20" s="2485"/>
      <c r="N20" s="2485"/>
      <c r="O20" s="2485"/>
      <c r="P20" s="3563"/>
      <c r="Q20" s="1260"/>
      <c r="R20" s="667"/>
      <c r="S20" s="668"/>
      <c r="T20" s="667"/>
      <c r="U20" s="668"/>
      <c r="V20" s="667"/>
      <c r="W20" s="668"/>
      <c r="X20" s="1262"/>
      <c r="Y20" s="3565"/>
      <c r="Z20" s="1261"/>
      <c r="AA20" s="1261">
        <v>1</v>
      </c>
      <c r="AB20" s="1261">
        <v>1</v>
      </c>
      <c r="AC20" s="1261">
        <v>1</v>
      </c>
    </row>
    <row r="21" spans="1:29" ht="28.5">
      <c r="A21" s="367"/>
      <c r="B21" s="586"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63"/>
      <c r="Q21" s="1260" t="str">
        <f>B21</f>
        <v>基础设施水平</v>
      </c>
      <c r="R21" s="667" t="s">
        <v>14</v>
      </c>
      <c r="S21" s="668">
        <f>F21</f>
        <v>100</v>
      </c>
      <c r="T21" s="667" t="s">
        <v>14</v>
      </c>
      <c r="U21" s="668">
        <f>H21</f>
        <v>100</v>
      </c>
      <c r="V21" s="667" t="s">
        <v>14</v>
      </c>
      <c r="W21" s="668">
        <f>J21</f>
        <v>100</v>
      </c>
      <c r="X21" s="1262"/>
      <c r="Y21" s="356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90"/>
      <c r="M22" s="2485"/>
      <c r="N22" s="2485"/>
      <c r="O22" s="2485"/>
      <c r="P22" s="3563"/>
      <c r="Q22" s="1260"/>
      <c r="R22" s="667"/>
      <c r="S22" s="668"/>
      <c r="T22" s="667"/>
      <c r="U22" s="668"/>
      <c r="V22" s="667"/>
      <c r="W22" s="668"/>
      <c r="X22" s="1262"/>
      <c r="Y22" s="3565"/>
      <c r="Z22" s="1261"/>
      <c r="AA22" s="1261">
        <v>1</v>
      </c>
      <c r="AB22" s="1261">
        <v>1</v>
      </c>
      <c r="AC22" s="1261">
        <v>1</v>
      </c>
    </row>
    <row r="23" spans="1:29" ht="42.75">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63"/>
      <c r="Q23" s="1260" t="str">
        <f>B23</f>
        <v>自然及人文环境</v>
      </c>
      <c r="R23" s="667" t="s">
        <v>18</v>
      </c>
      <c r="S23" s="668">
        <f>F23</f>
        <v>100</v>
      </c>
      <c r="T23" s="667" t="s">
        <v>18</v>
      </c>
      <c r="U23" s="668">
        <f>H23</f>
        <v>100</v>
      </c>
      <c r="V23" s="667" t="s">
        <v>18</v>
      </c>
      <c r="W23" s="668">
        <f>J23</f>
        <v>100</v>
      </c>
      <c r="X23" s="1262"/>
      <c r="Y23" s="3565"/>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90"/>
      <c r="M24" s="2485"/>
      <c r="N24" s="2485"/>
      <c r="O24" s="2485"/>
      <c r="P24" s="3563"/>
      <c r="Q24" s="1260"/>
      <c r="R24" s="667"/>
      <c r="S24" s="668"/>
      <c r="T24" s="667"/>
      <c r="U24" s="668"/>
      <c r="V24" s="667"/>
      <c r="W24" s="668"/>
      <c r="X24" s="1262"/>
      <c r="Y24" s="3565"/>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90"/>
      <c r="M25" s="2485"/>
      <c r="N25" s="2485"/>
      <c r="O25" s="2485"/>
      <c r="P25" s="3563"/>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565"/>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90"/>
      <c r="M26" s="2485"/>
      <c r="N26" s="2485"/>
      <c r="O26" s="2485"/>
      <c r="P26" s="3563"/>
      <c r="Q26" s="1260" t="str">
        <f t="shared" si="11"/>
        <v>朝向</v>
      </c>
      <c r="R26" s="667" t="s">
        <v>18</v>
      </c>
      <c r="S26" s="668">
        <f t="shared" si="12"/>
        <v>100</v>
      </c>
      <c r="T26" s="667" t="s">
        <v>18</v>
      </c>
      <c r="U26" s="668">
        <f t="shared" si="13"/>
        <v>100</v>
      </c>
      <c r="V26" s="667" t="s">
        <v>18</v>
      </c>
      <c r="W26" s="668">
        <f t="shared" si="14"/>
        <v>100</v>
      </c>
      <c r="X26" s="1262"/>
      <c r="Y26" s="3565"/>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6"/>
      <c r="M27" s="2437"/>
      <c r="N27" s="2437"/>
      <c r="O27" s="2437"/>
      <c r="P27" s="3563"/>
      <c r="Q27" s="530">
        <f t="shared" si="11"/>
        <v>111</v>
      </c>
      <c r="R27" s="664" t="s">
        <v>18</v>
      </c>
      <c r="S27" s="665">
        <f t="shared" si="12"/>
        <v>100</v>
      </c>
      <c r="T27" s="664" t="s">
        <v>18</v>
      </c>
      <c r="U27" s="665">
        <f t="shared" si="13"/>
        <v>100</v>
      </c>
      <c r="V27" s="664" t="s">
        <v>18</v>
      </c>
      <c r="W27" s="665">
        <f t="shared" si="14"/>
        <v>100</v>
      </c>
      <c r="X27" s="666"/>
      <c r="Y27" s="3565"/>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90"/>
      <c r="M28" s="2485"/>
      <c r="N28" s="2485"/>
      <c r="O28" s="2485"/>
      <c r="P28" s="3563"/>
      <c r="Q28" s="1260">
        <f t="shared" si="11"/>
        <v>111</v>
      </c>
      <c r="R28" s="667" t="s">
        <v>18</v>
      </c>
      <c r="S28" s="668">
        <f t="shared" si="12"/>
        <v>100</v>
      </c>
      <c r="T28" s="667" t="s">
        <v>18</v>
      </c>
      <c r="U28" s="668">
        <f t="shared" si="13"/>
        <v>100</v>
      </c>
      <c r="V28" s="667" t="s">
        <v>18</v>
      </c>
      <c r="W28" s="668">
        <f t="shared" si="14"/>
        <v>100</v>
      </c>
      <c r="X28" s="1262"/>
      <c r="Y28" s="3565"/>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90"/>
      <c r="M29" s="2485"/>
      <c r="N29" s="2485"/>
      <c r="O29" s="2485"/>
      <c r="P29" s="3563"/>
      <c r="Q29" s="1260">
        <f t="shared" si="11"/>
        <v>111</v>
      </c>
      <c r="R29" s="667" t="s">
        <v>18</v>
      </c>
      <c r="S29" s="668">
        <f t="shared" si="12"/>
        <v>100</v>
      </c>
      <c r="T29" s="667" t="s">
        <v>18</v>
      </c>
      <c r="U29" s="668">
        <f t="shared" si="13"/>
        <v>100</v>
      </c>
      <c r="V29" s="667" t="s">
        <v>18</v>
      </c>
      <c r="W29" s="668">
        <f t="shared" si="14"/>
        <v>100</v>
      </c>
      <c r="X29" s="1262"/>
      <c r="Y29" s="3565"/>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90"/>
      <c r="M30" s="2485"/>
      <c r="N30" s="2485"/>
      <c r="O30" s="2485"/>
      <c r="P30" s="3563"/>
      <c r="Q30" s="1260">
        <f t="shared" si="11"/>
        <v>111</v>
      </c>
      <c r="R30" s="667" t="s">
        <v>18</v>
      </c>
      <c r="S30" s="668">
        <f t="shared" si="12"/>
        <v>100</v>
      </c>
      <c r="T30" s="667" t="s">
        <v>18</v>
      </c>
      <c r="U30" s="668">
        <f t="shared" si="13"/>
        <v>100</v>
      </c>
      <c r="V30" s="667" t="s">
        <v>18</v>
      </c>
      <c r="W30" s="668">
        <f t="shared" si="14"/>
        <v>100</v>
      </c>
      <c r="X30" s="1262"/>
      <c r="Y30" s="3565"/>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90"/>
      <c r="M31" s="2485"/>
      <c r="N31" s="2485"/>
      <c r="O31" s="2485"/>
      <c r="P31" s="3563"/>
      <c r="Q31" s="1260">
        <f t="shared" si="11"/>
        <v>111</v>
      </c>
      <c r="R31" s="667" t="s">
        <v>18</v>
      </c>
      <c r="S31" s="668">
        <f t="shared" si="12"/>
        <v>100</v>
      </c>
      <c r="T31" s="667" t="s">
        <v>18</v>
      </c>
      <c r="U31" s="668">
        <f t="shared" si="13"/>
        <v>100</v>
      </c>
      <c r="V31" s="667" t="s">
        <v>18</v>
      </c>
      <c r="W31" s="668">
        <f t="shared" si="14"/>
        <v>100</v>
      </c>
      <c r="X31" s="1262"/>
      <c r="Y31" s="3565"/>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90"/>
      <c r="M32" s="2485"/>
      <c r="N32" s="2485"/>
      <c r="O32" s="2485"/>
      <c r="P32" s="3566" t="s">
        <v>1696</v>
      </c>
      <c r="Q32" s="1260" t="str">
        <f t="shared" si="11"/>
        <v>建筑类型</v>
      </c>
      <c r="R32" s="667" t="s">
        <v>18</v>
      </c>
      <c r="S32" s="668">
        <f t="shared" si="12"/>
        <v>100</v>
      </c>
      <c r="T32" s="667" t="s">
        <v>18</v>
      </c>
      <c r="U32" s="668">
        <f t="shared" si="13"/>
        <v>100</v>
      </c>
      <c r="V32" s="667" t="s">
        <v>18</v>
      </c>
      <c r="W32" s="668">
        <f t="shared" si="14"/>
        <v>100</v>
      </c>
      <c r="X32" s="1262"/>
      <c r="Y32" s="3569"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9"/>
      <c r="M33" s="2491"/>
      <c r="N33" s="2491"/>
      <c r="O33" s="2491"/>
      <c r="P33" s="3567"/>
      <c r="Q33" s="531" t="str">
        <f t="shared" si="11"/>
        <v>项目建筑规模</v>
      </c>
      <c r="R33" s="669" t="s">
        <v>18</v>
      </c>
      <c r="S33" s="670" t="e">
        <f t="shared" si="12"/>
        <v>#N/A</v>
      </c>
      <c r="T33" s="669" t="s">
        <v>18</v>
      </c>
      <c r="U33" s="670" t="e">
        <f t="shared" si="13"/>
        <v>#N/A</v>
      </c>
      <c r="V33" s="669" t="s">
        <v>18</v>
      </c>
      <c r="W33" s="670" t="e">
        <f t="shared" si="14"/>
        <v>#N/A</v>
      </c>
      <c r="X33" s="671"/>
      <c r="Y33" s="3569"/>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90"/>
      <c r="M34" s="2485"/>
      <c r="N34" s="2485"/>
      <c r="O34" s="2485"/>
      <c r="P34" s="3567"/>
      <c r="Q34" s="1260" t="str">
        <f t="shared" si="11"/>
        <v>建筑结构</v>
      </c>
      <c r="R34" s="667" t="s">
        <v>18</v>
      </c>
      <c r="S34" s="668">
        <f t="shared" si="12"/>
        <v>100</v>
      </c>
      <c r="T34" s="667" t="s">
        <v>18</v>
      </c>
      <c r="U34" s="668">
        <f t="shared" si="13"/>
        <v>100</v>
      </c>
      <c r="V34" s="667" t="s">
        <v>18</v>
      </c>
      <c r="W34" s="668">
        <f t="shared" si="14"/>
        <v>100</v>
      </c>
      <c r="X34" s="1262"/>
      <c r="Y34" s="3569"/>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90"/>
      <c r="M35" s="2485"/>
      <c r="N35" s="2485"/>
      <c r="O35" s="2485"/>
      <c r="P35" s="3567"/>
      <c r="Q35" s="1260" t="str">
        <f t="shared" si="11"/>
        <v>建筑品质</v>
      </c>
      <c r="R35" s="667" t="s">
        <v>18</v>
      </c>
      <c r="S35" s="668">
        <f t="shared" si="12"/>
        <v>100</v>
      </c>
      <c r="T35" s="667" t="s">
        <v>18</v>
      </c>
      <c r="U35" s="668">
        <f t="shared" si="13"/>
        <v>100</v>
      </c>
      <c r="V35" s="667" t="s">
        <v>18</v>
      </c>
      <c r="W35" s="668">
        <f t="shared" si="14"/>
        <v>100</v>
      </c>
      <c r="X35" s="1262"/>
      <c r="Y35" s="3569"/>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90"/>
      <c r="M36" s="2485"/>
      <c r="N36" s="2485"/>
      <c r="O36" s="2485"/>
      <c r="P36" s="3567"/>
      <c r="Q36" s="1260" t="str">
        <f t="shared" si="11"/>
        <v>公共部分装修</v>
      </c>
      <c r="R36" s="667" t="s">
        <v>18</v>
      </c>
      <c r="S36" s="668">
        <f t="shared" si="12"/>
        <v>100</v>
      </c>
      <c r="T36" s="667" t="s">
        <v>18</v>
      </c>
      <c r="U36" s="668">
        <f t="shared" si="13"/>
        <v>100</v>
      </c>
      <c r="V36" s="667" t="s">
        <v>18</v>
      </c>
      <c r="W36" s="668">
        <f t="shared" si="14"/>
        <v>100</v>
      </c>
      <c r="X36" s="1262"/>
      <c r="Y36" s="3569"/>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567"/>
      <c r="Q37" s="530" t="str">
        <f t="shared" si="11"/>
        <v>成新度</v>
      </c>
      <c r="R37" s="664" t="s">
        <v>18</v>
      </c>
      <c r="S37" s="665" t="e">
        <f t="shared" si="12"/>
        <v>#N/A</v>
      </c>
      <c r="T37" s="664" t="s">
        <v>18</v>
      </c>
      <c r="U37" s="665" t="e">
        <f t="shared" si="13"/>
        <v>#N/A</v>
      </c>
      <c r="V37" s="664" t="s">
        <v>18</v>
      </c>
      <c r="W37" s="665" t="e">
        <f t="shared" si="14"/>
        <v>#N/A</v>
      </c>
      <c r="X37" s="666"/>
      <c r="Y37" s="3569"/>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90"/>
      <c r="M38" s="2485"/>
      <c r="N38" s="2485"/>
      <c r="O38" s="2485"/>
      <c r="P38" s="3567" t="s">
        <v>1696</v>
      </c>
      <c r="Q38" s="1260" t="str">
        <f t="shared" si="11"/>
        <v>物业管理</v>
      </c>
      <c r="R38" s="667" t="s">
        <v>18</v>
      </c>
      <c r="S38" s="668">
        <f t="shared" si="12"/>
        <v>100</v>
      </c>
      <c r="T38" s="667" t="s">
        <v>18</v>
      </c>
      <c r="U38" s="668">
        <f t="shared" si="13"/>
        <v>100</v>
      </c>
      <c r="V38" s="667" t="s">
        <v>18</v>
      </c>
      <c r="W38" s="668">
        <f t="shared" si="14"/>
        <v>100</v>
      </c>
      <c r="X38" s="1262"/>
      <c r="Y38" s="3569"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90"/>
      <c r="M39" s="2485"/>
      <c r="N39" s="2485"/>
      <c r="O39" s="2485"/>
      <c r="P39" s="3567"/>
      <c r="Q39" s="1260" t="str">
        <f t="shared" si="11"/>
        <v>市政基础设施</v>
      </c>
      <c r="R39" s="667" t="s">
        <v>18</v>
      </c>
      <c r="S39" s="668">
        <f t="shared" si="12"/>
        <v>100</v>
      </c>
      <c r="T39" s="667" t="s">
        <v>18</v>
      </c>
      <c r="U39" s="668">
        <f t="shared" si="13"/>
        <v>100</v>
      </c>
      <c r="V39" s="667" t="s">
        <v>18</v>
      </c>
      <c r="W39" s="668">
        <f t="shared" si="14"/>
        <v>100</v>
      </c>
      <c r="X39" s="1262"/>
      <c r="Y39" s="3569"/>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90"/>
      <c r="M40" s="2485"/>
      <c r="N40" s="2485"/>
      <c r="O40" s="2485"/>
      <c r="P40" s="3567"/>
      <c r="Q40" s="1260" t="str">
        <f t="shared" si="11"/>
        <v>房型</v>
      </c>
      <c r="R40" s="667" t="s">
        <v>18</v>
      </c>
      <c r="S40" s="668">
        <f t="shared" si="12"/>
        <v>100</v>
      </c>
      <c r="T40" s="667" t="s">
        <v>18</v>
      </c>
      <c r="U40" s="668">
        <f t="shared" si="13"/>
        <v>100</v>
      </c>
      <c r="V40" s="667" t="s">
        <v>18</v>
      </c>
      <c r="W40" s="668">
        <f t="shared" si="14"/>
        <v>100</v>
      </c>
      <c r="X40" s="1262"/>
      <c r="Y40" s="3569"/>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9"/>
      <c r="M41" s="2491"/>
      <c r="N41" s="2491"/>
      <c r="O41" s="2491"/>
      <c r="P41" s="3567"/>
      <c r="Q41" s="531" t="str">
        <f t="shared" si="11"/>
        <v>单套/主力户型建筑面积</v>
      </c>
      <c r="R41" s="669" t="s">
        <v>18</v>
      </c>
      <c r="S41" s="670">
        <f t="shared" si="12"/>
        <v>100</v>
      </c>
      <c r="T41" s="669" t="s">
        <v>18</v>
      </c>
      <c r="U41" s="670">
        <f t="shared" si="13"/>
        <v>100</v>
      </c>
      <c r="V41" s="669" t="s">
        <v>18</v>
      </c>
      <c r="W41" s="670">
        <f t="shared" si="14"/>
        <v>100</v>
      </c>
      <c r="X41" s="671"/>
      <c r="Y41" s="3569"/>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90"/>
      <c r="M42" s="2485"/>
      <c r="N42" s="2485"/>
      <c r="O42" s="2485"/>
      <c r="P42" s="3567"/>
      <c r="Q42" s="1260" t="str">
        <f t="shared" si="11"/>
        <v>内部装修</v>
      </c>
      <c r="R42" s="667" t="s">
        <v>18</v>
      </c>
      <c r="S42" s="668">
        <f t="shared" si="12"/>
        <v>100</v>
      </c>
      <c r="T42" s="667" t="s">
        <v>18</v>
      </c>
      <c r="U42" s="668">
        <f t="shared" si="13"/>
        <v>100</v>
      </c>
      <c r="V42" s="667" t="s">
        <v>18</v>
      </c>
      <c r="W42" s="668">
        <f t="shared" si="14"/>
        <v>100</v>
      </c>
      <c r="X42" s="1262"/>
      <c r="Y42" s="3569"/>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90"/>
      <c r="M43" s="2485"/>
      <c r="N43" s="2485"/>
      <c r="O43" s="2485"/>
      <c r="P43" s="3567"/>
      <c r="Q43" s="1260" t="str">
        <f t="shared" si="11"/>
        <v>内部装修维护情况</v>
      </c>
      <c r="R43" s="667" t="s">
        <v>18</v>
      </c>
      <c r="S43" s="668">
        <f t="shared" si="12"/>
        <v>100</v>
      </c>
      <c r="T43" s="667" t="s">
        <v>18</v>
      </c>
      <c r="U43" s="668">
        <f t="shared" si="13"/>
        <v>100</v>
      </c>
      <c r="V43" s="667" t="s">
        <v>18</v>
      </c>
      <c r="W43" s="668">
        <f t="shared" si="14"/>
        <v>100</v>
      </c>
      <c r="X43" s="1262"/>
      <c r="Y43" s="3569"/>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6"/>
      <c r="M44" s="2437"/>
      <c r="N44" s="2437"/>
      <c r="O44" s="2437"/>
      <c r="P44" s="3567"/>
      <c r="Q44" s="530">
        <f t="shared" si="11"/>
        <v>111</v>
      </c>
      <c r="R44" s="664" t="s">
        <v>18</v>
      </c>
      <c r="S44" s="665">
        <f t="shared" si="12"/>
        <v>100</v>
      </c>
      <c r="T44" s="664" t="s">
        <v>18</v>
      </c>
      <c r="U44" s="665">
        <f t="shared" si="13"/>
        <v>100</v>
      </c>
      <c r="V44" s="664" t="s">
        <v>18</v>
      </c>
      <c r="W44" s="665">
        <f t="shared" si="14"/>
        <v>100</v>
      </c>
      <c r="X44" s="666"/>
      <c r="Y44" s="3569"/>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90"/>
      <c r="M45" s="2485"/>
      <c r="N45" s="2485"/>
      <c r="O45" s="2485"/>
      <c r="P45" s="3567"/>
      <c r="Q45" s="1260">
        <f t="shared" si="11"/>
        <v>111</v>
      </c>
      <c r="R45" s="667" t="s">
        <v>18</v>
      </c>
      <c r="S45" s="668">
        <f t="shared" si="12"/>
        <v>100</v>
      </c>
      <c r="T45" s="667" t="s">
        <v>18</v>
      </c>
      <c r="U45" s="668">
        <f t="shared" si="13"/>
        <v>100</v>
      </c>
      <c r="V45" s="667" t="s">
        <v>18</v>
      </c>
      <c r="W45" s="668">
        <f t="shared" si="14"/>
        <v>100</v>
      </c>
      <c r="X45" s="1262"/>
      <c r="Y45" s="3569"/>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90"/>
      <c r="M46" s="2485"/>
      <c r="N46" s="2485"/>
      <c r="O46" s="2485"/>
      <c r="P46" s="3568"/>
      <c r="Q46" s="1260">
        <f t="shared" si="11"/>
        <v>111</v>
      </c>
      <c r="R46" s="667" t="s">
        <v>17</v>
      </c>
      <c r="S46" s="668">
        <f t="shared" si="12"/>
        <v>100</v>
      </c>
      <c r="T46" s="667" t="s">
        <v>17</v>
      </c>
      <c r="U46" s="668">
        <f t="shared" si="13"/>
        <v>100</v>
      </c>
      <c r="V46" s="667" t="s">
        <v>17</v>
      </c>
      <c r="W46" s="668">
        <f t="shared" si="14"/>
        <v>100</v>
      </c>
      <c r="X46" s="1262"/>
      <c r="Y46" s="3570"/>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92"/>
      <c r="M47" s="2485"/>
      <c r="N47" s="2485"/>
      <c r="O47" s="2485"/>
      <c r="P47" s="3571" t="str">
        <f>A47</f>
        <v>成交单价（元/平方米）</v>
      </c>
      <c r="Q47" s="3571"/>
      <c r="R47" s="3533">
        <f>E47</f>
        <v>0</v>
      </c>
      <c r="S47" s="3533"/>
      <c r="T47" s="3533">
        <f>G47</f>
        <v>0</v>
      </c>
      <c r="U47" s="3533"/>
      <c r="V47" s="3533">
        <f>I47</f>
        <v>0</v>
      </c>
      <c r="W47" s="3533"/>
      <c r="X47" s="385"/>
      <c r="Y47" s="673"/>
      <c r="Z47" s="385"/>
      <c r="AA47" s="385"/>
      <c r="AB47" s="385"/>
      <c r="AC47" s="385"/>
    </row>
    <row r="48" spans="1:29" ht="15.75" thickBot="1">
      <c r="A48" s="423" t="s">
        <v>1709</v>
      </c>
      <c r="B48" s="424"/>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571" t="str">
        <f>A48</f>
        <v>比较价值（元/平方米）</v>
      </c>
      <c r="Q48" s="3571"/>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92"/>
      <c r="M49" s="2485"/>
      <c r="N49" s="2485"/>
      <c r="O49" s="2485"/>
      <c r="P49" s="3572" t="str">
        <f>A49</f>
        <v>估价对象XX用房的比较价值（楼面单价，元/平方米）</v>
      </c>
      <c r="Q49" s="3573"/>
      <c r="R49" s="3574" t="e">
        <f>IF(F1="售价",ROUND(IF(D48="简单平均",AVERAGE(R48:V48),R48*F48+T48*H48+V48*J48),0),ROUND(IF(D48="简单平均",AVERAGE(R48:V48),R48*F48+T48*H48+V48*J48),1))</f>
        <v>#DIV/0!</v>
      </c>
      <c r="S49" s="3574"/>
      <c r="T49" s="3574"/>
      <c r="U49" s="3574"/>
      <c r="V49" s="3574"/>
      <c r="W49" s="35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4"/>
      <c r="L57" s="885"/>
      <c r="M57" s="883"/>
      <c r="N57" s="883"/>
      <c r="O57" s="883"/>
      <c r="P57" s="1768"/>
      <c r="Q57" s="439"/>
    </row>
    <row r="58" spans="1:29" s="442" customFormat="1" ht="15">
      <c r="A58" s="440" t="s">
        <v>1715</v>
      </c>
      <c r="B58" s="441"/>
      <c r="C58" s="1102" t="str">
        <f>YEAR(C7)&amp;"-"&amp;MONTH(C7)</f>
        <v>2023-12</v>
      </c>
      <c r="D58" s="1101">
        <f>EDATE(C58,-1)</f>
        <v>45231</v>
      </c>
      <c r="E58" s="1101">
        <f>EDATE(D58,-1)</f>
        <v>45200</v>
      </c>
      <c r="F58" s="1101">
        <f t="shared" ref="F58:O58" si="19">EDATE(E58,-1)</f>
        <v>45170</v>
      </c>
      <c r="G58" s="1101">
        <f t="shared" si="19"/>
        <v>45139</v>
      </c>
      <c r="H58" s="1101">
        <f t="shared" si="19"/>
        <v>45108</v>
      </c>
      <c r="I58" s="1101">
        <f t="shared" si="19"/>
        <v>45078</v>
      </c>
      <c r="J58" s="1101">
        <f t="shared" si="19"/>
        <v>45047</v>
      </c>
      <c r="K58" s="1101">
        <f t="shared" si="19"/>
        <v>45017</v>
      </c>
      <c r="L58" s="1101">
        <f t="shared" si="19"/>
        <v>44986</v>
      </c>
      <c r="M58" s="1101">
        <f t="shared" si="19"/>
        <v>44958</v>
      </c>
      <c r="N58" s="1101">
        <f t="shared" si="19"/>
        <v>44927</v>
      </c>
      <c r="O58" s="1101">
        <f t="shared" si="19"/>
        <v>44896</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1688</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1734</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1735</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E20 I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E9 G9 I9" xr:uid="{00000000-0002-0000-2700-000011000000}">
      <formula1>住宅用途</formula1>
    </dataValidation>
    <dataValidation type="list" allowBlank="1" showInputMessage="1" showErrorMessage="1" sqref="C22 E22 G22 I22" xr:uid="{00000000-0002-0000-2700-000012000000}">
      <formula1>基础设施水平</formula1>
    </dataValidation>
    <dataValidation type="list" allowBlank="1" showInputMessage="1" showErrorMessage="1" sqref="F1" xr:uid="{00000000-0002-0000-2700-000013000000}">
      <formula1>"售价,租金"</formula1>
    </dataValidation>
    <dataValidation type="list" allowBlank="1" showInputMessage="1" showErrorMessage="1" sqref="C2" xr:uid="{00000000-0002-0000-2700-000014000000}">
      <formula1>"需扣减承租人权益,——"</formula1>
    </dataValidation>
    <dataValidation type="list" allowBlank="1" showInputMessage="1" showErrorMessage="1" sqref="F2" xr:uid="{00000000-0002-0000-2700-000015000000}">
      <formula1>估价方法</formula1>
    </dataValidation>
    <dataValidation type="list" allowBlank="1" showInputMessage="1" showErrorMessage="1" sqref="D48" xr:uid="{00000000-0002-0000-2700-000016000000}">
      <formula1>"简单平均,加权平均"</formula1>
    </dataValidation>
    <dataValidation type="list" allowBlank="1" showInputMessage="1" showErrorMessage="1" sqref="E1" xr:uid="{00000000-0002-0000-2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11833.989999999994</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549" t="s">
        <v>1770</v>
      </c>
      <c r="D4" s="3550"/>
      <c r="E4" s="3551" t="s">
        <v>1771</v>
      </c>
      <c r="F4" s="3552"/>
      <c r="G4" s="3549" t="s">
        <v>1772</v>
      </c>
      <c r="H4" s="3550"/>
      <c r="I4" s="3549" t="s">
        <v>1773</v>
      </c>
      <c r="J4" s="3550"/>
      <c r="K4" s="537" t="s">
        <v>1774</v>
      </c>
      <c r="L4" s="857"/>
      <c r="M4" s="858"/>
      <c r="N4" s="858"/>
      <c r="O4" s="858"/>
      <c r="P4" s="3553" t="s">
        <v>1775</v>
      </c>
      <c r="Q4" s="3554"/>
      <c r="R4" s="3536" t="s">
        <v>1771</v>
      </c>
      <c r="S4" s="3537"/>
      <c r="T4" s="3536" t="s">
        <v>1772</v>
      </c>
      <c r="U4" s="3537"/>
      <c r="V4" s="3533" t="s">
        <v>1773</v>
      </c>
      <c r="W4" s="3533"/>
      <c r="X4" s="1262"/>
      <c r="Y4" s="3536" t="s">
        <v>1775</v>
      </c>
      <c r="Z4" s="3537"/>
      <c r="AA4" s="3530" t="s">
        <v>1771</v>
      </c>
      <c r="AB4" s="3531" t="s">
        <v>1772</v>
      </c>
      <c r="AC4" s="3530" t="s">
        <v>1773</v>
      </c>
    </row>
    <row r="5" spans="1:29" ht="15">
      <c r="A5" s="348"/>
      <c r="B5" s="349"/>
      <c r="C5" s="3542" t="s">
        <v>1673</v>
      </c>
      <c r="D5" s="3543"/>
      <c r="E5" s="3540" t="s">
        <v>1674</v>
      </c>
      <c r="F5" s="3541"/>
      <c r="G5" s="3542" t="s">
        <v>1675</v>
      </c>
      <c r="H5" s="3543"/>
      <c r="I5" s="3542" t="s">
        <v>1676</v>
      </c>
      <c r="J5" s="3543"/>
      <c r="K5" s="537"/>
      <c r="L5" s="857"/>
      <c r="M5" s="858"/>
      <c r="N5" s="858"/>
      <c r="O5" s="858"/>
      <c r="P5" s="3555"/>
      <c r="Q5" s="3556"/>
      <c r="R5" s="3538"/>
      <c r="S5" s="3539"/>
      <c r="T5" s="3538"/>
      <c r="U5" s="3539"/>
      <c r="V5" s="3533"/>
      <c r="W5" s="3533"/>
      <c r="X5" s="1262"/>
      <c r="Y5" s="3538"/>
      <c r="Z5" s="3539"/>
      <c r="AA5" s="3531"/>
      <c r="AB5" s="3531"/>
      <c r="AC5" s="3531"/>
    </row>
    <row r="6" spans="1:29" ht="15.75" thickBot="1">
      <c r="A6" s="350"/>
      <c r="B6" s="351"/>
      <c r="C6" s="3544" t="s">
        <v>1677</v>
      </c>
      <c r="D6" s="3545"/>
      <c r="E6" s="3546" t="s">
        <v>1677</v>
      </c>
      <c r="F6" s="3547"/>
      <c r="G6" s="3544" t="s">
        <v>1677</v>
      </c>
      <c r="H6" s="3545"/>
      <c r="I6" s="3544" t="s">
        <v>1677</v>
      </c>
      <c r="J6" s="3545"/>
      <c r="K6" s="537" t="s">
        <v>1678</v>
      </c>
      <c r="L6" s="857"/>
      <c r="M6" s="858"/>
      <c r="N6" s="858"/>
      <c r="O6" s="858"/>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SUMIF(52:52,YEAR(E7)&amp;"-"&amp;MONTH(E7),53:53)</f>
        <v>0</v>
      </c>
      <c r="G7" s="356"/>
      <c r="H7" s="355">
        <f>SUMIF(52:52,YEAR(G7)&amp;"-"&amp;MONTH(G7),53:53)</f>
        <v>0</v>
      </c>
      <c r="I7" s="356"/>
      <c r="J7" s="355">
        <f>SUMIF(52:52,YEAR(I7)&amp;"-"&amp;MONTH(I7),53:53)</f>
        <v>0</v>
      </c>
      <c r="K7" s="38"/>
      <c r="L7" s="859"/>
      <c r="M7" s="860"/>
      <c r="N7" s="860"/>
      <c r="O7" s="860"/>
      <c r="P7" s="3534" t="s">
        <v>1680</v>
      </c>
      <c r="Q7" s="3561"/>
      <c r="R7" s="664" t="s">
        <v>14</v>
      </c>
      <c r="S7" s="665">
        <f t="shared" ref="S7:S15" si="0">F7</f>
        <v>0</v>
      </c>
      <c r="T7" s="664" t="s">
        <v>14</v>
      </c>
      <c r="U7" s="665">
        <f t="shared" ref="U7:U15" si="1">H7</f>
        <v>0</v>
      </c>
      <c r="V7" s="664" t="s">
        <v>14</v>
      </c>
      <c r="W7" s="665">
        <f t="shared" ref="W7:W15" si="2">J7</f>
        <v>0</v>
      </c>
      <c r="X7" s="666"/>
      <c r="Y7" s="3534" t="s">
        <v>1680</v>
      </c>
      <c r="Z7" s="35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534" t="s">
        <v>1683</v>
      </c>
      <c r="Q8" s="3535"/>
      <c r="R8" s="664" t="s">
        <v>14</v>
      </c>
      <c r="S8" s="665">
        <f t="shared" si="0"/>
        <v>100</v>
      </c>
      <c r="T8" s="664" t="s">
        <v>14</v>
      </c>
      <c r="U8" s="665">
        <f t="shared" si="1"/>
        <v>100</v>
      </c>
      <c r="V8" s="664" t="s">
        <v>14</v>
      </c>
      <c r="W8" s="665">
        <f t="shared" si="2"/>
        <v>100</v>
      </c>
      <c r="X8" s="666"/>
      <c r="Y8" s="3534" t="s">
        <v>1683</v>
      </c>
      <c r="Z8" s="35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571"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2"/>
      <c r="M10" s="863"/>
      <c r="N10" s="863"/>
      <c r="O10" s="864"/>
      <c r="P10" s="3571"/>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571"/>
      <c r="Q11" s="530" t="str">
        <f t="shared" si="6"/>
        <v>容积率</v>
      </c>
      <c r="R11" s="664" t="s">
        <v>14</v>
      </c>
      <c r="S11" s="665">
        <f t="shared" si="0"/>
        <v>100</v>
      </c>
      <c r="T11" s="664" t="s">
        <v>14</v>
      </c>
      <c r="U11" s="665">
        <f t="shared" si="1"/>
        <v>100</v>
      </c>
      <c r="V11" s="664" t="s">
        <v>14</v>
      </c>
      <c r="W11" s="665">
        <f t="shared" si="2"/>
        <v>100</v>
      </c>
      <c r="X11" s="666"/>
      <c r="Y11" s="35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571"/>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571"/>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571"/>
      <c r="Q14" s="530">
        <f t="shared" si="6"/>
        <v>111</v>
      </c>
      <c r="R14" s="664" t="s">
        <v>14</v>
      </c>
      <c r="S14" s="665">
        <f t="shared" si="0"/>
        <v>100</v>
      </c>
      <c r="T14" s="664" t="s">
        <v>14</v>
      </c>
      <c r="U14" s="665">
        <f t="shared" si="1"/>
        <v>100</v>
      </c>
      <c r="V14" s="664" t="s">
        <v>14</v>
      </c>
      <c r="W14" s="665">
        <f t="shared" si="2"/>
        <v>100</v>
      </c>
      <c r="X14" s="666"/>
      <c r="Y14" s="3503"/>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564" t="s">
        <v>1691</v>
      </c>
      <c r="Q15" s="1260" t="str">
        <f t="shared" si="6"/>
        <v>产业集聚程度</v>
      </c>
      <c r="R15" s="667" t="s">
        <v>14</v>
      </c>
      <c r="S15" s="668">
        <f t="shared" si="0"/>
        <v>100</v>
      </c>
      <c r="T15" s="667" t="s">
        <v>14</v>
      </c>
      <c r="U15" s="668">
        <f t="shared" si="1"/>
        <v>100</v>
      </c>
      <c r="V15" s="667" t="s">
        <v>14</v>
      </c>
      <c r="W15" s="668">
        <f t="shared" si="2"/>
        <v>100</v>
      </c>
      <c r="X15" s="1262"/>
      <c r="Y15" s="3564"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565"/>
      <c r="Q16" s="1260"/>
      <c r="R16" s="667"/>
      <c r="S16" s="668"/>
      <c r="T16" s="667"/>
      <c r="U16" s="668"/>
      <c r="V16" s="667"/>
      <c r="W16" s="668"/>
      <c r="X16" s="1262"/>
      <c r="Y16" s="3565"/>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65"/>
      <c r="Q17" s="1260" t="str">
        <f>B17</f>
        <v>交通便捷度</v>
      </c>
      <c r="R17" s="667" t="s">
        <v>14</v>
      </c>
      <c r="S17" s="668">
        <f>F17</f>
        <v>100</v>
      </c>
      <c r="T17" s="667" t="s">
        <v>14</v>
      </c>
      <c r="U17" s="668">
        <f>H17</f>
        <v>100</v>
      </c>
      <c r="V17" s="667" t="s">
        <v>14</v>
      </c>
      <c r="W17" s="668">
        <f>J17</f>
        <v>100</v>
      </c>
      <c r="X17" s="1262"/>
      <c r="Y17" s="356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565"/>
      <c r="Q18" s="1260"/>
      <c r="R18" s="667"/>
      <c r="S18" s="668"/>
      <c r="T18" s="667"/>
      <c r="U18" s="668"/>
      <c r="V18" s="667"/>
      <c r="W18" s="668"/>
      <c r="X18" s="1262"/>
      <c r="Y18" s="3565"/>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65"/>
      <c r="Q19" s="1260" t="str">
        <f>B19</f>
        <v>公共配套设施</v>
      </c>
      <c r="R19" s="667" t="s">
        <v>14</v>
      </c>
      <c r="S19" s="668">
        <f>F19</f>
        <v>100</v>
      </c>
      <c r="T19" s="667" t="s">
        <v>14</v>
      </c>
      <c r="U19" s="668">
        <f>H19</f>
        <v>100</v>
      </c>
      <c r="V19" s="667" t="s">
        <v>14</v>
      </c>
      <c r="W19" s="668">
        <f>J19</f>
        <v>100</v>
      </c>
      <c r="X19" s="1262"/>
      <c r="Y19" s="356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565"/>
      <c r="Q20" s="1260"/>
      <c r="R20" s="667"/>
      <c r="S20" s="668"/>
      <c r="T20" s="667"/>
      <c r="U20" s="668"/>
      <c r="V20" s="667"/>
      <c r="W20" s="668"/>
      <c r="X20" s="1262"/>
      <c r="Y20" s="3565"/>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65"/>
      <c r="Q21" s="1260" t="str">
        <f>B21</f>
        <v>基础设施水平</v>
      </c>
      <c r="R21" s="667" t="s">
        <v>14</v>
      </c>
      <c r="S21" s="668">
        <f>F21</f>
        <v>100</v>
      </c>
      <c r="T21" s="667" t="s">
        <v>14</v>
      </c>
      <c r="U21" s="668">
        <f>H21</f>
        <v>100</v>
      </c>
      <c r="V21" s="667" t="s">
        <v>14</v>
      </c>
      <c r="W21" s="668">
        <f>J21</f>
        <v>100</v>
      </c>
      <c r="X21" s="1262"/>
      <c r="Y21" s="356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565"/>
      <c r="Q22" s="1260"/>
      <c r="R22" s="667"/>
      <c r="S22" s="668"/>
      <c r="T22" s="667"/>
      <c r="U22" s="668"/>
      <c r="V22" s="667"/>
      <c r="W22" s="668"/>
      <c r="X22" s="1262"/>
      <c r="Y22" s="3565"/>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65"/>
      <c r="Q23" s="1260" t="str">
        <f>B23</f>
        <v>环境质量</v>
      </c>
      <c r="R23" s="667" t="s">
        <v>14</v>
      </c>
      <c r="S23" s="668">
        <f>F23</f>
        <v>100</v>
      </c>
      <c r="T23" s="667" t="s">
        <v>14</v>
      </c>
      <c r="U23" s="668">
        <f>H23</f>
        <v>100</v>
      </c>
      <c r="V23" s="667" t="s">
        <v>14</v>
      </c>
      <c r="W23" s="668">
        <f>J23</f>
        <v>100</v>
      </c>
      <c r="X23" s="1262"/>
      <c r="Y23" s="3565"/>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565"/>
      <c r="Q24" s="1260"/>
      <c r="R24" s="667"/>
      <c r="S24" s="668"/>
      <c r="T24" s="667"/>
      <c r="U24" s="668"/>
      <c r="V24" s="667"/>
      <c r="W24" s="668"/>
      <c r="X24" s="1262"/>
      <c r="Y24" s="3565"/>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65"/>
      <c r="Q25" s="1260">
        <f>B25</f>
        <v>111</v>
      </c>
      <c r="R25" s="667" t="s">
        <v>14</v>
      </c>
      <c r="S25" s="668">
        <f>F25</f>
        <v>100</v>
      </c>
      <c r="T25" s="667" t="s">
        <v>14</v>
      </c>
      <c r="U25" s="668">
        <f>H25</f>
        <v>100</v>
      </c>
      <c r="V25" s="667" t="s">
        <v>14</v>
      </c>
      <c r="W25" s="668">
        <f>J25</f>
        <v>100</v>
      </c>
      <c r="X25" s="1262"/>
      <c r="Y25" s="3565"/>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65"/>
      <c r="Q26" s="1260">
        <f t="shared" ref="Q26:Q40" si="11">B26</f>
        <v>111</v>
      </c>
      <c r="R26" s="667" t="s">
        <v>14</v>
      </c>
      <c r="S26" s="668">
        <f>F26</f>
        <v>100</v>
      </c>
      <c r="T26" s="667" t="s">
        <v>14</v>
      </c>
      <c r="U26" s="668">
        <f>H26</f>
        <v>100</v>
      </c>
      <c r="V26" s="667" t="s">
        <v>14</v>
      </c>
      <c r="W26" s="668">
        <f>J26</f>
        <v>100</v>
      </c>
      <c r="X26" s="1262"/>
      <c r="Y26" s="3565"/>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65"/>
      <c r="Q27" s="530">
        <f t="shared" si="11"/>
        <v>111</v>
      </c>
      <c r="R27" s="664" t="s">
        <v>14</v>
      </c>
      <c r="S27" s="665">
        <f>F27</f>
        <v>100</v>
      </c>
      <c r="T27" s="664" t="s">
        <v>14</v>
      </c>
      <c r="U27" s="665">
        <f>H27</f>
        <v>100</v>
      </c>
      <c r="V27" s="664" t="s">
        <v>14</v>
      </c>
      <c r="W27" s="665">
        <f>J27</f>
        <v>100</v>
      </c>
      <c r="X27" s="666"/>
      <c r="Y27" s="3565"/>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65"/>
      <c r="Q28" s="1260">
        <f t="shared" si="11"/>
        <v>111</v>
      </c>
      <c r="R28" s="667" t="s">
        <v>14</v>
      </c>
      <c r="S28" s="668">
        <f t="shared" ref="S28:S40" si="12">F28</f>
        <v>100</v>
      </c>
      <c r="T28" s="667" t="s">
        <v>14</v>
      </c>
      <c r="U28" s="668">
        <f t="shared" ref="U28:U40" si="13">H28</f>
        <v>100</v>
      </c>
      <c r="V28" s="667" t="s">
        <v>14</v>
      </c>
      <c r="W28" s="668">
        <f t="shared" ref="W28:W40" si="14">J28</f>
        <v>100</v>
      </c>
      <c r="X28" s="1262"/>
      <c r="Y28" s="3565"/>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624" t="s">
        <v>1696</v>
      </c>
      <c r="Q29" s="1260" t="str">
        <f t="shared" si="11"/>
        <v>建筑类型</v>
      </c>
      <c r="R29" s="667" t="s">
        <v>14</v>
      </c>
      <c r="S29" s="668">
        <f t="shared" si="12"/>
        <v>100</v>
      </c>
      <c r="T29" s="667" t="s">
        <v>14</v>
      </c>
      <c r="U29" s="668">
        <f t="shared" si="13"/>
        <v>100</v>
      </c>
      <c r="V29" s="667" t="s">
        <v>14</v>
      </c>
      <c r="W29" s="668">
        <f t="shared" si="14"/>
        <v>100</v>
      </c>
      <c r="X29" s="1262"/>
      <c r="Y29" s="3569"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69"/>
      <c r="Q30" s="531" t="str">
        <f t="shared" si="11"/>
        <v>项目建筑规模</v>
      </c>
      <c r="R30" s="669" t="s">
        <v>14</v>
      </c>
      <c r="S30" s="670" t="e">
        <f t="shared" si="12"/>
        <v>#N/A</v>
      </c>
      <c r="T30" s="669" t="s">
        <v>14</v>
      </c>
      <c r="U30" s="670" t="e">
        <f t="shared" si="13"/>
        <v>#N/A</v>
      </c>
      <c r="V30" s="669" t="s">
        <v>14</v>
      </c>
      <c r="W30" s="670" t="e">
        <f t="shared" si="14"/>
        <v>#N/A</v>
      </c>
      <c r="X30" s="671"/>
      <c r="Y30" s="3569"/>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69"/>
      <c r="Q31" s="1260" t="str">
        <f t="shared" si="11"/>
        <v>建筑结构</v>
      </c>
      <c r="R31" s="667" t="s">
        <v>14</v>
      </c>
      <c r="S31" s="668">
        <f t="shared" si="12"/>
        <v>100</v>
      </c>
      <c r="T31" s="667" t="s">
        <v>14</v>
      </c>
      <c r="U31" s="668">
        <f t="shared" si="13"/>
        <v>100</v>
      </c>
      <c r="V31" s="667" t="s">
        <v>14</v>
      </c>
      <c r="W31" s="668">
        <f t="shared" si="14"/>
        <v>100</v>
      </c>
      <c r="X31" s="1262"/>
      <c r="Y31" s="3569"/>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69"/>
      <c r="Q32" s="1260" t="str">
        <f t="shared" si="11"/>
        <v>公共部分装修</v>
      </c>
      <c r="R32" s="667" t="s">
        <v>14</v>
      </c>
      <c r="S32" s="668">
        <f t="shared" si="12"/>
        <v>100</v>
      </c>
      <c r="T32" s="667" t="s">
        <v>14</v>
      </c>
      <c r="U32" s="668">
        <f t="shared" si="13"/>
        <v>100</v>
      </c>
      <c r="V32" s="667" t="s">
        <v>14</v>
      </c>
      <c r="W32" s="668">
        <f t="shared" si="14"/>
        <v>100</v>
      </c>
      <c r="X32" s="1262"/>
      <c r="Y32" s="3569"/>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69"/>
      <c r="Q33" s="1260" t="str">
        <f t="shared" si="11"/>
        <v>成新度</v>
      </c>
      <c r="R33" s="667" t="s">
        <v>14</v>
      </c>
      <c r="S33" s="668" t="e">
        <f t="shared" si="12"/>
        <v>#N/A</v>
      </c>
      <c r="T33" s="667" t="s">
        <v>14</v>
      </c>
      <c r="U33" s="668" t="e">
        <f t="shared" si="13"/>
        <v>#N/A</v>
      </c>
      <c r="V33" s="667" t="s">
        <v>14</v>
      </c>
      <c r="W33" s="668" t="e">
        <f t="shared" si="14"/>
        <v>#N/A</v>
      </c>
      <c r="X33" s="1262"/>
      <c r="Y33" s="3569"/>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69"/>
      <c r="Q34" s="530" t="str">
        <f t="shared" si="11"/>
        <v>物业管理</v>
      </c>
      <c r="R34" s="664" t="s">
        <v>14</v>
      </c>
      <c r="S34" s="665">
        <f t="shared" si="12"/>
        <v>100</v>
      </c>
      <c r="T34" s="664" t="s">
        <v>14</v>
      </c>
      <c r="U34" s="665">
        <f t="shared" si="13"/>
        <v>100</v>
      </c>
      <c r="V34" s="664" t="s">
        <v>14</v>
      </c>
      <c r="W34" s="665">
        <f t="shared" si="14"/>
        <v>100</v>
      </c>
      <c r="X34" s="666"/>
      <c r="Y34" s="35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69" t="s">
        <v>1696</v>
      </c>
      <c r="Q35" s="1260" t="str">
        <f t="shared" si="11"/>
        <v>市政基础设施</v>
      </c>
      <c r="R35" s="667" t="s">
        <v>14</v>
      </c>
      <c r="S35" s="668">
        <f t="shared" si="12"/>
        <v>100</v>
      </c>
      <c r="T35" s="667" t="s">
        <v>14</v>
      </c>
      <c r="U35" s="668">
        <f t="shared" si="13"/>
        <v>100</v>
      </c>
      <c r="V35" s="667" t="s">
        <v>14</v>
      </c>
      <c r="W35" s="668">
        <f t="shared" si="14"/>
        <v>100</v>
      </c>
      <c r="X35" s="1262"/>
      <c r="Y35" s="3569"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69"/>
      <c r="Q36" s="1260" t="str">
        <f t="shared" si="11"/>
        <v>内部装修</v>
      </c>
      <c r="R36" s="667" t="s">
        <v>14</v>
      </c>
      <c r="S36" s="668">
        <f t="shared" si="12"/>
        <v>100</v>
      </c>
      <c r="T36" s="667" t="s">
        <v>14</v>
      </c>
      <c r="U36" s="668">
        <f t="shared" si="13"/>
        <v>100</v>
      </c>
      <c r="V36" s="667" t="s">
        <v>14</v>
      </c>
      <c r="W36" s="668">
        <f t="shared" si="14"/>
        <v>100</v>
      </c>
      <c r="X36" s="1262"/>
      <c r="Y36" s="3569"/>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69"/>
      <c r="Q37" s="1260" t="str">
        <f t="shared" si="11"/>
        <v>内部装修状况</v>
      </c>
      <c r="R37" s="667" t="s">
        <v>14</v>
      </c>
      <c r="S37" s="668">
        <f t="shared" si="12"/>
        <v>100</v>
      </c>
      <c r="T37" s="667" t="s">
        <v>14</v>
      </c>
      <c r="U37" s="668">
        <f t="shared" si="13"/>
        <v>100</v>
      </c>
      <c r="V37" s="667" t="s">
        <v>14</v>
      </c>
      <c r="W37" s="668">
        <f t="shared" si="14"/>
        <v>100</v>
      </c>
      <c r="X37" s="1262"/>
      <c r="Y37" s="3569"/>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69"/>
      <c r="Q38" s="531">
        <f t="shared" si="11"/>
        <v>111</v>
      </c>
      <c r="R38" s="669" t="s">
        <v>14</v>
      </c>
      <c r="S38" s="670">
        <f t="shared" si="12"/>
        <v>100</v>
      </c>
      <c r="T38" s="669" t="s">
        <v>14</v>
      </c>
      <c r="U38" s="670">
        <f t="shared" si="13"/>
        <v>100</v>
      </c>
      <c r="V38" s="669" t="s">
        <v>14</v>
      </c>
      <c r="W38" s="670">
        <f t="shared" si="14"/>
        <v>100</v>
      </c>
      <c r="X38" s="671"/>
      <c r="Y38" s="3569"/>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69"/>
      <c r="Q39" s="1260">
        <f t="shared" si="11"/>
        <v>111</v>
      </c>
      <c r="R39" s="667" t="s">
        <v>14</v>
      </c>
      <c r="S39" s="668">
        <f t="shared" si="12"/>
        <v>100</v>
      </c>
      <c r="T39" s="667" t="s">
        <v>14</v>
      </c>
      <c r="U39" s="668">
        <f t="shared" si="13"/>
        <v>100</v>
      </c>
      <c r="V39" s="667" t="s">
        <v>14</v>
      </c>
      <c r="W39" s="668">
        <f t="shared" si="14"/>
        <v>100</v>
      </c>
      <c r="X39" s="1262"/>
      <c r="Y39" s="3569"/>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70"/>
      <c r="Q40" s="1260">
        <f t="shared" si="11"/>
        <v>111</v>
      </c>
      <c r="R40" s="667" t="s">
        <v>14</v>
      </c>
      <c r="S40" s="668">
        <f t="shared" si="12"/>
        <v>100</v>
      </c>
      <c r="T40" s="667" t="s">
        <v>14</v>
      </c>
      <c r="U40" s="668">
        <f t="shared" si="13"/>
        <v>100</v>
      </c>
      <c r="V40" s="667" t="s">
        <v>14</v>
      </c>
      <c r="W40" s="668">
        <f t="shared" si="14"/>
        <v>100</v>
      </c>
      <c r="X40" s="1262"/>
      <c r="Y40" s="3570"/>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4"/>
      <c r="L41" s="870"/>
      <c r="M41" s="858"/>
      <c r="N41" s="858"/>
      <c r="O41" s="858"/>
      <c r="P41" s="3571" t="str">
        <f>A41</f>
        <v>成交单价（元/平方米）</v>
      </c>
      <c r="Q41" s="3571"/>
      <c r="R41" s="3533">
        <f>E41</f>
        <v>0</v>
      </c>
      <c r="S41" s="3533"/>
      <c r="T41" s="3533">
        <f>G41</f>
        <v>0</v>
      </c>
      <c r="U41" s="3533"/>
      <c r="V41" s="3533">
        <f>I41</f>
        <v>0</v>
      </c>
      <c r="W41" s="3533"/>
      <c r="X41" s="385"/>
      <c r="Y41" s="673"/>
      <c r="Z41" s="385"/>
      <c r="AA41" s="385"/>
      <c r="AB41" s="385"/>
      <c r="AC41" s="385"/>
    </row>
    <row r="42" spans="1:29" ht="15.7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571" t="str">
        <f>A42</f>
        <v>比较价值（元/平方米）</v>
      </c>
      <c r="Q42" s="3571"/>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572" t="str">
        <f>A43</f>
        <v>估价对象XX用房的比较价值（楼面单价，元/平方米）</v>
      </c>
      <c r="Q43" s="3573"/>
      <c r="R43" s="3574" t="e">
        <f>IF(F1="售价",ROUND(IF(D42="简单平均",AVERAGE(R42:V42),R42*F42+T42*H42+V42*J42),0),ROUND(IF(D42="简单平均",AVERAGE(R42:V42),R42*F42+T42*H42+V42*J42),1))</f>
        <v>#DIV/0!</v>
      </c>
      <c r="S43" s="3574"/>
      <c r="T43" s="3574"/>
      <c r="U43" s="3574"/>
      <c r="V43" s="3574"/>
      <c r="W43" s="3574"/>
      <c r="X43" s="385"/>
      <c r="Y43" s="385"/>
      <c r="Z43" s="385"/>
      <c r="AA43" s="385"/>
      <c r="AB43" s="385"/>
      <c r="AC43" s="385"/>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3"/>
      <c r="M46" s="858"/>
      <c r="N46" s="858"/>
      <c r="O46" s="858"/>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3"/>
      <c r="M47" s="858"/>
      <c r="N47" s="858"/>
      <c r="O47" s="858"/>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3"/>
      <c r="M48" s="871"/>
      <c r="N48" s="871"/>
      <c r="O48" s="871"/>
    </row>
    <row r="49" spans="1:17" s="437"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100" t="str">
        <f>YEAR(C7)&amp;"-"&amp;MONTH(C7)</f>
        <v>2023-12</v>
      </c>
      <c r="D52" s="1101">
        <f>EDATE(C52,-1)</f>
        <v>45231</v>
      </c>
      <c r="E52" s="1101">
        <f t="shared" ref="E52:O52" si="16">EDATE(D52,-1)</f>
        <v>45200</v>
      </c>
      <c r="F52" s="1101">
        <f t="shared" si="16"/>
        <v>45170</v>
      </c>
      <c r="G52" s="1101">
        <f t="shared" si="16"/>
        <v>45139</v>
      </c>
      <c r="H52" s="1101">
        <f t="shared" si="16"/>
        <v>45108</v>
      </c>
      <c r="I52" s="1101">
        <f t="shared" si="16"/>
        <v>45078</v>
      </c>
      <c r="J52" s="1101">
        <f t="shared" si="16"/>
        <v>45047</v>
      </c>
      <c r="K52" s="1101">
        <f t="shared" si="16"/>
        <v>45017</v>
      </c>
      <c r="L52" s="1101">
        <f t="shared" si="16"/>
        <v>44986</v>
      </c>
      <c r="M52" s="1101">
        <f t="shared" si="16"/>
        <v>44958</v>
      </c>
      <c r="N52" s="1101">
        <f t="shared" si="16"/>
        <v>44927</v>
      </c>
      <c r="O52" s="1101">
        <f t="shared" si="16"/>
        <v>44896</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800-000000000000}">
      <formula1>项目类型</formula1>
    </dataValidation>
    <dataValidation type="list" allowBlank="1" showInputMessage="1" showErrorMessage="1" sqref="C20 G20 E20 I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C2" xr:uid="{00000000-0002-0000-2800-000010000000}">
      <formula1>"需扣减承租人权益,——"</formula1>
    </dataValidation>
    <dataValidation type="list" allowBlank="1" showInputMessage="1" showErrorMessage="1" sqref="F2" xr:uid="{00000000-0002-0000-2800-000011000000}">
      <formula1>估价方法</formula1>
    </dataValidation>
    <dataValidation type="list" allowBlank="1" showInputMessage="1" showErrorMessage="1" sqref="D42" xr:uid="{00000000-0002-0000-2800-000012000000}">
      <formula1>"简单平均,加权平均"</formula1>
    </dataValidation>
    <dataValidation type="list" allowBlank="1" showInputMessage="1" showErrorMessage="1" sqref="E1" xr:uid="{00000000-0002-0000-2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3340</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1"/>
      <c r="R3" s="341"/>
      <c r="S3" s="341"/>
      <c r="T3" s="341"/>
      <c r="U3" s="341"/>
      <c r="V3" s="341"/>
      <c r="W3" s="341"/>
      <c r="X3" s="341"/>
      <c r="Y3" s="341"/>
      <c r="Z3" s="341"/>
      <c r="AA3" s="341"/>
      <c r="AB3" s="676"/>
      <c r="AC3" s="663"/>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1"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1"/>
      <c r="AC5" s="353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SUMIF(48:48,YEAR(E7)&amp;"-"&amp;MONTH(E7),49:49)</f>
        <v>0</v>
      </c>
      <c r="G7" s="356"/>
      <c r="H7" s="355">
        <f>SUMIF(48:48,YEAR(G7)&amp;"-"&amp;MONTH(G7),49:49)</f>
        <v>0</v>
      </c>
      <c r="I7" s="356"/>
      <c r="J7" s="355">
        <f>SUMIF(48:48,YEAR(I7)&amp;"-"&amp;MONTH(I7),49:49)</f>
        <v>0</v>
      </c>
      <c r="K7" s="38"/>
      <c r="L7" s="2486"/>
      <c r="M7" s="2437"/>
      <c r="N7" s="2437"/>
      <c r="O7" s="2437"/>
      <c r="P7" s="3534" t="s">
        <v>1680</v>
      </c>
      <c r="Q7" s="3561"/>
      <c r="R7" s="664" t="s">
        <v>14</v>
      </c>
      <c r="S7" s="665">
        <f t="shared" ref="S7:S14" si="0">F7</f>
        <v>0</v>
      </c>
      <c r="T7" s="664" t="s">
        <v>14</v>
      </c>
      <c r="U7" s="665">
        <f t="shared" ref="U7:U14" si="1">H7</f>
        <v>0</v>
      </c>
      <c r="V7" s="664" t="s">
        <v>14</v>
      </c>
      <c r="W7" s="665">
        <f t="shared" ref="W7:W14" si="2">J7</f>
        <v>0</v>
      </c>
      <c r="X7" s="666"/>
      <c r="Y7" s="3534" t="s">
        <v>1680</v>
      </c>
      <c r="Z7" s="35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534" t="s">
        <v>1683</v>
      </c>
      <c r="Q8" s="3535"/>
      <c r="R8" s="664" t="s">
        <v>14</v>
      </c>
      <c r="S8" s="665">
        <f t="shared" si="0"/>
        <v>100</v>
      </c>
      <c r="T8" s="664" t="s">
        <v>14</v>
      </c>
      <c r="U8" s="665">
        <f t="shared" si="1"/>
        <v>100</v>
      </c>
      <c r="V8" s="664" t="s">
        <v>14</v>
      </c>
      <c r="W8" s="665">
        <f t="shared" si="2"/>
        <v>100</v>
      </c>
      <c r="X8" s="666"/>
      <c r="Y8" s="3534" t="s">
        <v>1683</v>
      </c>
      <c r="Z8" s="35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571" t="s">
        <v>1686</v>
      </c>
      <c r="Q9" s="530" t="str">
        <f t="shared" ref="Q9:Q14" si="6">B9</f>
        <v>用途</v>
      </c>
      <c r="R9" s="664" t="s">
        <v>14</v>
      </c>
      <c r="S9" s="665">
        <f t="shared" si="0"/>
        <v>100</v>
      </c>
      <c r="T9" s="664" t="s">
        <v>14</v>
      </c>
      <c r="U9" s="665">
        <f t="shared" si="1"/>
        <v>100</v>
      </c>
      <c r="V9" s="664" t="s">
        <v>14</v>
      </c>
      <c r="W9" s="665">
        <f t="shared" si="2"/>
        <v>100</v>
      </c>
      <c r="X9" s="666"/>
      <c r="Y9" s="3503"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7"/>
      <c r="M10" s="2488"/>
      <c r="N10" s="2488"/>
      <c r="O10" s="2488"/>
      <c r="P10" s="3571"/>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571"/>
      <c r="Q11" s="530">
        <f t="shared" si="6"/>
        <v>111</v>
      </c>
      <c r="R11" s="664" t="s">
        <v>14</v>
      </c>
      <c r="S11" s="665">
        <f t="shared" si="0"/>
        <v>100</v>
      </c>
      <c r="T11" s="664" t="s">
        <v>14</v>
      </c>
      <c r="U11" s="665">
        <f t="shared" si="1"/>
        <v>100</v>
      </c>
      <c r="V11" s="664" t="s">
        <v>14</v>
      </c>
      <c r="W11" s="665">
        <f t="shared" si="2"/>
        <v>100</v>
      </c>
      <c r="X11" s="666"/>
      <c r="Y11" s="35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571"/>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571"/>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64" t="s">
        <v>1691</v>
      </c>
      <c r="Q14" s="1260" t="str">
        <f t="shared" si="6"/>
        <v>交通便捷度</v>
      </c>
      <c r="R14" s="667" t="s">
        <v>14</v>
      </c>
      <c r="S14" s="668">
        <f t="shared" si="0"/>
        <v>100</v>
      </c>
      <c r="T14" s="667" t="s">
        <v>14</v>
      </c>
      <c r="U14" s="668">
        <f t="shared" si="1"/>
        <v>100</v>
      </c>
      <c r="V14" s="667" t="s">
        <v>14</v>
      </c>
      <c r="W14" s="668">
        <f t="shared" si="2"/>
        <v>100</v>
      </c>
      <c r="X14" s="1262"/>
      <c r="Y14" s="3564"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90"/>
      <c r="M15" s="2485"/>
      <c r="N15" s="2485"/>
      <c r="O15" s="2485"/>
      <c r="P15" s="3565"/>
      <c r="Q15" s="1260"/>
      <c r="R15" s="667"/>
      <c r="S15" s="668"/>
      <c r="T15" s="667"/>
      <c r="U15" s="668"/>
      <c r="V15" s="667"/>
      <c r="W15" s="668"/>
      <c r="X15" s="1262"/>
      <c r="Y15" s="3565"/>
      <c r="Z15" s="1261"/>
      <c r="AA15" s="1261">
        <v>1</v>
      </c>
      <c r="AB15" s="1261">
        <v>1</v>
      </c>
      <c r="AC15" s="1261">
        <v>1</v>
      </c>
    </row>
    <row r="16" spans="1:29" ht="42.75">
      <c r="A16" s="348"/>
      <c r="B16" s="556" t="s">
        <v>1812</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65"/>
      <c r="Q16" s="1260" t="str">
        <f>B16</f>
        <v>公共配套设施</v>
      </c>
      <c r="R16" s="667" t="s">
        <v>14</v>
      </c>
      <c r="S16" s="668">
        <f>F16</f>
        <v>100</v>
      </c>
      <c r="T16" s="667" t="s">
        <v>14</v>
      </c>
      <c r="U16" s="668">
        <f>H16</f>
        <v>100</v>
      </c>
      <c r="V16" s="667" t="s">
        <v>14</v>
      </c>
      <c r="W16" s="668">
        <f>J16</f>
        <v>100</v>
      </c>
      <c r="X16" s="1262"/>
      <c r="Y16" s="3565"/>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90"/>
      <c r="M17" s="2485"/>
      <c r="N17" s="2485"/>
      <c r="O17" s="2485"/>
      <c r="P17" s="3565"/>
      <c r="Q17" s="1260"/>
      <c r="R17" s="667"/>
      <c r="S17" s="668"/>
      <c r="T17" s="667"/>
      <c r="U17" s="668"/>
      <c r="V17" s="667"/>
      <c r="W17" s="668"/>
      <c r="X17" s="1262"/>
      <c r="Y17" s="3565"/>
      <c r="Z17" s="1261"/>
      <c r="AA17" s="1261">
        <v>1</v>
      </c>
      <c r="AB17" s="1261">
        <v>1</v>
      </c>
      <c r="AC17" s="1261">
        <v>1</v>
      </c>
    </row>
    <row r="18" spans="1:29" ht="28.5">
      <c r="A18" s="348"/>
      <c r="B18" s="557"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65"/>
      <c r="Q18" s="1260" t="str">
        <f>B18</f>
        <v>基础设施水平</v>
      </c>
      <c r="R18" s="667" t="s">
        <v>14</v>
      </c>
      <c r="S18" s="668">
        <f>F18</f>
        <v>100</v>
      </c>
      <c r="T18" s="667" t="s">
        <v>14</v>
      </c>
      <c r="U18" s="668">
        <f>H18</f>
        <v>100</v>
      </c>
      <c r="V18" s="667" t="s">
        <v>14</v>
      </c>
      <c r="W18" s="668">
        <f>J18</f>
        <v>100</v>
      </c>
      <c r="X18" s="1262"/>
      <c r="Y18" s="3565"/>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90"/>
      <c r="M19" s="2485"/>
      <c r="N19" s="2485"/>
      <c r="O19" s="2485"/>
      <c r="P19" s="3565"/>
      <c r="Q19" s="1260"/>
      <c r="R19" s="667"/>
      <c r="S19" s="668"/>
      <c r="T19" s="667"/>
      <c r="U19" s="668"/>
      <c r="V19" s="667"/>
      <c r="W19" s="668"/>
      <c r="X19" s="1262"/>
      <c r="Y19" s="3565"/>
      <c r="Z19" s="1261"/>
      <c r="AA19" s="1261">
        <v>1</v>
      </c>
      <c r="AB19" s="1261">
        <v>1</v>
      </c>
      <c r="AC19" s="1261">
        <v>1</v>
      </c>
    </row>
    <row r="20" spans="1:29" ht="57">
      <c r="A20" s="348"/>
      <c r="B20" s="556" t="s">
        <v>1834</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65"/>
      <c r="Q20" s="1260" t="str">
        <f>B20</f>
        <v>自然及人文环境</v>
      </c>
      <c r="R20" s="667" t="s">
        <v>14</v>
      </c>
      <c r="S20" s="668">
        <f>F20</f>
        <v>100</v>
      </c>
      <c r="T20" s="667" t="s">
        <v>14</v>
      </c>
      <c r="U20" s="668">
        <f>H20</f>
        <v>100</v>
      </c>
      <c r="V20" s="667" t="s">
        <v>14</v>
      </c>
      <c r="W20" s="668">
        <f>J20</f>
        <v>100</v>
      </c>
      <c r="X20" s="1262"/>
      <c r="Y20" s="3565"/>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90"/>
      <c r="M21" s="2485"/>
      <c r="N21" s="2485"/>
      <c r="O21" s="2485"/>
      <c r="P21" s="3565"/>
      <c r="Q21" s="1260"/>
      <c r="R21" s="667"/>
      <c r="S21" s="668"/>
      <c r="T21" s="667"/>
      <c r="U21" s="668"/>
      <c r="V21" s="667"/>
      <c r="W21" s="668"/>
      <c r="X21" s="1262"/>
      <c r="Y21" s="3565"/>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65"/>
      <c r="Q22" s="1260" t="str">
        <f>B22</f>
        <v>楼层</v>
      </c>
      <c r="R22" s="667" t="s">
        <v>14</v>
      </c>
      <c r="S22" s="668">
        <f>F22</f>
        <v>100</v>
      </c>
      <c r="T22" s="667" t="s">
        <v>14</v>
      </c>
      <c r="U22" s="668">
        <f>H22</f>
        <v>100</v>
      </c>
      <c r="V22" s="667" t="s">
        <v>14</v>
      </c>
      <c r="W22" s="668">
        <f>J22</f>
        <v>100</v>
      </c>
      <c r="X22" s="1262"/>
      <c r="Y22" s="3565"/>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65"/>
      <c r="Q23" s="1260">
        <f>B23</f>
        <v>111</v>
      </c>
      <c r="R23" s="667" t="s">
        <v>14</v>
      </c>
      <c r="S23" s="668">
        <f>F23</f>
        <v>100</v>
      </c>
      <c r="T23" s="667" t="s">
        <v>14</v>
      </c>
      <c r="U23" s="668">
        <f>H23</f>
        <v>100</v>
      </c>
      <c r="V23" s="667" t="s">
        <v>14</v>
      </c>
      <c r="W23" s="668">
        <f>J23</f>
        <v>100</v>
      </c>
      <c r="X23" s="1262"/>
      <c r="Y23" s="3565"/>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65"/>
      <c r="Q24" s="1260">
        <f t="shared" ref="Q24:Q36" si="11">B24</f>
        <v>111</v>
      </c>
      <c r="R24" s="667" t="s">
        <v>14</v>
      </c>
      <c r="S24" s="668">
        <f>F24</f>
        <v>100</v>
      </c>
      <c r="T24" s="667" t="s">
        <v>14</v>
      </c>
      <c r="U24" s="668">
        <f>H24</f>
        <v>100</v>
      </c>
      <c r="V24" s="667" t="s">
        <v>14</v>
      </c>
      <c r="W24" s="668">
        <f>J24</f>
        <v>100</v>
      </c>
      <c r="X24" s="1262"/>
      <c r="Y24" s="3565"/>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565"/>
      <c r="Q25" s="530">
        <f t="shared" si="11"/>
        <v>111</v>
      </c>
      <c r="R25" s="664" t="s">
        <v>14</v>
      </c>
      <c r="S25" s="665">
        <f>F25</f>
        <v>100</v>
      </c>
      <c r="T25" s="664" t="s">
        <v>14</v>
      </c>
      <c r="U25" s="665">
        <f>H25</f>
        <v>100</v>
      </c>
      <c r="V25" s="664" t="s">
        <v>14</v>
      </c>
      <c r="W25" s="665">
        <f>J25</f>
        <v>100</v>
      </c>
      <c r="X25" s="666"/>
      <c r="Y25" s="3565"/>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624"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569"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69"/>
      <c r="Q27" s="531" t="str">
        <f t="shared" si="11"/>
        <v>项目停车位配比</v>
      </c>
      <c r="R27" s="669" t="s">
        <v>14</v>
      </c>
      <c r="S27" s="670">
        <f t="shared" si="12"/>
        <v>100</v>
      </c>
      <c r="T27" s="669" t="s">
        <v>14</v>
      </c>
      <c r="U27" s="670">
        <f t="shared" si="13"/>
        <v>100</v>
      </c>
      <c r="V27" s="669" t="s">
        <v>14</v>
      </c>
      <c r="W27" s="670">
        <f t="shared" si="14"/>
        <v>100</v>
      </c>
      <c r="X27" s="671"/>
      <c r="Y27" s="3569"/>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69"/>
      <c r="Q28" s="1260" t="str">
        <f t="shared" si="11"/>
        <v>公共部分装修</v>
      </c>
      <c r="R28" s="667" t="s">
        <v>14</v>
      </c>
      <c r="S28" s="668">
        <f t="shared" si="12"/>
        <v>100</v>
      </c>
      <c r="T28" s="667" t="s">
        <v>14</v>
      </c>
      <c r="U28" s="668">
        <f t="shared" si="13"/>
        <v>100</v>
      </c>
      <c r="V28" s="667" t="s">
        <v>14</v>
      </c>
      <c r="W28" s="668">
        <f t="shared" si="14"/>
        <v>100</v>
      </c>
      <c r="X28" s="1262"/>
      <c r="Y28" s="3569"/>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69"/>
      <c r="Q29" s="1260" t="str">
        <f t="shared" si="11"/>
        <v>成新率</v>
      </c>
      <c r="R29" s="667" t="s">
        <v>14</v>
      </c>
      <c r="S29" s="668" t="e">
        <f t="shared" si="12"/>
        <v>#N/A</v>
      </c>
      <c r="T29" s="667" t="s">
        <v>14</v>
      </c>
      <c r="U29" s="668" t="e">
        <f t="shared" si="13"/>
        <v>#N/A</v>
      </c>
      <c r="V29" s="667" t="s">
        <v>14</v>
      </c>
      <c r="W29" s="668" t="e">
        <f t="shared" si="14"/>
        <v>#N/A</v>
      </c>
      <c r="X29" s="1262"/>
      <c r="Y29" s="3569"/>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69"/>
      <c r="Q30" s="1260" t="str">
        <f t="shared" si="11"/>
        <v>物业等级</v>
      </c>
      <c r="R30" s="667" t="s">
        <v>14</v>
      </c>
      <c r="S30" s="668">
        <f t="shared" si="12"/>
        <v>100</v>
      </c>
      <c r="T30" s="667" t="s">
        <v>14</v>
      </c>
      <c r="U30" s="668">
        <f t="shared" si="13"/>
        <v>100</v>
      </c>
      <c r="V30" s="667" t="s">
        <v>14</v>
      </c>
      <c r="W30" s="668">
        <f t="shared" si="14"/>
        <v>100</v>
      </c>
      <c r="X30" s="1262"/>
      <c r="Y30" s="3569"/>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569"/>
      <c r="Q31" s="530" t="str">
        <f t="shared" si="11"/>
        <v>停车位面积</v>
      </c>
      <c r="R31" s="664" t="s">
        <v>14</v>
      </c>
      <c r="S31" s="665" t="e">
        <f t="shared" si="12"/>
        <v>#N/A</v>
      </c>
      <c r="T31" s="664" t="s">
        <v>14</v>
      </c>
      <c r="U31" s="665" t="e">
        <f t="shared" si="13"/>
        <v>#N/A</v>
      </c>
      <c r="V31" s="664" t="s">
        <v>14</v>
      </c>
      <c r="W31" s="665" t="e">
        <f t="shared" si="14"/>
        <v>#N/A</v>
      </c>
      <c r="X31" s="666"/>
      <c r="Y31" s="356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69" t="s">
        <v>1696</v>
      </c>
      <c r="Q32" s="1260" t="str">
        <f t="shared" si="11"/>
        <v>车位类型</v>
      </c>
      <c r="R32" s="667" t="s">
        <v>14</v>
      </c>
      <c r="S32" s="668">
        <f t="shared" si="12"/>
        <v>100</v>
      </c>
      <c r="T32" s="667" t="s">
        <v>14</v>
      </c>
      <c r="U32" s="668">
        <f t="shared" si="13"/>
        <v>100</v>
      </c>
      <c r="V32" s="667" t="s">
        <v>14</v>
      </c>
      <c r="W32" s="668">
        <f t="shared" si="14"/>
        <v>100</v>
      </c>
      <c r="X32" s="1262"/>
      <c r="Y32" s="3569"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69"/>
      <c r="Q33" s="1260" t="str">
        <f t="shared" si="11"/>
        <v>是否直接入户</v>
      </c>
      <c r="R33" s="667" t="s">
        <v>14</v>
      </c>
      <c r="S33" s="668">
        <f t="shared" si="12"/>
        <v>100</v>
      </c>
      <c r="T33" s="667" t="s">
        <v>14</v>
      </c>
      <c r="U33" s="668">
        <f t="shared" si="13"/>
        <v>100</v>
      </c>
      <c r="V33" s="667" t="s">
        <v>14</v>
      </c>
      <c r="W33" s="668">
        <f t="shared" si="14"/>
        <v>100</v>
      </c>
      <c r="X33" s="1262"/>
      <c r="Y33" s="3569"/>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69"/>
      <c r="Q34" s="1260">
        <f t="shared" si="11"/>
        <v>111</v>
      </c>
      <c r="R34" s="667" t="s">
        <v>14</v>
      </c>
      <c r="S34" s="668">
        <f t="shared" si="12"/>
        <v>100</v>
      </c>
      <c r="T34" s="667" t="s">
        <v>14</v>
      </c>
      <c r="U34" s="668">
        <f t="shared" si="13"/>
        <v>100</v>
      </c>
      <c r="V34" s="667" t="s">
        <v>14</v>
      </c>
      <c r="W34" s="668">
        <f t="shared" si="14"/>
        <v>100</v>
      </c>
      <c r="X34" s="1262"/>
      <c r="Y34" s="3569"/>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69"/>
      <c r="Q35" s="531">
        <f t="shared" si="11"/>
        <v>111</v>
      </c>
      <c r="R35" s="669" t="s">
        <v>14</v>
      </c>
      <c r="S35" s="670">
        <f t="shared" si="12"/>
        <v>100</v>
      </c>
      <c r="T35" s="669" t="s">
        <v>14</v>
      </c>
      <c r="U35" s="670">
        <f t="shared" si="13"/>
        <v>100</v>
      </c>
      <c r="V35" s="669" t="s">
        <v>14</v>
      </c>
      <c r="W35" s="670">
        <f t="shared" si="14"/>
        <v>100</v>
      </c>
      <c r="X35" s="671"/>
      <c r="Y35" s="3569"/>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69"/>
      <c r="Q36" s="1260">
        <f t="shared" si="11"/>
        <v>111</v>
      </c>
      <c r="R36" s="667" t="s">
        <v>14</v>
      </c>
      <c r="S36" s="668">
        <f t="shared" si="12"/>
        <v>100</v>
      </c>
      <c r="T36" s="667" t="s">
        <v>14</v>
      </c>
      <c r="U36" s="668">
        <f t="shared" si="13"/>
        <v>100</v>
      </c>
      <c r="V36" s="667" t="s">
        <v>14</v>
      </c>
      <c r="W36" s="668">
        <f t="shared" si="14"/>
        <v>100</v>
      </c>
      <c r="X36" s="1262"/>
      <c r="Y36" s="3569"/>
      <c r="Z36" s="1261">
        <f t="shared" si="15"/>
        <v>111</v>
      </c>
      <c r="AA36" s="1261">
        <f t="shared" si="3"/>
        <v>1</v>
      </c>
      <c r="AB36" s="1261">
        <f t="shared" si="4"/>
        <v>1</v>
      </c>
      <c r="AC36" s="1261">
        <f t="shared" si="5"/>
        <v>1</v>
      </c>
    </row>
    <row r="37" spans="1:29" ht="15">
      <c r="A37" s="416" t="s">
        <v>1844</v>
      </c>
      <c r="B37" s="1818" t="s">
        <v>3361</v>
      </c>
      <c r="C37" s="1078" t="s">
        <v>0</v>
      </c>
      <c r="D37" s="418"/>
      <c r="E37" s="419"/>
      <c r="F37" s="420"/>
      <c r="G37" s="421"/>
      <c r="H37" s="422"/>
      <c r="I37" s="419"/>
      <c r="J37" s="422"/>
      <c r="K37" s="545"/>
      <c r="L37" s="2492"/>
      <c r="M37" s="2485"/>
      <c r="N37" s="2485"/>
      <c r="O37" s="2485"/>
      <c r="P37" s="3571" t="str">
        <f>A37</f>
        <v>成交单价</v>
      </c>
      <c r="Q37" s="3571"/>
      <c r="R37" s="3533">
        <f>E37</f>
        <v>0</v>
      </c>
      <c r="S37" s="3533"/>
      <c r="T37" s="3533">
        <f>G37</f>
        <v>0</v>
      </c>
      <c r="U37" s="3533"/>
      <c r="V37" s="3533">
        <f>I37</f>
        <v>0</v>
      </c>
      <c r="W37" s="3533"/>
      <c r="X37" s="385"/>
      <c r="Y37" s="673"/>
      <c r="Z37" s="385"/>
      <c r="AA37" s="385"/>
      <c r="AB37" s="385"/>
      <c r="AC37" s="385"/>
    </row>
    <row r="38" spans="1:29" ht="15.7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571" t="str">
        <f>A38</f>
        <v>比较价值（元/平方米）</v>
      </c>
      <c r="Q38" s="3571"/>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572" t="str">
        <f>A39</f>
        <v>估价对象XX用房的比较价值（楼面单价，元/平方米）</v>
      </c>
      <c r="Q39" s="3573"/>
      <c r="R39" s="3625" t="e">
        <f>IF(F1="售价",ROUND(IF(D38="简单平均",AVERAGE(R38:W38),R38*F38+T38*H38+V38*J38),0),ROUND(IF(D38="简单平均",AVERAGE(R38:V38),R38*F38+T38*H38+V38*J38),1))</f>
        <v>#DIV/0!</v>
      </c>
      <c r="S39" s="3625"/>
      <c r="T39" s="3625"/>
      <c r="U39" s="3625"/>
      <c r="V39" s="3625"/>
      <c r="W39" s="362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0" t="str">
        <f>YEAR(C7)&amp;"-"&amp;MONTH(C7)</f>
        <v>2023-12</v>
      </c>
      <c r="D48" s="1101">
        <f>EDATE(C48,-1)</f>
        <v>45231</v>
      </c>
      <c r="E48" s="1101">
        <f t="shared" ref="E48:O48" si="16">EDATE(D48,-1)</f>
        <v>45200</v>
      </c>
      <c r="F48" s="1101">
        <f t="shared" si="16"/>
        <v>45170</v>
      </c>
      <c r="G48" s="1101">
        <f t="shared" si="16"/>
        <v>45139</v>
      </c>
      <c r="H48" s="1101">
        <f t="shared" si="16"/>
        <v>45108</v>
      </c>
      <c r="I48" s="1101">
        <f t="shared" si="16"/>
        <v>45078</v>
      </c>
      <c r="J48" s="1101">
        <f t="shared" si="16"/>
        <v>45047</v>
      </c>
      <c r="K48" s="1101">
        <f t="shared" si="16"/>
        <v>45017</v>
      </c>
      <c r="L48" s="1101">
        <f t="shared" si="16"/>
        <v>44986</v>
      </c>
      <c r="M48" s="1101">
        <f t="shared" si="16"/>
        <v>44958</v>
      </c>
      <c r="N48" s="1101">
        <f t="shared" si="16"/>
        <v>44927</v>
      </c>
      <c r="O48" s="1101">
        <f t="shared" si="16"/>
        <v>44896</v>
      </c>
      <c r="P48" s="2525"/>
      <c r="Q48" s="2508"/>
      <c r="R48" s="2508"/>
      <c r="S48" s="2508"/>
      <c r="T48" s="2508"/>
      <c r="U48" s="2508"/>
      <c r="V48" s="2508"/>
      <c r="W48" s="2508"/>
      <c r="X48" s="2508"/>
      <c r="Y48" s="2508"/>
      <c r="Z48" s="2508"/>
      <c r="AA48" s="2508"/>
      <c r="AB48" s="2508"/>
      <c r="AC48" s="2508"/>
    </row>
    <row r="49" spans="1:29" s="102" customFormat="1" ht="15">
      <c r="A49" s="443"/>
      <c r="B49" s="444"/>
      <c r="C49" s="1094">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0"/>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38"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3341</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501"/>
      <c r="M3" s="2502"/>
      <c r="N3" s="2502"/>
      <c r="O3" s="2502"/>
      <c r="P3" s="341"/>
      <c r="Q3" s="341"/>
      <c r="R3" s="341"/>
      <c r="S3" s="341"/>
      <c r="T3" s="341"/>
      <c r="U3" s="341"/>
      <c r="V3" s="341"/>
      <c r="W3" s="341"/>
      <c r="X3" s="341"/>
      <c r="Y3" s="341"/>
      <c r="Z3" s="341"/>
      <c r="AA3" s="341"/>
      <c r="AB3" s="676"/>
      <c r="AC3" s="663"/>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1"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1"/>
      <c r="AC5" s="353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SUMIF(46:46,YEAR(E7)&amp;"-"&amp;MONTH(E7),47:47)</f>
        <v>0</v>
      </c>
      <c r="G7" s="1819"/>
      <c r="H7" s="355">
        <f>SUMIF(46:46,YEAR(G7)&amp;"-"&amp;MONTH(G7),47:47)</f>
        <v>0</v>
      </c>
      <c r="I7" s="356"/>
      <c r="J7" s="355">
        <f>SUMIF(46:46,YEAR(I7)&amp;"-"&amp;MONTH(I7),47:47)</f>
        <v>0</v>
      </c>
      <c r="K7" s="38"/>
      <c r="L7" s="2486"/>
      <c r="M7" s="2437"/>
      <c r="N7" s="2437"/>
      <c r="O7" s="2437"/>
      <c r="P7" s="3534" t="s">
        <v>1680</v>
      </c>
      <c r="Q7" s="3561"/>
      <c r="R7" s="664" t="s">
        <v>14</v>
      </c>
      <c r="S7" s="665">
        <f t="shared" ref="S7:S14" si="0">F7</f>
        <v>0</v>
      </c>
      <c r="T7" s="664" t="s">
        <v>14</v>
      </c>
      <c r="U7" s="665">
        <f t="shared" ref="U7:U14" si="1">H7</f>
        <v>0</v>
      </c>
      <c r="V7" s="664" t="s">
        <v>14</v>
      </c>
      <c r="W7" s="665">
        <f t="shared" ref="W7:W14" si="2">J7</f>
        <v>0</v>
      </c>
      <c r="X7" s="666"/>
      <c r="Y7" s="3534" t="s">
        <v>1680</v>
      </c>
      <c r="Z7" s="35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534" t="s">
        <v>1683</v>
      </c>
      <c r="Q8" s="3535"/>
      <c r="R8" s="664" t="s">
        <v>14</v>
      </c>
      <c r="S8" s="665">
        <f t="shared" si="0"/>
        <v>100</v>
      </c>
      <c r="T8" s="664" t="s">
        <v>14</v>
      </c>
      <c r="U8" s="665">
        <f t="shared" si="1"/>
        <v>100</v>
      </c>
      <c r="V8" s="664" t="s">
        <v>14</v>
      </c>
      <c r="W8" s="665">
        <f t="shared" si="2"/>
        <v>100</v>
      </c>
      <c r="X8" s="666"/>
      <c r="Y8" s="3534" t="s">
        <v>1683</v>
      </c>
      <c r="Z8" s="35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571" t="s">
        <v>1686</v>
      </c>
      <c r="Q9" s="530" t="str">
        <f t="shared" ref="Q9:Q14" si="6">B9</f>
        <v>用途</v>
      </c>
      <c r="R9" s="664" t="s">
        <v>14</v>
      </c>
      <c r="S9" s="665">
        <f t="shared" si="0"/>
        <v>100</v>
      </c>
      <c r="T9" s="664" t="s">
        <v>14</v>
      </c>
      <c r="U9" s="665">
        <f t="shared" si="1"/>
        <v>100</v>
      </c>
      <c r="V9" s="664" t="s">
        <v>14</v>
      </c>
      <c r="W9" s="665">
        <f t="shared" si="2"/>
        <v>100</v>
      </c>
      <c r="X9" s="666"/>
      <c r="Y9" s="3503"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7"/>
      <c r="M10" s="2488"/>
      <c r="N10" s="2488"/>
      <c r="O10" s="2539"/>
      <c r="P10" s="3571"/>
      <c r="Q10" s="530" t="str">
        <f t="shared" si="6"/>
        <v>土地使用年限（年）</v>
      </c>
      <c r="R10" s="664" t="s">
        <v>14</v>
      </c>
      <c r="S10" s="665">
        <f t="shared" si="0"/>
        <v>100</v>
      </c>
      <c r="T10" s="664" t="s">
        <v>14</v>
      </c>
      <c r="U10" s="665">
        <f t="shared" si="1"/>
        <v>100</v>
      </c>
      <c r="V10" s="664" t="s">
        <v>14</v>
      </c>
      <c r="W10" s="665">
        <f t="shared" si="2"/>
        <v>100</v>
      </c>
      <c r="X10" s="666"/>
      <c r="Y10" s="35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571"/>
      <c r="Q11" s="530">
        <f t="shared" si="6"/>
        <v>111</v>
      </c>
      <c r="R11" s="664" t="s">
        <v>14</v>
      </c>
      <c r="S11" s="665">
        <f t="shared" si="0"/>
        <v>100</v>
      </c>
      <c r="T11" s="664" t="s">
        <v>14</v>
      </c>
      <c r="U11" s="665">
        <f t="shared" si="1"/>
        <v>100</v>
      </c>
      <c r="V11" s="664" t="s">
        <v>14</v>
      </c>
      <c r="W11" s="665">
        <f t="shared" si="2"/>
        <v>100</v>
      </c>
      <c r="X11" s="666"/>
      <c r="Y11" s="35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571"/>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571"/>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64" t="s">
        <v>1691</v>
      </c>
      <c r="Q14" s="1260" t="str">
        <f t="shared" si="6"/>
        <v>交通便捷度</v>
      </c>
      <c r="R14" s="667" t="s">
        <v>14</v>
      </c>
      <c r="S14" s="668">
        <f t="shared" si="0"/>
        <v>100</v>
      </c>
      <c r="T14" s="667" t="s">
        <v>14</v>
      </c>
      <c r="U14" s="668">
        <f t="shared" si="1"/>
        <v>100</v>
      </c>
      <c r="V14" s="667" t="s">
        <v>14</v>
      </c>
      <c r="W14" s="668">
        <f t="shared" si="2"/>
        <v>100</v>
      </c>
      <c r="X14" s="1262"/>
      <c r="Y14" s="3564"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90"/>
      <c r="M15" s="2485"/>
      <c r="N15" s="2485"/>
      <c r="O15" s="2540"/>
      <c r="P15" s="3565"/>
      <c r="Q15" s="1260"/>
      <c r="R15" s="667"/>
      <c r="S15" s="668"/>
      <c r="T15" s="667"/>
      <c r="U15" s="668"/>
      <c r="V15" s="667"/>
      <c r="W15" s="668"/>
      <c r="X15" s="1262"/>
      <c r="Y15" s="3565"/>
      <c r="Z15" s="1261"/>
      <c r="AA15" s="1261">
        <v>1</v>
      </c>
      <c r="AB15" s="1261">
        <v>1</v>
      </c>
      <c r="AC15" s="1261">
        <v>1</v>
      </c>
    </row>
    <row r="16" spans="1:29" ht="42.75">
      <c r="A16" s="367"/>
      <c r="B16" s="390" t="s">
        <v>1812</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65"/>
      <c r="Q16" s="1260" t="str">
        <f>B16</f>
        <v>公共配套设施</v>
      </c>
      <c r="R16" s="667" t="s">
        <v>14</v>
      </c>
      <c r="S16" s="668">
        <f>F16</f>
        <v>100</v>
      </c>
      <c r="T16" s="667" t="s">
        <v>14</v>
      </c>
      <c r="U16" s="668">
        <f>H16</f>
        <v>100</v>
      </c>
      <c r="V16" s="667" t="s">
        <v>14</v>
      </c>
      <c r="W16" s="668">
        <f>J16</f>
        <v>100</v>
      </c>
      <c r="X16" s="1262"/>
      <c r="Y16" s="3565"/>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90"/>
      <c r="M17" s="2485"/>
      <c r="N17" s="2485"/>
      <c r="O17" s="2540"/>
      <c r="P17" s="3565"/>
      <c r="Q17" s="1260"/>
      <c r="R17" s="667"/>
      <c r="S17" s="668"/>
      <c r="T17" s="667"/>
      <c r="U17" s="668"/>
      <c r="V17" s="667"/>
      <c r="W17" s="668"/>
      <c r="X17" s="1262"/>
      <c r="Y17" s="3565"/>
      <c r="Z17" s="1261"/>
      <c r="AA17" s="1261">
        <v>1</v>
      </c>
      <c r="AB17" s="1261">
        <v>1</v>
      </c>
      <c r="AC17" s="1261">
        <v>1</v>
      </c>
    </row>
    <row r="18" spans="1:29" ht="28.5">
      <c r="A18" s="367"/>
      <c r="B18" s="586" t="s">
        <v>1813</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65"/>
      <c r="Q18" s="1260" t="str">
        <f>B18</f>
        <v>基础设施水平</v>
      </c>
      <c r="R18" s="667" t="s">
        <v>14</v>
      </c>
      <c r="S18" s="668">
        <f>F18</f>
        <v>100</v>
      </c>
      <c r="T18" s="667" t="s">
        <v>14</v>
      </c>
      <c r="U18" s="668">
        <f>H18</f>
        <v>100</v>
      </c>
      <c r="V18" s="667" t="s">
        <v>14</v>
      </c>
      <c r="W18" s="668">
        <f>J18</f>
        <v>100</v>
      </c>
      <c r="X18" s="1262"/>
      <c r="Y18" s="3565"/>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90"/>
      <c r="M19" s="2485"/>
      <c r="N19" s="2485"/>
      <c r="O19" s="2540"/>
      <c r="P19" s="3565"/>
      <c r="Q19" s="1260"/>
      <c r="R19" s="667"/>
      <c r="S19" s="668"/>
      <c r="T19" s="667"/>
      <c r="U19" s="668"/>
      <c r="V19" s="667"/>
      <c r="W19" s="668"/>
      <c r="X19" s="1262"/>
      <c r="Y19" s="3565"/>
      <c r="Z19" s="1261"/>
      <c r="AA19" s="1261">
        <v>1</v>
      </c>
      <c r="AB19" s="1261">
        <v>1</v>
      </c>
      <c r="AC19" s="1261">
        <v>1</v>
      </c>
    </row>
    <row r="20" spans="1:29" ht="57">
      <c r="A20" s="367"/>
      <c r="B20" s="390" t="s">
        <v>1834</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65"/>
      <c r="Q20" s="1260" t="str">
        <f>B20</f>
        <v>自然及人文环境</v>
      </c>
      <c r="R20" s="667" t="s">
        <v>14</v>
      </c>
      <c r="S20" s="668">
        <f>F20</f>
        <v>100</v>
      </c>
      <c r="T20" s="667" t="s">
        <v>14</v>
      </c>
      <c r="U20" s="668">
        <f>H20</f>
        <v>100</v>
      </c>
      <c r="V20" s="667" t="s">
        <v>14</v>
      </c>
      <c r="W20" s="668">
        <f>J20</f>
        <v>100</v>
      </c>
      <c r="X20" s="1262"/>
      <c r="Y20" s="3565"/>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90"/>
      <c r="M21" s="2485"/>
      <c r="N21" s="2485"/>
      <c r="O21" s="2540"/>
      <c r="P21" s="3565"/>
      <c r="Q21" s="1260"/>
      <c r="R21" s="667"/>
      <c r="S21" s="668"/>
      <c r="T21" s="667"/>
      <c r="U21" s="668"/>
      <c r="V21" s="667"/>
      <c r="W21" s="668"/>
      <c r="X21" s="1262"/>
      <c r="Y21" s="3565"/>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65"/>
      <c r="Q22" s="1260" t="str">
        <f>B22</f>
        <v>楼层</v>
      </c>
      <c r="R22" s="667" t="s">
        <v>14</v>
      </c>
      <c r="S22" s="668">
        <f>F22</f>
        <v>100</v>
      </c>
      <c r="T22" s="667" t="s">
        <v>14</v>
      </c>
      <c r="U22" s="668">
        <f>H22</f>
        <v>100</v>
      </c>
      <c r="V22" s="667" t="s">
        <v>14</v>
      </c>
      <c r="W22" s="668">
        <f>J22</f>
        <v>100</v>
      </c>
      <c r="X22" s="1262"/>
      <c r="Y22" s="3565"/>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65"/>
      <c r="Q23" s="1260">
        <f>B23</f>
        <v>111</v>
      </c>
      <c r="R23" s="667" t="s">
        <v>14</v>
      </c>
      <c r="S23" s="668">
        <f>F23</f>
        <v>100</v>
      </c>
      <c r="T23" s="667" t="s">
        <v>14</v>
      </c>
      <c r="U23" s="668">
        <f>H23</f>
        <v>100</v>
      </c>
      <c r="V23" s="667" t="s">
        <v>14</v>
      </c>
      <c r="W23" s="668">
        <f>J23</f>
        <v>100</v>
      </c>
      <c r="X23" s="1262"/>
      <c r="Y23" s="3565"/>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65"/>
      <c r="Q24" s="1260">
        <f t="shared" ref="Q24:Q34" si="11">B24</f>
        <v>111</v>
      </c>
      <c r="R24" s="667" t="s">
        <v>14</v>
      </c>
      <c r="S24" s="668">
        <f>F24</f>
        <v>100</v>
      </c>
      <c r="T24" s="667" t="s">
        <v>14</v>
      </c>
      <c r="U24" s="668">
        <f>H24</f>
        <v>100</v>
      </c>
      <c r="V24" s="667" t="s">
        <v>14</v>
      </c>
      <c r="W24" s="668">
        <f>J24</f>
        <v>100</v>
      </c>
      <c r="X24" s="1262"/>
      <c r="Y24" s="3565"/>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565"/>
      <c r="Q25" s="530">
        <f t="shared" si="11"/>
        <v>111</v>
      </c>
      <c r="R25" s="664" t="s">
        <v>14</v>
      </c>
      <c r="S25" s="665">
        <f>F25</f>
        <v>100</v>
      </c>
      <c r="T25" s="664" t="s">
        <v>14</v>
      </c>
      <c r="U25" s="665">
        <f>H25</f>
        <v>100</v>
      </c>
      <c r="V25" s="664" t="s">
        <v>14</v>
      </c>
      <c r="W25" s="665">
        <f>J25</f>
        <v>100</v>
      </c>
      <c r="X25" s="666"/>
      <c r="Y25" s="3565"/>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90"/>
      <c r="M26" s="2485"/>
      <c r="N26" s="2485"/>
      <c r="O26" s="2540"/>
      <c r="P26" s="3624"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569"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69"/>
      <c r="Q27" s="531" t="str">
        <f t="shared" si="11"/>
        <v>成新率</v>
      </c>
      <c r="R27" s="669" t="s">
        <v>14</v>
      </c>
      <c r="S27" s="670" t="e">
        <f t="shared" si="12"/>
        <v>#N/A</v>
      </c>
      <c r="T27" s="669" t="s">
        <v>14</v>
      </c>
      <c r="U27" s="670" t="e">
        <f t="shared" si="13"/>
        <v>#N/A</v>
      </c>
      <c r="V27" s="669" t="s">
        <v>14</v>
      </c>
      <c r="W27" s="670" t="e">
        <f t="shared" si="14"/>
        <v>#N/A</v>
      </c>
      <c r="X27" s="671"/>
      <c r="Y27" s="3569"/>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69"/>
      <c r="Q28" s="1260" t="str">
        <f t="shared" si="11"/>
        <v>物业等级</v>
      </c>
      <c r="R28" s="667" t="s">
        <v>14</v>
      </c>
      <c r="S28" s="668">
        <f t="shared" si="12"/>
        <v>100</v>
      </c>
      <c r="T28" s="667" t="s">
        <v>14</v>
      </c>
      <c r="U28" s="668">
        <f t="shared" si="13"/>
        <v>100</v>
      </c>
      <c r="V28" s="667" t="s">
        <v>14</v>
      </c>
      <c r="W28" s="668">
        <f t="shared" si="14"/>
        <v>100</v>
      </c>
      <c r="X28" s="1262"/>
      <c r="Y28" s="3569"/>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69"/>
      <c r="Q29" s="1260" t="str">
        <f t="shared" si="11"/>
        <v>有无电梯</v>
      </c>
      <c r="R29" s="667" t="s">
        <v>14</v>
      </c>
      <c r="S29" s="668">
        <f t="shared" si="12"/>
        <v>100</v>
      </c>
      <c r="T29" s="667" t="s">
        <v>14</v>
      </c>
      <c r="U29" s="668">
        <f t="shared" si="13"/>
        <v>100</v>
      </c>
      <c r="V29" s="667" t="s">
        <v>14</v>
      </c>
      <c r="W29" s="668">
        <f t="shared" si="14"/>
        <v>100</v>
      </c>
      <c r="X29" s="1262"/>
      <c r="Y29" s="3569"/>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69"/>
      <c r="Q30" s="1260" t="str">
        <f t="shared" si="11"/>
        <v>建筑面积</v>
      </c>
      <c r="R30" s="667" t="s">
        <v>14</v>
      </c>
      <c r="S30" s="668" t="e">
        <f t="shared" si="12"/>
        <v>#N/A</v>
      </c>
      <c r="T30" s="667" t="s">
        <v>14</v>
      </c>
      <c r="U30" s="668" t="e">
        <f t="shared" si="13"/>
        <v>#N/A</v>
      </c>
      <c r="V30" s="667" t="s">
        <v>14</v>
      </c>
      <c r="W30" s="668" t="e">
        <f t="shared" si="14"/>
        <v>#N/A</v>
      </c>
      <c r="X30" s="1262"/>
      <c r="Y30" s="3569"/>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569"/>
      <c r="Q31" s="530" t="str">
        <f t="shared" si="11"/>
        <v>是否封闭</v>
      </c>
      <c r="R31" s="664" t="s">
        <v>14</v>
      </c>
      <c r="S31" s="665">
        <f t="shared" si="12"/>
        <v>100</v>
      </c>
      <c r="T31" s="664" t="s">
        <v>14</v>
      </c>
      <c r="U31" s="665">
        <f t="shared" si="13"/>
        <v>100</v>
      </c>
      <c r="V31" s="664" t="s">
        <v>14</v>
      </c>
      <c r="W31" s="665">
        <f t="shared" si="14"/>
        <v>100</v>
      </c>
      <c r="X31" s="666"/>
      <c r="Y31" s="35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69" t="s">
        <v>1696</v>
      </c>
      <c r="Q32" s="1260">
        <f t="shared" si="11"/>
        <v>111</v>
      </c>
      <c r="R32" s="667" t="s">
        <v>14</v>
      </c>
      <c r="S32" s="668">
        <f t="shared" si="12"/>
        <v>100</v>
      </c>
      <c r="T32" s="667" t="s">
        <v>14</v>
      </c>
      <c r="U32" s="668">
        <f t="shared" si="13"/>
        <v>100</v>
      </c>
      <c r="V32" s="667" t="s">
        <v>14</v>
      </c>
      <c r="W32" s="668">
        <f t="shared" si="14"/>
        <v>100</v>
      </c>
      <c r="X32" s="1262"/>
      <c r="Y32" s="3569"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69"/>
      <c r="Q33" s="1260">
        <f t="shared" si="11"/>
        <v>111</v>
      </c>
      <c r="R33" s="667" t="s">
        <v>14</v>
      </c>
      <c r="S33" s="668">
        <f t="shared" si="12"/>
        <v>100</v>
      </c>
      <c r="T33" s="667" t="s">
        <v>14</v>
      </c>
      <c r="U33" s="668">
        <f t="shared" si="13"/>
        <v>100</v>
      </c>
      <c r="V33" s="667" t="s">
        <v>14</v>
      </c>
      <c r="W33" s="668">
        <f t="shared" si="14"/>
        <v>100</v>
      </c>
      <c r="X33" s="1262"/>
      <c r="Y33" s="3569"/>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569"/>
      <c r="Q34" s="1260">
        <f t="shared" si="11"/>
        <v>111</v>
      </c>
      <c r="R34" s="667" t="s">
        <v>14</v>
      </c>
      <c r="S34" s="668">
        <f t="shared" si="12"/>
        <v>100</v>
      </c>
      <c r="T34" s="667" t="s">
        <v>14</v>
      </c>
      <c r="U34" s="668">
        <f t="shared" si="13"/>
        <v>100</v>
      </c>
      <c r="V34" s="667" t="s">
        <v>14</v>
      </c>
      <c r="W34" s="668">
        <f t="shared" si="14"/>
        <v>100</v>
      </c>
      <c r="X34" s="1262"/>
      <c r="Y34" s="3569"/>
      <c r="Z34" s="1261">
        <f t="shared" si="15"/>
        <v>111</v>
      </c>
      <c r="AA34" s="1261">
        <f t="shared" si="3"/>
        <v>1</v>
      </c>
      <c r="AB34" s="1261">
        <f t="shared" si="4"/>
        <v>1</v>
      </c>
      <c r="AC34" s="1261">
        <f t="shared" si="5"/>
        <v>1</v>
      </c>
    </row>
    <row r="35" spans="1:30" ht="15">
      <c r="A35" s="416" t="s">
        <v>1708</v>
      </c>
      <c r="B35" s="417"/>
      <c r="C35" s="1078" t="s">
        <v>0</v>
      </c>
      <c r="D35" s="418"/>
      <c r="E35" s="419"/>
      <c r="F35" s="420"/>
      <c r="G35" s="421"/>
      <c r="H35" s="422"/>
      <c r="I35" s="419"/>
      <c r="J35" s="422"/>
      <c r="K35" s="674"/>
      <c r="L35" s="2492"/>
      <c r="M35" s="2485"/>
      <c r="N35" s="2485"/>
      <c r="O35" s="2485"/>
      <c r="P35" s="3571" t="str">
        <f>A35</f>
        <v>成交单价（元/平方米）</v>
      </c>
      <c r="Q35" s="3571"/>
      <c r="R35" s="3533">
        <f>E35</f>
        <v>0</v>
      </c>
      <c r="S35" s="3533"/>
      <c r="T35" s="3533">
        <f>G35</f>
        <v>0</v>
      </c>
      <c r="U35" s="3533"/>
      <c r="V35" s="3533">
        <f>I35</f>
        <v>0</v>
      </c>
      <c r="W35" s="3533"/>
      <c r="X35" s="385"/>
      <c r="Y35" s="673"/>
      <c r="Z35" s="385"/>
      <c r="AA35" s="385"/>
      <c r="AB35" s="385"/>
      <c r="AC35" s="385"/>
    </row>
    <row r="36" spans="1:30" ht="15.75" thickBot="1">
      <c r="A36" s="423" t="s">
        <v>1793</v>
      </c>
      <c r="B36" s="424"/>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571" t="str">
        <f>A36</f>
        <v>比较价值（元/平方米）</v>
      </c>
      <c r="Q36" s="3571"/>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572" t="str">
        <f>A37</f>
        <v>估价对象XX用房的比较价值（楼面单价，元/平方米）</v>
      </c>
      <c r="Q37" s="3573"/>
      <c r="R37" s="3625" t="e">
        <f>IF(F1="售价",ROUND(IF(D36="简单平均",AVERAGE(R36:W36),R36*F36+T36*H36+V36*J36),0),ROUND(IF(D36="简单平均",AVERAGE(R36:V36),R36*F36+T36*H36+V36*J36),1))</f>
        <v>#DIV/0!</v>
      </c>
      <c r="S37" s="3625"/>
      <c r="T37" s="3625"/>
      <c r="U37" s="3625"/>
      <c r="V37" s="3625"/>
      <c r="W37" s="362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0" t="str">
        <f>YEAR(C7)&amp;"-"&amp;MONTH(C7)</f>
        <v>2023-12</v>
      </c>
      <c r="D46" s="1101">
        <f>EDATE(C46,-1)</f>
        <v>45231</v>
      </c>
      <c r="E46" s="1101">
        <f t="shared" ref="E46:O46" si="16">EDATE(D46,-1)</f>
        <v>45200</v>
      </c>
      <c r="F46" s="1101">
        <f t="shared" si="16"/>
        <v>45170</v>
      </c>
      <c r="G46" s="1101">
        <f t="shared" si="16"/>
        <v>45139</v>
      </c>
      <c r="H46" s="1101">
        <f t="shared" si="16"/>
        <v>45108</v>
      </c>
      <c r="I46" s="1101">
        <f t="shared" si="16"/>
        <v>45078</v>
      </c>
      <c r="J46" s="1101">
        <f t="shared" si="16"/>
        <v>45047</v>
      </c>
      <c r="K46" s="1101">
        <f t="shared" si="16"/>
        <v>45017</v>
      </c>
      <c r="L46" s="1101">
        <f t="shared" si="16"/>
        <v>44986</v>
      </c>
      <c r="M46" s="1101">
        <f t="shared" si="16"/>
        <v>44958</v>
      </c>
      <c r="N46" s="1101">
        <f t="shared" si="16"/>
        <v>44927</v>
      </c>
      <c r="O46" s="1101">
        <f t="shared" si="16"/>
        <v>44896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099">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C2" xr:uid="{00000000-0002-0000-2A00-00000E000000}">
      <formula1>"需扣减承租人权益,——"</formula1>
    </dataValidation>
    <dataValidation type="list" allowBlank="1" showInputMessage="1" showErrorMessage="1" sqref="F2" xr:uid="{00000000-0002-0000-2A00-00000F000000}">
      <formula1>估价方法</formula1>
    </dataValidation>
    <dataValidation type="list" allowBlank="1" showInputMessage="1" showErrorMessage="1" sqref="D36" xr:uid="{00000000-0002-0000-2A00-000010000000}">
      <formula1>"简单平均,加权平均"</formula1>
    </dataValidation>
    <dataValidation type="list" allowBlank="1" showInputMessage="1" showErrorMessage="1" sqref="E1" xr:uid="{00000000-0002-0000-2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501"/>
      <c r="M3" s="2502"/>
      <c r="N3" s="2502"/>
      <c r="O3" s="2502"/>
      <c r="P3" s="341"/>
      <c r="Q3" s="341"/>
      <c r="R3" s="341"/>
      <c r="S3" s="341"/>
      <c r="T3" s="341"/>
      <c r="U3" s="341"/>
      <c r="V3" s="341"/>
      <c r="W3" s="341"/>
      <c r="X3" s="341"/>
      <c r="Y3" s="341"/>
      <c r="Z3" s="341"/>
      <c r="AA3" s="341"/>
      <c r="AB3" s="676"/>
      <c r="AC3" s="663"/>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1"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1"/>
      <c r="AC5" s="3531"/>
    </row>
    <row r="6" spans="1:29" ht="15.75" thickBot="1">
      <c r="A6" s="350"/>
      <c r="B6" s="351"/>
      <c r="C6" s="3544" t="s">
        <v>1677</v>
      </c>
      <c r="D6" s="3545"/>
      <c r="E6" s="3546" t="s">
        <v>1677</v>
      </c>
      <c r="F6" s="3547"/>
      <c r="G6" s="3544" t="s">
        <v>1677</v>
      </c>
      <c r="H6" s="3545"/>
      <c r="I6" s="3544" t="s">
        <v>1677</v>
      </c>
      <c r="J6" s="3545"/>
      <c r="K6" s="537" t="s">
        <v>1678</v>
      </c>
      <c r="L6" s="2484"/>
      <c r="M6" s="2485"/>
      <c r="N6" s="2485"/>
      <c r="O6" s="2485"/>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534" t="s">
        <v>1680</v>
      </c>
      <c r="Q7" s="3561"/>
      <c r="R7" s="664" t="s">
        <v>14</v>
      </c>
      <c r="S7" s="665">
        <f t="shared" ref="S7:S15" si="0">F7</f>
        <v>0</v>
      </c>
      <c r="T7" s="664" t="s">
        <v>14</v>
      </c>
      <c r="U7" s="665">
        <f t="shared" ref="U7:U15" si="1">H7</f>
        <v>0</v>
      </c>
      <c r="V7" s="664" t="s">
        <v>14</v>
      </c>
      <c r="W7" s="665">
        <f t="shared" ref="W7:W15" si="2">J7</f>
        <v>0</v>
      </c>
      <c r="X7" s="666"/>
      <c r="Y7" s="3534" t="s">
        <v>1680</v>
      </c>
      <c r="Z7" s="35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534" t="s">
        <v>1683</v>
      </c>
      <c r="Q8" s="3535"/>
      <c r="R8" s="664" t="s">
        <v>14</v>
      </c>
      <c r="S8" s="665">
        <f t="shared" si="0"/>
        <v>0</v>
      </c>
      <c r="T8" s="664" t="s">
        <v>14</v>
      </c>
      <c r="U8" s="665">
        <f t="shared" si="1"/>
        <v>0</v>
      </c>
      <c r="V8" s="664" t="s">
        <v>14</v>
      </c>
      <c r="W8" s="665">
        <f t="shared" si="2"/>
        <v>0</v>
      </c>
      <c r="X8" s="666"/>
      <c r="Y8" s="3534" t="s">
        <v>1683</v>
      </c>
      <c r="Z8" s="3535"/>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571"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571"/>
      <c r="Q10" s="530" t="str">
        <f t="shared" si="6"/>
        <v>土地使用年限（年）</v>
      </c>
      <c r="R10" s="664" t="s">
        <v>14</v>
      </c>
      <c r="S10" s="665">
        <f t="shared" si="0"/>
        <v>113</v>
      </c>
      <c r="T10" s="664" t="s">
        <v>14</v>
      </c>
      <c r="U10" s="665">
        <f t="shared" si="1"/>
        <v>113</v>
      </c>
      <c r="V10" s="664" t="s">
        <v>14</v>
      </c>
      <c r="W10" s="665">
        <f t="shared" si="2"/>
        <v>113</v>
      </c>
      <c r="X10" s="666"/>
      <c r="Y10" s="3503"/>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571"/>
      <c r="Q11" s="530" t="str">
        <f t="shared" si="6"/>
        <v>容积率</v>
      </c>
      <c r="R11" s="664" t="s">
        <v>14</v>
      </c>
      <c r="S11" s="665" t="e">
        <f t="shared" si="0"/>
        <v>#N/A</v>
      </c>
      <c r="T11" s="664" t="s">
        <v>14</v>
      </c>
      <c r="U11" s="665" t="e">
        <f t="shared" si="1"/>
        <v>#N/A</v>
      </c>
      <c r="V11" s="664" t="s">
        <v>14</v>
      </c>
      <c r="W11" s="665" t="e">
        <f t="shared" si="2"/>
        <v>#N/A</v>
      </c>
      <c r="X11" s="666"/>
      <c r="Y11" s="35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571"/>
      <c r="Q12" s="530" t="str">
        <f t="shared" si="6"/>
        <v>配建</v>
      </c>
      <c r="R12" s="664" t="s">
        <v>14</v>
      </c>
      <c r="S12" s="665">
        <f t="shared" si="0"/>
        <v>100</v>
      </c>
      <c r="T12" s="664" t="s">
        <v>14</v>
      </c>
      <c r="U12" s="665">
        <f t="shared" si="1"/>
        <v>100</v>
      </c>
      <c r="V12" s="664" t="s">
        <v>14</v>
      </c>
      <c r="W12" s="665">
        <f t="shared" si="2"/>
        <v>100</v>
      </c>
      <c r="X12" s="666"/>
      <c r="Y12" s="35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571"/>
      <c r="Q13" s="530">
        <f t="shared" si="6"/>
        <v>111</v>
      </c>
      <c r="R13" s="664" t="s">
        <v>14</v>
      </c>
      <c r="S13" s="665">
        <f t="shared" si="0"/>
        <v>100</v>
      </c>
      <c r="T13" s="664" t="s">
        <v>14</v>
      </c>
      <c r="U13" s="665">
        <f t="shared" si="1"/>
        <v>100</v>
      </c>
      <c r="V13" s="664" t="s">
        <v>14</v>
      </c>
      <c r="W13" s="665">
        <f t="shared" si="2"/>
        <v>100</v>
      </c>
      <c r="X13" s="666"/>
      <c r="Y13" s="3503"/>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571"/>
      <c r="Q14" s="530">
        <f t="shared" si="6"/>
        <v>111</v>
      </c>
      <c r="R14" s="664" t="s">
        <v>14</v>
      </c>
      <c r="S14" s="665">
        <f t="shared" si="0"/>
        <v>100</v>
      </c>
      <c r="T14" s="664" t="s">
        <v>14</v>
      </c>
      <c r="U14" s="665">
        <f t="shared" si="1"/>
        <v>100</v>
      </c>
      <c r="V14" s="664" t="s">
        <v>14</v>
      </c>
      <c r="W14" s="665">
        <f t="shared" si="2"/>
        <v>100</v>
      </c>
      <c r="X14" s="666"/>
      <c r="Y14" s="3503"/>
      <c r="Z14" s="50">
        <f t="shared" si="7"/>
        <v>111</v>
      </c>
      <c r="AA14" s="50">
        <f>D14/F14</f>
        <v>1</v>
      </c>
      <c r="AB14" s="50">
        <f>D14/H14</f>
        <v>1</v>
      </c>
      <c r="AC14" s="50">
        <f>D14/J14</f>
        <v>1</v>
      </c>
    </row>
    <row r="15" spans="1:29" ht="99.75">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64" t="s">
        <v>1691</v>
      </c>
      <c r="Q15" s="1260" t="str">
        <f t="shared" si="6"/>
        <v>居住社区成熟度</v>
      </c>
      <c r="R15" s="667" t="s">
        <v>14</v>
      </c>
      <c r="S15" s="668">
        <f t="shared" si="0"/>
        <v>100</v>
      </c>
      <c r="T15" s="667" t="s">
        <v>14</v>
      </c>
      <c r="U15" s="668">
        <f t="shared" si="1"/>
        <v>100</v>
      </c>
      <c r="V15" s="667" t="s">
        <v>14</v>
      </c>
      <c r="W15" s="668">
        <f t="shared" si="2"/>
        <v>100</v>
      </c>
      <c r="X15" s="1262"/>
      <c r="Y15" s="3564"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90"/>
      <c r="M16" s="2485"/>
      <c r="N16" s="2485"/>
      <c r="O16" s="2540"/>
      <c r="P16" s="3565"/>
      <c r="Q16" s="1260"/>
      <c r="R16" s="667"/>
      <c r="S16" s="668"/>
      <c r="T16" s="667"/>
      <c r="U16" s="668"/>
      <c r="V16" s="667"/>
      <c r="W16" s="668"/>
      <c r="X16" s="1262"/>
      <c r="Y16" s="3565"/>
      <c r="Z16" s="1261"/>
      <c r="AA16" s="1261">
        <v>1</v>
      </c>
      <c r="AB16" s="1261">
        <v>1</v>
      </c>
      <c r="AC16" s="1261">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65"/>
      <c r="Q17" s="1260" t="str">
        <f>B17</f>
        <v>商业繁华度</v>
      </c>
      <c r="R17" s="667" t="s">
        <v>14</v>
      </c>
      <c r="S17" s="668">
        <f>F17</f>
        <v>100</v>
      </c>
      <c r="T17" s="667" t="s">
        <v>14</v>
      </c>
      <c r="U17" s="668">
        <f>H17</f>
        <v>100</v>
      </c>
      <c r="V17" s="667" t="s">
        <v>14</v>
      </c>
      <c r="W17" s="668">
        <f>J17</f>
        <v>100</v>
      </c>
      <c r="X17" s="1262"/>
      <c r="Y17" s="3565"/>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90"/>
      <c r="M18" s="2485"/>
      <c r="N18" s="2485"/>
      <c r="O18" s="2540"/>
      <c r="P18" s="3565"/>
      <c r="Q18" s="1260"/>
      <c r="R18" s="667"/>
      <c r="S18" s="668"/>
      <c r="T18" s="667"/>
      <c r="U18" s="668"/>
      <c r="V18" s="667"/>
      <c r="W18" s="668"/>
      <c r="X18" s="1262"/>
      <c r="Y18" s="3565"/>
      <c r="Z18" s="1261"/>
      <c r="AA18" s="1261">
        <v>1</v>
      </c>
      <c r="AB18" s="1261">
        <v>1</v>
      </c>
      <c r="AC18" s="1261">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65"/>
      <c r="Q19" s="1260" t="str">
        <f>B19</f>
        <v>办公集聚程度</v>
      </c>
      <c r="R19" s="667" t="s">
        <v>14</v>
      </c>
      <c r="S19" s="668">
        <f>F19</f>
        <v>100</v>
      </c>
      <c r="T19" s="667" t="s">
        <v>14</v>
      </c>
      <c r="U19" s="668">
        <f>H19</f>
        <v>100</v>
      </c>
      <c r="V19" s="667" t="s">
        <v>14</v>
      </c>
      <c r="W19" s="668">
        <f>J19</f>
        <v>100</v>
      </c>
      <c r="X19" s="1262"/>
      <c r="Y19" s="3565"/>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90"/>
      <c r="M20" s="2485"/>
      <c r="N20" s="2485"/>
      <c r="O20" s="2540"/>
      <c r="P20" s="3565"/>
      <c r="Q20" s="1260"/>
      <c r="R20" s="667"/>
      <c r="S20" s="668"/>
      <c r="T20" s="667"/>
      <c r="U20" s="668"/>
      <c r="V20" s="667"/>
      <c r="W20" s="668"/>
      <c r="X20" s="1262"/>
      <c r="Y20" s="3565"/>
      <c r="Z20" s="1261"/>
      <c r="AA20" s="1261">
        <v>1</v>
      </c>
      <c r="AB20" s="1261">
        <v>1</v>
      </c>
      <c r="AC20" s="1261">
        <v>1</v>
      </c>
    </row>
    <row r="21" spans="1:29" ht="85.5">
      <c r="A21" s="367"/>
      <c r="B21" s="390" t="s">
        <v>1833</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65"/>
      <c r="Q21" s="1260" t="str">
        <f>B21</f>
        <v>交通便捷度</v>
      </c>
      <c r="R21" s="667" t="s">
        <v>14</v>
      </c>
      <c r="S21" s="668">
        <f>F21</f>
        <v>100</v>
      </c>
      <c r="T21" s="667" t="s">
        <v>14</v>
      </c>
      <c r="U21" s="668">
        <f>H21</f>
        <v>100</v>
      </c>
      <c r="V21" s="667" t="s">
        <v>14</v>
      </c>
      <c r="W21" s="668">
        <f>J21</f>
        <v>100</v>
      </c>
      <c r="X21" s="1262"/>
      <c r="Y21" s="3565"/>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90"/>
      <c r="M22" s="2485"/>
      <c r="N22" s="2485"/>
      <c r="O22" s="2540"/>
      <c r="P22" s="3565"/>
      <c r="Q22" s="1260"/>
      <c r="R22" s="667"/>
      <c r="S22" s="668"/>
      <c r="T22" s="667"/>
      <c r="U22" s="668"/>
      <c r="V22" s="667"/>
      <c r="W22" s="668"/>
      <c r="X22" s="1262"/>
      <c r="Y22" s="3565"/>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65"/>
      <c r="Q23" s="1260" t="str">
        <f t="shared" ref="Q23:Q37" si="8">B23</f>
        <v>区域土地利用方向</v>
      </c>
      <c r="R23" s="667" t="s">
        <v>14</v>
      </c>
      <c r="S23" s="668">
        <f>F23</f>
        <v>100</v>
      </c>
      <c r="T23" s="667" t="s">
        <v>14</v>
      </c>
      <c r="U23" s="668">
        <f>H23</f>
        <v>100</v>
      </c>
      <c r="V23" s="667" t="s">
        <v>14</v>
      </c>
      <c r="W23" s="668">
        <f>J23</f>
        <v>100</v>
      </c>
      <c r="X23" s="1262"/>
      <c r="Y23" s="3565"/>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90"/>
      <c r="M24" s="2485"/>
      <c r="N24" s="2485"/>
      <c r="O24" s="2540"/>
      <c r="P24" s="3565"/>
      <c r="Q24" s="1260"/>
      <c r="R24" s="667"/>
      <c r="S24" s="668"/>
      <c r="T24" s="667"/>
      <c r="U24" s="668"/>
      <c r="V24" s="667"/>
      <c r="W24" s="668"/>
      <c r="X24" s="1262"/>
      <c r="Y24" s="3565"/>
      <c r="Z24" s="1261"/>
      <c r="AA24" s="1261"/>
      <c r="AB24" s="1261"/>
      <c r="AC24" s="1261"/>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65"/>
      <c r="Q25" s="1260" t="str">
        <f t="shared" si="8"/>
        <v>自然及人文环境状况</v>
      </c>
      <c r="R25" s="667" t="s">
        <v>14</v>
      </c>
      <c r="S25" s="668">
        <f>F25</f>
        <v>100</v>
      </c>
      <c r="T25" s="667" t="s">
        <v>14</v>
      </c>
      <c r="U25" s="668">
        <f>H25</f>
        <v>100</v>
      </c>
      <c r="V25" s="667" t="s">
        <v>14</v>
      </c>
      <c r="W25" s="668">
        <f>J25</f>
        <v>100</v>
      </c>
      <c r="X25" s="1262"/>
      <c r="Y25" s="3565"/>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90"/>
      <c r="M26" s="2485"/>
      <c r="N26" s="2485"/>
      <c r="O26" s="2540"/>
      <c r="P26" s="3565"/>
      <c r="Q26" s="1260"/>
      <c r="R26" s="667"/>
      <c r="S26" s="668"/>
      <c r="T26" s="667"/>
      <c r="U26" s="668"/>
      <c r="V26" s="667"/>
      <c r="W26" s="668"/>
      <c r="X26" s="1262"/>
      <c r="Y26" s="3565"/>
      <c r="Z26" s="1261"/>
      <c r="AA26" s="1261">
        <v>1</v>
      </c>
      <c r="AB26" s="1261">
        <v>1</v>
      </c>
      <c r="AC26" s="1261">
        <v>1</v>
      </c>
    </row>
    <row r="27" spans="1:29" s="102" customFormat="1" ht="42.75">
      <c r="A27" s="443"/>
      <c r="B27" s="586" t="s">
        <v>1778</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565"/>
      <c r="Q27" s="530" t="str">
        <f t="shared" si="8"/>
        <v>公共配套设施</v>
      </c>
      <c r="R27" s="664" t="s">
        <v>14</v>
      </c>
      <c r="S27" s="665">
        <f>F27</f>
        <v>100</v>
      </c>
      <c r="T27" s="664" t="s">
        <v>14</v>
      </c>
      <c r="U27" s="665">
        <f>H27</f>
        <v>100</v>
      </c>
      <c r="V27" s="664" t="s">
        <v>14</v>
      </c>
      <c r="W27" s="665">
        <f>J27</f>
        <v>100</v>
      </c>
      <c r="X27" s="666"/>
      <c r="Y27" s="3565"/>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6"/>
      <c r="M28" s="2437"/>
      <c r="N28" s="2437"/>
      <c r="O28" s="2538"/>
      <c r="P28" s="3565"/>
      <c r="Q28" s="530"/>
      <c r="R28" s="664"/>
      <c r="S28" s="665"/>
      <c r="T28" s="664"/>
      <c r="U28" s="665"/>
      <c r="V28" s="664"/>
      <c r="W28" s="665"/>
      <c r="X28" s="666"/>
      <c r="Y28" s="3565"/>
      <c r="Z28" s="50"/>
      <c r="AA28" s="1261">
        <v>1</v>
      </c>
      <c r="AB28" s="1261">
        <v>1</v>
      </c>
      <c r="AC28" s="1261">
        <v>1</v>
      </c>
    </row>
    <row r="29" spans="1:29" s="102" customFormat="1" ht="28.5">
      <c r="A29" s="443"/>
      <c r="B29" s="586"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565"/>
      <c r="Q29" s="530" t="str">
        <f t="shared" ref="Q29" si="9">B29</f>
        <v>基础设施水平</v>
      </c>
      <c r="R29" s="664" t="s">
        <v>14</v>
      </c>
      <c r="S29" s="665">
        <f>F29</f>
        <v>100</v>
      </c>
      <c r="T29" s="664" t="s">
        <v>14</v>
      </c>
      <c r="U29" s="665">
        <f>H29</f>
        <v>100</v>
      </c>
      <c r="V29" s="664" t="s">
        <v>14</v>
      </c>
      <c r="W29" s="665">
        <f>J29</f>
        <v>100</v>
      </c>
      <c r="X29" s="666"/>
      <c r="Y29" s="3565"/>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6"/>
      <c r="M30" s="2437"/>
      <c r="N30" s="2437"/>
      <c r="O30" s="2538"/>
      <c r="P30" s="3565"/>
      <c r="Q30" s="530"/>
      <c r="R30" s="664"/>
      <c r="S30" s="665"/>
      <c r="T30" s="664"/>
      <c r="U30" s="665"/>
      <c r="V30" s="664"/>
      <c r="W30" s="665"/>
      <c r="X30" s="666"/>
      <c r="Y30" s="3565"/>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65"/>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565"/>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65"/>
      <c r="Q32" s="1260" t="str">
        <f t="shared" si="8"/>
        <v>毗邻道路的类型与等级</v>
      </c>
      <c r="R32" s="667" t="s">
        <v>14</v>
      </c>
      <c r="S32" s="668">
        <f t="shared" si="10"/>
        <v>100</v>
      </c>
      <c r="T32" s="667" t="s">
        <v>14</v>
      </c>
      <c r="U32" s="668">
        <f t="shared" si="11"/>
        <v>100</v>
      </c>
      <c r="V32" s="667" t="s">
        <v>14</v>
      </c>
      <c r="W32" s="668">
        <f t="shared" si="12"/>
        <v>100</v>
      </c>
      <c r="X32" s="1262"/>
      <c r="Y32" s="3565"/>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90"/>
      <c r="M33" s="2485"/>
      <c r="N33" s="2485"/>
      <c r="O33" s="2540"/>
      <c r="P33" s="3565"/>
      <c r="Q33" s="1260"/>
      <c r="R33" s="667"/>
      <c r="S33" s="668"/>
      <c r="T33" s="667"/>
      <c r="U33" s="668"/>
      <c r="V33" s="667"/>
      <c r="W33" s="668"/>
      <c r="X33" s="1262"/>
      <c r="Y33" s="3565"/>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65"/>
      <c r="Q34" s="1260" t="str">
        <f t="shared" si="8"/>
        <v>土地级别</v>
      </c>
      <c r="R34" s="667" t="s">
        <v>14</v>
      </c>
      <c r="S34" s="668">
        <f t="shared" si="10"/>
        <v>100</v>
      </c>
      <c r="T34" s="667" t="s">
        <v>14</v>
      </c>
      <c r="U34" s="668">
        <f t="shared" si="11"/>
        <v>100</v>
      </c>
      <c r="V34" s="667" t="s">
        <v>14</v>
      </c>
      <c r="W34" s="668">
        <f t="shared" si="12"/>
        <v>100</v>
      </c>
      <c r="X34" s="1262"/>
      <c r="Y34" s="3565"/>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65"/>
      <c r="Q35" s="1260">
        <f t="shared" si="8"/>
        <v>111</v>
      </c>
      <c r="R35" s="667" t="s">
        <v>14</v>
      </c>
      <c r="S35" s="668">
        <f t="shared" si="10"/>
        <v>100</v>
      </c>
      <c r="T35" s="667" t="s">
        <v>14</v>
      </c>
      <c r="U35" s="668">
        <f t="shared" si="11"/>
        <v>100</v>
      </c>
      <c r="V35" s="667" t="s">
        <v>14</v>
      </c>
      <c r="W35" s="668">
        <f t="shared" si="12"/>
        <v>100</v>
      </c>
      <c r="X35" s="1262"/>
      <c r="Y35" s="3565"/>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624" t="s">
        <v>1696</v>
      </c>
      <c r="Q36" s="1260">
        <f t="shared" si="8"/>
        <v>111</v>
      </c>
      <c r="R36" s="667" t="s">
        <v>14</v>
      </c>
      <c r="S36" s="668">
        <f t="shared" si="10"/>
        <v>100</v>
      </c>
      <c r="T36" s="667" t="s">
        <v>14</v>
      </c>
      <c r="U36" s="668">
        <f t="shared" si="11"/>
        <v>100</v>
      </c>
      <c r="V36" s="667" t="s">
        <v>14</v>
      </c>
      <c r="W36" s="668">
        <f t="shared" si="12"/>
        <v>100</v>
      </c>
      <c r="X36" s="1262"/>
      <c r="Y36" s="3569" t="s">
        <v>1696</v>
      </c>
      <c r="Z36" s="1261">
        <f t="shared" si="13"/>
        <v>111</v>
      </c>
      <c r="AA36" s="1261">
        <f t="shared" si="3"/>
        <v>1</v>
      </c>
      <c r="AB36" s="1261">
        <f t="shared" si="4"/>
        <v>1</v>
      </c>
      <c r="AC36" s="1261">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69"/>
      <c r="Q37" s="1260">
        <f t="shared" si="8"/>
        <v>111</v>
      </c>
      <c r="R37" s="669" t="s">
        <v>14</v>
      </c>
      <c r="S37" s="670">
        <f t="shared" si="10"/>
        <v>100</v>
      </c>
      <c r="T37" s="669" t="s">
        <v>14</v>
      </c>
      <c r="U37" s="670">
        <f t="shared" si="11"/>
        <v>100</v>
      </c>
      <c r="V37" s="669" t="s">
        <v>14</v>
      </c>
      <c r="W37" s="670">
        <f t="shared" si="12"/>
        <v>100</v>
      </c>
      <c r="X37" s="671"/>
      <c r="Y37" s="3569"/>
      <c r="Z37" s="672">
        <f t="shared" si="13"/>
        <v>111</v>
      </c>
      <c r="AA37" s="1261">
        <f t="shared" si="3"/>
        <v>1</v>
      </c>
      <c r="AB37" s="1261">
        <f t="shared" si="4"/>
        <v>1</v>
      </c>
      <c r="AC37" s="1261">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69"/>
      <c r="Q38" s="1260" t="str">
        <f>B38</f>
        <v>宗地面积</v>
      </c>
      <c r="R38" s="667" t="s">
        <v>14</v>
      </c>
      <c r="S38" s="668" t="e">
        <f t="shared" si="10"/>
        <v>#N/A</v>
      </c>
      <c r="T38" s="667" t="s">
        <v>14</v>
      </c>
      <c r="U38" s="668" t="e">
        <f t="shared" si="11"/>
        <v>#N/A</v>
      </c>
      <c r="V38" s="667" t="s">
        <v>14</v>
      </c>
      <c r="W38" s="668" t="e">
        <f t="shared" si="12"/>
        <v>#N/A</v>
      </c>
      <c r="X38" s="1262"/>
      <c r="Y38" s="3569"/>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90"/>
      <c r="M39" s="2485"/>
      <c r="N39" s="2485"/>
      <c r="O39" s="2540"/>
      <c r="P39" s="3569"/>
      <c r="Q39" s="1260" t="str">
        <f t="shared" ref="Q39:Q45" si="14">B39</f>
        <v>宗地形状</v>
      </c>
      <c r="R39" s="667" t="s">
        <v>14</v>
      </c>
      <c r="S39" s="668">
        <f t="shared" si="10"/>
        <v>100</v>
      </c>
      <c r="T39" s="667" t="s">
        <v>14</v>
      </c>
      <c r="U39" s="668">
        <f t="shared" si="11"/>
        <v>100</v>
      </c>
      <c r="V39" s="667" t="s">
        <v>14</v>
      </c>
      <c r="W39" s="668">
        <f t="shared" si="12"/>
        <v>100</v>
      </c>
      <c r="X39" s="1262"/>
      <c r="Y39" s="3569"/>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90"/>
      <c r="M40" s="2485"/>
      <c r="N40" s="2485"/>
      <c r="O40" s="2540"/>
      <c r="P40" s="3569"/>
      <c r="Q40" s="1260" t="str">
        <f t="shared" si="14"/>
        <v>临街宽度及深度</v>
      </c>
      <c r="R40" s="667" t="s">
        <v>14</v>
      </c>
      <c r="S40" s="668">
        <f t="shared" si="10"/>
        <v>100</v>
      </c>
      <c r="T40" s="667" t="s">
        <v>14</v>
      </c>
      <c r="U40" s="668">
        <f t="shared" si="11"/>
        <v>100</v>
      </c>
      <c r="V40" s="667" t="s">
        <v>14</v>
      </c>
      <c r="W40" s="668">
        <f t="shared" si="12"/>
        <v>100</v>
      </c>
      <c r="X40" s="1262"/>
      <c r="Y40" s="3569"/>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569"/>
      <c r="Q41" s="1260" t="str">
        <f t="shared" si="14"/>
        <v>宗地开发程度</v>
      </c>
      <c r="R41" s="664" t="s">
        <v>14</v>
      </c>
      <c r="S41" s="665">
        <f t="shared" si="10"/>
        <v>100</v>
      </c>
      <c r="T41" s="664" t="s">
        <v>14</v>
      </c>
      <c r="U41" s="665">
        <f t="shared" si="11"/>
        <v>100</v>
      </c>
      <c r="V41" s="664" t="s">
        <v>14</v>
      </c>
      <c r="W41" s="665">
        <f t="shared" si="12"/>
        <v>100</v>
      </c>
      <c r="X41" s="666"/>
      <c r="Y41" s="3569"/>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90"/>
      <c r="M42" s="2485"/>
      <c r="N42" s="2485"/>
      <c r="O42" s="2540"/>
      <c r="P42" s="3569" t="s">
        <v>1696</v>
      </c>
      <c r="Q42" s="1260" t="str">
        <f t="shared" si="14"/>
        <v>工程地质条件</v>
      </c>
      <c r="R42" s="667" t="s">
        <v>14</v>
      </c>
      <c r="S42" s="668">
        <f t="shared" si="10"/>
        <v>100</v>
      </c>
      <c r="T42" s="667" t="s">
        <v>14</v>
      </c>
      <c r="U42" s="668">
        <f t="shared" si="11"/>
        <v>100</v>
      </c>
      <c r="V42" s="667" t="s">
        <v>14</v>
      </c>
      <c r="W42" s="668">
        <f t="shared" si="12"/>
        <v>100</v>
      </c>
      <c r="X42" s="1262"/>
      <c r="Y42" s="3569"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69"/>
      <c r="Q43" s="1260">
        <f t="shared" si="14"/>
        <v>111</v>
      </c>
      <c r="R43" s="667" t="s">
        <v>14</v>
      </c>
      <c r="S43" s="668">
        <f t="shared" si="10"/>
        <v>100</v>
      </c>
      <c r="T43" s="667" t="s">
        <v>14</v>
      </c>
      <c r="U43" s="668">
        <f t="shared" si="11"/>
        <v>100</v>
      </c>
      <c r="V43" s="667" t="s">
        <v>14</v>
      </c>
      <c r="W43" s="668">
        <f t="shared" si="12"/>
        <v>100</v>
      </c>
      <c r="X43" s="1262"/>
      <c r="Y43" s="3569"/>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69"/>
      <c r="Q44" s="1260">
        <f t="shared" si="14"/>
        <v>111</v>
      </c>
      <c r="R44" s="667" t="s">
        <v>14</v>
      </c>
      <c r="S44" s="668">
        <f t="shared" si="10"/>
        <v>100</v>
      </c>
      <c r="T44" s="667" t="s">
        <v>14</v>
      </c>
      <c r="U44" s="668">
        <f t="shared" si="11"/>
        <v>100</v>
      </c>
      <c r="V44" s="667" t="s">
        <v>14</v>
      </c>
      <c r="W44" s="668">
        <f t="shared" si="12"/>
        <v>100</v>
      </c>
      <c r="X44" s="1262"/>
      <c r="Y44" s="3569"/>
      <c r="Z44" s="1261">
        <f t="shared" si="13"/>
        <v>111</v>
      </c>
      <c r="AA44" s="1261">
        <f t="shared" si="3"/>
        <v>1</v>
      </c>
      <c r="AB44" s="1261">
        <f t="shared" si="4"/>
        <v>1</v>
      </c>
      <c r="AC44" s="1261">
        <f t="shared" si="5"/>
        <v>1</v>
      </c>
    </row>
    <row r="45" spans="1:29" s="408" customFormat="1" ht="15.75"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69"/>
      <c r="Q45" s="1260">
        <f t="shared" si="14"/>
        <v>111</v>
      </c>
      <c r="R45" s="669" t="s">
        <v>14</v>
      </c>
      <c r="S45" s="670">
        <f t="shared" si="10"/>
        <v>100</v>
      </c>
      <c r="T45" s="669" t="s">
        <v>14</v>
      </c>
      <c r="U45" s="670">
        <f t="shared" si="11"/>
        <v>100</v>
      </c>
      <c r="V45" s="669" t="s">
        <v>14</v>
      </c>
      <c r="W45" s="670">
        <f t="shared" si="12"/>
        <v>100</v>
      </c>
      <c r="X45" s="671"/>
      <c r="Y45" s="3569"/>
      <c r="Z45" s="672">
        <f t="shared" si="13"/>
        <v>111</v>
      </c>
      <c r="AA45" s="1261">
        <f t="shared" si="3"/>
        <v>1</v>
      </c>
      <c r="AB45" s="1261">
        <f t="shared" si="4"/>
        <v>1</v>
      </c>
      <c r="AC45" s="1261">
        <f t="shared" si="5"/>
        <v>1</v>
      </c>
    </row>
    <row r="46" spans="1:29" ht="15">
      <c r="A46" s="416" t="s">
        <v>1844</v>
      </c>
      <c r="B46" s="1827" t="s">
        <v>1879</v>
      </c>
      <c r="C46" s="602" t="s">
        <v>0</v>
      </c>
      <c r="D46" s="418"/>
      <c r="E46" s="419"/>
      <c r="F46" s="420"/>
      <c r="G46" s="421"/>
      <c r="H46" s="422"/>
      <c r="I46" s="419"/>
      <c r="J46" s="422"/>
      <c r="K46" s="674"/>
      <c r="L46" s="2492"/>
      <c r="M46" s="2485"/>
      <c r="N46" s="2485"/>
      <c r="O46" s="2485"/>
      <c r="P46" s="3571" t="str">
        <f>A46</f>
        <v>成交单价</v>
      </c>
      <c r="Q46" s="3571"/>
      <c r="R46" s="3533">
        <f>E46</f>
        <v>0</v>
      </c>
      <c r="S46" s="3533"/>
      <c r="T46" s="3533">
        <f>G46</f>
        <v>0</v>
      </c>
      <c r="U46" s="3533"/>
      <c r="V46" s="3533">
        <f>I46</f>
        <v>0</v>
      </c>
      <c r="W46" s="3533"/>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571" t="str">
        <f>A47</f>
        <v>比较价值（元/平方米）</v>
      </c>
      <c r="Q47" s="3571"/>
      <c r="R47" s="3626" t="e">
        <f>ROUND(PRODUCT(R46,AA7:AA45),0)</f>
        <v>#DIV/0!</v>
      </c>
      <c r="S47" s="3626"/>
      <c r="T47" s="3626" t="e">
        <f>ROUND(PRODUCT(T46,AB7:AB45),0)</f>
        <v>#DIV/0!</v>
      </c>
      <c r="U47" s="3626"/>
      <c r="V47" s="3626" t="e">
        <f>ROUND(PRODUCT(V46,AC7:AC45),0)</f>
        <v>#DIV/0!</v>
      </c>
      <c r="W47" s="36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572" t="str">
        <f>A48</f>
        <v>估价对象XX用房的比较价值（楼面单价，元/平方米）</v>
      </c>
      <c r="Q48" s="3573"/>
      <c r="R48" s="3627" t="e">
        <f>ROUND(IF(D47="简单平均",AVERAGE(R47:W47),R47*F47+T47*H47+V47*J47),0)</f>
        <v>#DIV/0!</v>
      </c>
      <c r="S48" s="3627"/>
      <c r="T48" s="3627"/>
      <c r="U48" s="3627"/>
      <c r="V48" s="3627"/>
      <c r="W48" s="362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4" t="s">
        <v>1886</v>
      </c>
      <c r="G55" s="3549" t="s">
        <v>1887</v>
      </c>
      <c r="H55" s="3628"/>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7">
        <v>1</v>
      </c>
      <c r="E56" s="610">
        <f>'数据-汇总表'!E8+'数据-汇总表'!E9</f>
        <v>10372.529999999995</v>
      </c>
      <c r="F56" s="830" t="e">
        <f t="shared" ref="F56:F64" si="15">ROUND(B56*E56/10000,0)</f>
        <v>#DIV/0!</v>
      </c>
      <c r="G56" s="3548"/>
      <c r="H56" s="3571"/>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88">
        <v>0.25</v>
      </c>
      <c r="E57" s="614"/>
      <c r="F57" s="830" t="e">
        <f t="shared" si="15"/>
        <v>#DIV/0!</v>
      </c>
      <c r="G57" s="2748" t="s">
        <v>1892</v>
      </c>
      <c r="H57" s="831">
        <f>项目基本情况!B37</f>
        <v>0</v>
      </c>
      <c r="I57" s="835">
        <f>SUMIF(修正!A57:A68,H57,修正!B57:B68)</f>
        <v>0</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88">
        <v>0.25</v>
      </c>
      <c r="E58" s="614"/>
      <c r="F58" s="830" t="e">
        <f t="shared" si="15"/>
        <v>#DIV/0!</v>
      </c>
      <c r="G58" s="2749"/>
      <c r="H58" s="831">
        <f>项目基本情况!B37</f>
        <v>0</v>
      </c>
      <c r="I58" s="835">
        <f>SUMIF(修正!A57:A68,H58,修正!C57:C68)</f>
        <v>0</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88">
        <v>0.25</v>
      </c>
      <c r="E59" s="614"/>
      <c r="F59" s="830" t="e">
        <f t="shared" si="15"/>
        <v>#DIV/0!</v>
      </c>
      <c r="G59" s="2749"/>
      <c r="H59" s="831">
        <f>项目基本情况!B37</f>
        <v>0</v>
      </c>
      <c r="I59" s="835">
        <f>SUMIF(修正!A57:A68,H59,修正!D57:D68)</f>
        <v>0</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88">
        <v>0.25</v>
      </c>
      <c r="E60" s="209">
        <f>'数据-汇总表'!E11</f>
        <v>0</v>
      </c>
      <c r="F60" s="830" t="e">
        <f t="shared" si="15"/>
        <v>#DIV/0!</v>
      </c>
      <c r="G60" s="1832" t="s">
        <v>1896</v>
      </c>
      <c r="H60" s="831">
        <f>项目基本情况!C37</f>
        <v>0</v>
      </c>
      <c r="I60" s="835">
        <f>SUMIF(修正!A57:A68,H60,修正!E57:E68)</f>
        <v>0</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88">
        <v>0.25</v>
      </c>
      <c r="E61" s="209">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88">
        <v>0.25</v>
      </c>
      <c r="E62" s="209">
        <f>'数据-汇总表'!E13</f>
        <v>1461.4599999999998</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88">
        <v>0.25</v>
      </c>
      <c r="E63" s="209">
        <f>'数据-汇总表'!E14</f>
        <v>0</v>
      </c>
      <c r="F63" s="830" t="e">
        <f t="shared" si="15"/>
        <v>#DIV/0!</v>
      </c>
      <c r="G63" s="1832" t="s">
        <v>1892</v>
      </c>
      <c r="H63" s="831">
        <f>项目基本情况!B37</f>
        <v>0</v>
      </c>
      <c r="I63" s="835">
        <f>SUMIF(修正!A57:A68,H63,修正!G57:G68)</f>
        <v>0</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88">
        <v>0.25</v>
      </c>
      <c r="E64" s="209">
        <f>'数据-汇总表'!E15</f>
        <v>0</v>
      </c>
      <c r="F64" s="830" t="e">
        <f t="shared" si="15"/>
        <v>#DIV/0!</v>
      </c>
      <c r="G64" s="1833" t="s">
        <v>1896</v>
      </c>
      <c r="H64" s="841">
        <f>项目基本情况!C37</f>
        <v>0</v>
      </c>
      <c r="I64" s="837">
        <f>SUMIF(修正!A57:A68,H64,修正!G57:G68)</f>
        <v>0</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11833.989999999994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2" customFormat="1" ht="15">
      <c r="A69" s="1627" t="s">
        <v>1904</v>
      </c>
      <c r="B69" s="1043"/>
      <c r="C69" s="1098" t="str">
        <f>YEAR(C67)&amp;"-"&amp;ROUNDUP(MONTH(C67)/3,0)</f>
        <v>2023-4</v>
      </c>
      <c r="D69" s="1098" t="str">
        <f>YEAR(D67)&amp;"-"&amp;ROUNDUP(MONTH(D67)/3,0)</f>
        <v>2023-3</v>
      </c>
      <c r="E69" s="1098" t="str">
        <f t="shared" ref="E69:O69" si="19">YEAR(E67)&amp;"-"&amp;ROUNDUP(MONTH(E67)/3,0)</f>
        <v>2023-2</v>
      </c>
      <c r="F69" s="1098" t="str">
        <f t="shared" si="19"/>
        <v>2023-1</v>
      </c>
      <c r="G69" s="1098" t="str">
        <f t="shared" si="19"/>
        <v>2022-4</v>
      </c>
      <c r="H69" s="1098" t="str">
        <f t="shared" si="19"/>
        <v>2022-3</v>
      </c>
      <c r="I69" s="1098" t="str">
        <f t="shared" si="19"/>
        <v>2022-2</v>
      </c>
      <c r="J69" s="1098" t="str">
        <f t="shared" si="19"/>
        <v>2022-1</v>
      </c>
      <c r="K69" s="1098" t="str">
        <f t="shared" si="19"/>
        <v>2021-4</v>
      </c>
      <c r="L69" s="1098" t="str">
        <f t="shared" si="19"/>
        <v>2021-3</v>
      </c>
      <c r="M69" s="1098" t="str">
        <f t="shared" si="19"/>
        <v>2021-2</v>
      </c>
      <c r="N69" s="1098" t="str">
        <f t="shared" si="19"/>
        <v>2021-1</v>
      </c>
      <c r="O69" s="1098" t="str">
        <f t="shared" si="19"/>
        <v>2020-4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6"/>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B00-000000000000}">
      <formula1>住宅朝向</formula1>
    </dataValidation>
    <dataValidation type="list" allowBlank="1" showInputMessage="1" showErrorMessage="1" sqref="E28 C28 G28 I28" xr:uid="{00000000-0002-0000-2B00-000001000000}">
      <formula1>公共配套设施</formula1>
    </dataValidation>
    <dataValidation type="list" allowBlank="1" showInputMessage="1" showErrorMessage="1" sqref="E22 C22 G22 I22" xr:uid="{00000000-0002-0000-2B00-000002000000}">
      <formula1>交通便捷度</formula1>
    </dataValidation>
    <dataValidation type="list" allowBlank="1" showInputMessage="1" showErrorMessage="1" sqref="E16 G16 I16 C16" xr:uid="{00000000-0002-0000-2B00-000003000000}">
      <formula1>居住社区成熟度</formula1>
    </dataValidation>
    <dataValidation type="list" allowBlank="1" showInputMessage="1" showErrorMessage="1" sqref="C26 E26 G26 I26" xr:uid="{00000000-0002-0000-2B00-000004000000}">
      <formula1>环境</formula1>
    </dataValidation>
    <dataValidation type="list" allowBlank="1" showInputMessage="1" showErrorMessage="1" sqref="B46" xr:uid="{00000000-0002-0000-2B00-000005000000}">
      <formula1>单价内涵</formula1>
    </dataValidation>
    <dataValidation type="list" allowBlank="1" showInputMessage="1" showErrorMessage="1" sqref="C8 E8 G8 I8" xr:uid="{00000000-0002-0000-2B00-000006000000}">
      <formula1>套综交易情况</formula1>
    </dataValidation>
    <dataValidation type="list" allowBlank="1" showInputMessage="1" showErrorMessage="1" sqref="C9 E9 G9 I9" xr:uid="{00000000-0002-0000-2B00-000007000000}">
      <formula1>套综用途</formula1>
    </dataValidation>
    <dataValidation type="list" allowBlank="1" showInputMessage="1" showErrorMessage="1" sqref="E18 C18 G18 I18" xr:uid="{00000000-0002-0000-2B00-000008000000}">
      <formula1>商业繁华度</formula1>
    </dataValidation>
    <dataValidation type="list" allowBlank="1" showInputMessage="1" showErrorMessage="1" sqref="E20 C20 G20 I20" xr:uid="{00000000-0002-0000-2B00-000009000000}">
      <formula1>办公集聚程度</formula1>
    </dataValidation>
    <dataValidation type="list" allowBlank="1" showInputMessage="1" showErrorMessage="1" sqref="C33 E33 G33 I33" xr:uid="{00000000-0002-0000-2B00-00000A000000}">
      <formula1>套综道路等级</formula1>
    </dataValidation>
    <dataValidation type="list" allowBlank="1" showInputMessage="1" showErrorMessage="1" sqref="C34 E34 G34 I34" xr:uid="{00000000-0002-0000-2B00-00000B000000}">
      <formula1>套综土地级别</formula1>
    </dataValidation>
    <dataValidation type="list" allowBlank="1" showInputMessage="1" showErrorMessage="1" sqref="C39 E39 G39 I39" xr:uid="{00000000-0002-0000-2B00-00000C000000}">
      <formula1>套综宗地形状</formula1>
    </dataValidation>
    <dataValidation type="list" allowBlank="1" showInputMessage="1" showErrorMessage="1" sqref="C40 E40 G40 I40" xr:uid="{00000000-0002-0000-2B00-00000D000000}">
      <formula1>套综临街宽度及深度</formula1>
    </dataValidation>
    <dataValidation type="list" allowBlank="1" showInputMessage="1" showErrorMessage="1" sqref="C41 E41 G41 I41" xr:uid="{00000000-0002-0000-2B00-00000E000000}">
      <formula1>套综宗地内开发程度</formula1>
    </dataValidation>
    <dataValidation type="list" allowBlank="1" showInputMessage="1" showErrorMessage="1" sqref="C42 E42 G42 I42" xr:uid="{00000000-0002-0000-2B00-00000F000000}">
      <formula1>套综工程地质条件</formula1>
    </dataValidation>
    <dataValidation type="list" allowBlank="1" showInputMessage="1" showErrorMessage="1" sqref="C31 E31 G31 I31" xr:uid="{00000000-0002-0000-2B00-000010000000}">
      <formula1>临街状况</formula1>
    </dataValidation>
    <dataValidation type="list" allowBlank="1" showInputMessage="1" showErrorMessage="1" sqref="E24 G24 I24 C24" xr:uid="{00000000-0002-0000-2B00-000011000000}">
      <formula1>区域土地利用方向</formula1>
    </dataValidation>
    <dataValidation type="list" allowBlank="1" showInputMessage="1" showErrorMessage="1" sqref="C55" xr:uid="{00000000-0002-0000-2B00-000012000000}">
      <formula1>"北京市系数,其他省市系数"</formula1>
    </dataValidation>
    <dataValidation type="list" allowBlank="1" showInputMessage="1" showErrorMessage="1" sqref="G61" xr:uid="{00000000-0002-0000-2B00-000013000000}">
      <formula1>"商业,办公,住宅,工业"</formula1>
    </dataValidation>
    <dataValidation type="list" allowBlank="1" showInputMessage="1" showErrorMessage="1" sqref="G62" xr:uid="{00000000-0002-0000-2B00-000014000000}">
      <formula1>"住宅,工业"</formula1>
    </dataValidation>
    <dataValidation type="list" allowBlank="1" showInputMessage="1" showErrorMessage="1" sqref="C30 E30 G30 I30" xr:uid="{00000000-0002-0000-2B00-000015000000}">
      <formula1>基础设施水平</formula1>
    </dataValidation>
    <dataValidation type="list" allowBlank="1" showInputMessage="1" showErrorMessage="1" sqref="A70" xr:uid="{00000000-0002-0000-2B00-000016000000}">
      <formula1>"综合,商业,办公,住宅"</formula1>
    </dataValidation>
    <dataValidation type="list" allowBlank="1" showInputMessage="1" showErrorMessage="1" sqref="D47" xr:uid="{00000000-0002-0000-2B00-000017000000}">
      <formula1>"简单平均,加权平均"</formula1>
    </dataValidation>
    <dataValidation type="list" allowBlank="1" showInputMessage="1" showErrorMessage="1" sqref="D57:D64" xr:uid="{00000000-0002-0000-2B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501"/>
      <c r="M3" s="2502"/>
      <c r="N3" s="2502"/>
      <c r="O3" s="2502"/>
      <c r="P3" s="341"/>
      <c r="Q3" s="341"/>
      <c r="R3" s="341"/>
      <c r="S3" s="341"/>
      <c r="T3" s="341"/>
      <c r="U3" s="341"/>
      <c r="V3" s="341"/>
      <c r="W3" s="341"/>
      <c r="X3" s="341"/>
      <c r="Y3" s="341"/>
      <c r="Z3" s="341"/>
      <c r="AA3" s="341"/>
      <c r="AB3" s="676"/>
      <c r="AC3" s="663"/>
    </row>
    <row r="4" spans="1:29" ht="15">
      <c r="A4" s="345" t="s">
        <v>1769</v>
      </c>
      <c r="B4" s="346"/>
      <c r="C4" s="3549" t="s">
        <v>1770</v>
      </c>
      <c r="D4" s="3550"/>
      <c r="E4" s="3551" t="s">
        <v>1771</v>
      </c>
      <c r="F4" s="3552"/>
      <c r="G4" s="3549" t="s">
        <v>1772</v>
      </c>
      <c r="H4" s="3550"/>
      <c r="I4" s="3549" t="s">
        <v>1773</v>
      </c>
      <c r="J4" s="3550"/>
      <c r="K4" s="537" t="s">
        <v>1774</v>
      </c>
      <c r="L4" s="2484"/>
      <c r="M4" s="2485"/>
      <c r="N4" s="2485"/>
      <c r="O4" s="2485"/>
      <c r="P4" s="3553" t="s">
        <v>1775</v>
      </c>
      <c r="Q4" s="3554"/>
      <c r="R4" s="3536" t="s">
        <v>1771</v>
      </c>
      <c r="S4" s="3537"/>
      <c r="T4" s="3536" t="s">
        <v>1772</v>
      </c>
      <c r="U4" s="3537"/>
      <c r="V4" s="3533" t="s">
        <v>1773</v>
      </c>
      <c r="W4" s="3533"/>
      <c r="X4" s="1262"/>
      <c r="Y4" s="3536" t="s">
        <v>1775</v>
      </c>
      <c r="Z4" s="3537"/>
      <c r="AA4" s="3530" t="s">
        <v>1771</v>
      </c>
      <c r="AB4" s="3531" t="s">
        <v>1772</v>
      </c>
      <c r="AC4" s="3530" t="s">
        <v>1773</v>
      </c>
    </row>
    <row r="5" spans="1:29" ht="15">
      <c r="A5" s="348"/>
      <c r="B5" s="349"/>
      <c r="C5" s="3542" t="s">
        <v>1673</v>
      </c>
      <c r="D5" s="3543"/>
      <c r="E5" s="3540" t="s">
        <v>1674</v>
      </c>
      <c r="F5" s="3541"/>
      <c r="G5" s="3542" t="s">
        <v>1675</v>
      </c>
      <c r="H5" s="3543"/>
      <c r="I5" s="3542" t="s">
        <v>1676</v>
      </c>
      <c r="J5" s="3543"/>
      <c r="K5" s="537"/>
      <c r="L5" s="2484"/>
      <c r="M5" s="2485"/>
      <c r="N5" s="2485"/>
      <c r="O5" s="2485"/>
      <c r="P5" s="3555"/>
      <c r="Q5" s="3556"/>
      <c r="R5" s="3538"/>
      <c r="S5" s="3539"/>
      <c r="T5" s="3538"/>
      <c r="U5" s="3539"/>
      <c r="V5" s="3533"/>
      <c r="W5" s="3533"/>
      <c r="X5" s="1262"/>
      <c r="Y5" s="3538"/>
      <c r="Z5" s="3539"/>
      <c r="AA5" s="3531"/>
      <c r="AB5" s="3531"/>
      <c r="AC5" s="3531"/>
    </row>
    <row r="6" spans="1:29" ht="15.75" thickBot="1">
      <c r="A6" s="350"/>
      <c r="B6" s="351"/>
      <c r="C6" s="3629" t="s">
        <v>1919</v>
      </c>
      <c r="D6" s="3630"/>
      <c r="E6" s="3631" t="s">
        <v>1919</v>
      </c>
      <c r="F6" s="3632"/>
      <c r="G6" s="3629" t="s">
        <v>1919</v>
      </c>
      <c r="H6" s="3630"/>
      <c r="I6" s="3629" t="s">
        <v>1919</v>
      </c>
      <c r="J6" s="3630"/>
      <c r="K6" s="537" t="s">
        <v>1678</v>
      </c>
      <c r="L6" s="2484"/>
      <c r="M6" s="2485"/>
      <c r="N6" s="2485"/>
      <c r="O6" s="2485"/>
      <c r="P6" s="3557"/>
      <c r="Q6" s="3558"/>
      <c r="R6" s="3538"/>
      <c r="S6" s="3539"/>
      <c r="T6" s="3559"/>
      <c r="U6" s="3560"/>
      <c r="V6" s="3533"/>
      <c r="W6" s="3533"/>
      <c r="X6" s="1262"/>
      <c r="Y6" s="3559"/>
      <c r="Z6" s="3560"/>
      <c r="AA6" s="3532"/>
      <c r="AB6" s="3532"/>
      <c r="AC6" s="3532"/>
    </row>
    <row r="7" spans="1:29" s="102" customFormat="1" ht="15.75" thickBot="1">
      <c r="A7" s="352" t="s">
        <v>1679</v>
      </c>
      <c r="B7" s="353"/>
      <c r="C7" s="354">
        <f>'数据-取费表'!B2</f>
        <v>45291</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534" t="s">
        <v>1680</v>
      </c>
      <c r="Q7" s="3561"/>
      <c r="R7" s="664" t="s">
        <v>14</v>
      </c>
      <c r="S7" s="665">
        <f t="shared" ref="S7:S15" si="0">F7</f>
        <v>0</v>
      </c>
      <c r="T7" s="664" t="s">
        <v>14</v>
      </c>
      <c r="U7" s="665">
        <f t="shared" ref="U7:U15" si="1">H7</f>
        <v>0</v>
      </c>
      <c r="V7" s="664" t="s">
        <v>14</v>
      </c>
      <c r="W7" s="665">
        <f t="shared" ref="W7:W15" si="2">J7</f>
        <v>0</v>
      </c>
      <c r="X7" s="666"/>
      <c r="Y7" s="3534" t="s">
        <v>1680</v>
      </c>
      <c r="Z7" s="35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534" t="s">
        <v>1683</v>
      </c>
      <c r="Q8" s="3535"/>
      <c r="R8" s="664" t="s">
        <v>14</v>
      </c>
      <c r="S8" s="665">
        <f t="shared" si="0"/>
        <v>0</v>
      </c>
      <c r="T8" s="664" t="s">
        <v>14</v>
      </c>
      <c r="U8" s="665">
        <f t="shared" si="1"/>
        <v>0</v>
      </c>
      <c r="V8" s="664" t="s">
        <v>14</v>
      </c>
      <c r="W8" s="665">
        <f t="shared" si="2"/>
        <v>0</v>
      </c>
      <c r="X8" s="666"/>
      <c r="Y8" s="3534" t="s">
        <v>1683</v>
      </c>
      <c r="Z8" s="3535"/>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571" t="s">
        <v>1686</v>
      </c>
      <c r="Q9" s="530" t="str">
        <f t="shared" ref="Q9:Q15" si="6">B9</f>
        <v>用途</v>
      </c>
      <c r="R9" s="664" t="s">
        <v>14</v>
      </c>
      <c r="S9" s="665">
        <f t="shared" si="0"/>
        <v>100</v>
      </c>
      <c r="T9" s="664" t="s">
        <v>14</v>
      </c>
      <c r="U9" s="665">
        <f t="shared" si="1"/>
        <v>100</v>
      </c>
      <c r="V9" s="664" t="s">
        <v>14</v>
      </c>
      <c r="W9" s="665">
        <f t="shared" si="2"/>
        <v>100</v>
      </c>
      <c r="X9" s="666"/>
      <c r="Y9" s="35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571"/>
      <c r="Q10" s="530" t="str">
        <f t="shared" si="6"/>
        <v>土地使用年限（年）</v>
      </c>
      <c r="R10" s="664" t="s">
        <v>14</v>
      </c>
      <c r="S10" s="665">
        <f t="shared" si="0"/>
        <v>113</v>
      </c>
      <c r="T10" s="664" t="s">
        <v>14</v>
      </c>
      <c r="U10" s="665">
        <f t="shared" si="1"/>
        <v>113</v>
      </c>
      <c r="V10" s="664" t="s">
        <v>14</v>
      </c>
      <c r="W10" s="665">
        <f t="shared" si="2"/>
        <v>113</v>
      </c>
      <c r="X10" s="666"/>
      <c r="Y10" s="3503"/>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571"/>
      <c r="Q11" s="530" t="str">
        <f t="shared" si="6"/>
        <v>容积率</v>
      </c>
      <c r="R11" s="664" t="s">
        <v>14</v>
      </c>
      <c r="S11" s="665" t="e">
        <f t="shared" si="0"/>
        <v>#N/A</v>
      </c>
      <c r="T11" s="664" t="s">
        <v>14</v>
      </c>
      <c r="U11" s="665" t="e">
        <f t="shared" si="1"/>
        <v>#N/A</v>
      </c>
      <c r="V11" s="664" t="s">
        <v>14</v>
      </c>
      <c r="W11" s="665" t="e">
        <f t="shared" si="2"/>
        <v>#N/A</v>
      </c>
      <c r="X11" s="666"/>
      <c r="Y11" s="35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571"/>
      <c r="Q12" s="530">
        <f t="shared" si="6"/>
        <v>111</v>
      </c>
      <c r="R12" s="664" t="s">
        <v>14</v>
      </c>
      <c r="S12" s="665">
        <f t="shared" si="0"/>
        <v>100</v>
      </c>
      <c r="T12" s="664" t="s">
        <v>14</v>
      </c>
      <c r="U12" s="665">
        <f t="shared" si="1"/>
        <v>100</v>
      </c>
      <c r="V12" s="664" t="s">
        <v>14</v>
      </c>
      <c r="W12" s="665">
        <f t="shared" si="2"/>
        <v>100</v>
      </c>
      <c r="X12" s="666"/>
      <c r="Y12" s="35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571"/>
      <c r="Q13" s="530">
        <f t="shared" si="6"/>
        <v>111</v>
      </c>
      <c r="R13" s="664" t="s">
        <v>14</v>
      </c>
      <c r="S13" s="665">
        <f t="shared" si="0"/>
        <v>100</v>
      </c>
      <c r="T13" s="664" t="s">
        <v>14</v>
      </c>
      <c r="U13" s="665">
        <f t="shared" si="1"/>
        <v>100</v>
      </c>
      <c r="V13" s="664" t="s">
        <v>14</v>
      </c>
      <c r="W13" s="665">
        <f t="shared" si="2"/>
        <v>100</v>
      </c>
      <c r="X13" s="666"/>
      <c r="Y13" s="3503"/>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571"/>
      <c r="Q14" s="530">
        <f t="shared" si="6"/>
        <v>111</v>
      </c>
      <c r="R14" s="664" t="s">
        <v>14</v>
      </c>
      <c r="S14" s="665">
        <f t="shared" si="0"/>
        <v>100</v>
      </c>
      <c r="T14" s="664" t="s">
        <v>14</v>
      </c>
      <c r="U14" s="665">
        <f t="shared" si="1"/>
        <v>100</v>
      </c>
      <c r="V14" s="664" t="s">
        <v>14</v>
      </c>
      <c r="W14" s="665">
        <f t="shared" si="2"/>
        <v>100</v>
      </c>
      <c r="X14" s="666"/>
      <c r="Y14" s="3503"/>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64" t="s">
        <v>1691</v>
      </c>
      <c r="Q15" s="1260" t="str">
        <f t="shared" si="6"/>
        <v>产业集聚程度</v>
      </c>
      <c r="R15" s="667" t="s">
        <v>14</v>
      </c>
      <c r="S15" s="668">
        <f t="shared" si="0"/>
        <v>100</v>
      </c>
      <c r="T15" s="667" t="s">
        <v>14</v>
      </c>
      <c r="U15" s="668">
        <f t="shared" si="1"/>
        <v>100</v>
      </c>
      <c r="V15" s="667" t="s">
        <v>14</v>
      </c>
      <c r="W15" s="668">
        <f t="shared" si="2"/>
        <v>100</v>
      </c>
      <c r="X15" s="1262"/>
      <c r="Y15" s="3564"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90"/>
      <c r="M16" s="2485"/>
      <c r="N16" s="2485"/>
      <c r="O16" s="2540"/>
      <c r="P16" s="3565"/>
      <c r="Q16" s="1260"/>
      <c r="R16" s="667"/>
      <c r="S16" s="668"/>
      <c r="T16" s="667"/>
      <c r="U16" s="668"/>
      <c r="V16" s="667"/>
      <c r="W16" s="668"/>
      <c r="X16" s="1262"/>
      <c r="Y16" s="3565"/>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65"/>
      <c r="Q17" s="1260" t="str">
        <f>B17</f>
        <v>交通便捷度</v>
      </c>
      <c r="R17" s="667" t="s">
        <v>14</v>
      </c>
      <c r="S17" s="668">
        <f>F17</f>
        <v>100</v>
      </c>
      <c r="T17" s="667" t="s">
        <v>14</v>
      </c>
      <c r="U17" s="668">
        <f>H17</f>
        <v>100</v>
      </c>
      <c r="V17" s="667" t="s">
        <v>14</v>
      </c>
      <c r="W17" s="668">
        <f>J17</f>
        <v>100</v>
      </c>
      <c r="X17" s="1262"/>
      <c r="Y17" s="3565"/>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90"/>
      <c r="M18" s="2485"/>
      <c r="N18" s="2485"/>
      <c r="O18" s="2540"/>
      <c r="P18" s="3565"/>
      <c r="Q18" s="1260"/>
      <c r="R18" s="667"/>
      <c r="S18" s="668"/>
      <c r="T18" s="667"/>
      <c r="U18" s="668"/>
      <c r="V18" s="667"/>
      <c r="W18" s="668"/>
      <c r="X18" s="1262"/>
      <c r="Y18" s="3565"/>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65"/>
      <c r="Q19" s="1260" t="str">
        <f t="shared" ref="Q19:Q33" si="8">B19</f>
        <v>区域土地利用方向</v>
      </c>
      <c r="R19" s="667" t="s">
        <v>14</v>
      </c>
      <c r="S19" s="668">
        <f>F19</f>
        <v>100</v>
      </c>
      <c r="T19" s="667" t="s">
        <v>14</v>
      </c>
      <c r="U19" s="668">
        <f>H19</f>
        <v>100</v>
      </c>
      <c r="V19" s="667" t="s">
        <v>14</v>
      </c>
      <c r="W19" s="668">
        <f>J19</f>
        <v>100</v>
      </c>
      <c r="X19" s="1262"/>
      <c r="Y19" s="3565"/>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90"/>
      <c r="M20" s="2485"/>
      <c r="N20" s="2485"/>
      <c r="O20" s="2540"/>
      <c r="P20" s="3565"/>
      <c r="Q20" s="1260"/>
      <c r="R20" s="667"/>
      <c r="S20" s="668"/>
      <c r="T20" s="667"/>
      <c r="U20" s="668"/>
      <c r="V20" s="667"/>
      <c r="W20" s="668"/>
      <c r="X20" s="1262"/>
      <c r="Y20" s="3565"/>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65"/>
      <c r="Q21" s="1260" t="str">
        <f t="shared" si="8"/>
        <v>环境状况</v>
      </c>
      <c r="R21" s="667" t="s">
        <v>14</v>
      </c>
      <c r="S21" s="668">
        <f>F21</f>
        <v>100</v>
      </c>
      <c r="T21" s="667" t="s">
        <v>14</v>
      </c>
      <c r="U21" s="668">
        <f>H21</f>
        <v>100</v>
      </c>
      <c r="V21" s="667" t="s">
        <v>14</v>
      </c>
      <c r="W21" s="668">
        <f>J21</f>
        <v>100</v>
      </c>
      <c r="X21" s="1262"/>
      <c r="Y21" s="3565"/>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90"/>
      <c r="M22" s="2485"/>
      <c r="N22" s="2485"/>
      <c r="O22" s="2540"/>
      <c r="P22" s="3565"/>
      <c r="Q22" s="1260"/>
      <c r="R22" s="667"/>
      <c r="S22" s="668"/>
      <c r="T22" s="667"/>
      <c r="U22" s="668"/>
      <c r="V22" s="667"/>
      <c r="W22" s="668"/>
      <c r="X22" s="1262"/>
      <c r="Y22" s="3565"/>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565"/>
      <c r="Q23" s="530" t="str">
        <f t="shared" si="8"/>
        <v>公共配套设施</v>
      </c>
      <c r="R23" s="664" t="s">
        <v>14</v>
      </c>
      <c r="S23" s="665">
        <f>F23</f>
        <v>100</v>
      </c>
      <c r="T23" s="664" t="s">
        <v>14</v>
      </c>
      <c r="U23" s="665">
        <f>H23</f>
        <v>100</v>
      </c>
      <c r="V23" s="664" t="s">
        <v>14</v>
      </c>
      <c r="W23" s="665">
        <f>J23</f>
        <v>100</v>
      </c>
      <c r="X23" s="666"/>
      <c r="Y23" s="3565"/>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6"/>
      <c r="M24" s="2437"/>
      <c r="N24" s="2437"/>
      <c r="O24" s="2538"/>
      <c r="P24" s="3565"/>
      <c r="Q24" s="530"/>
      <c r="R24" s="664"/>
      <c r="S24" s="665"/>
      <c r="T24" s="664"/>
      <c r="U24" s="665"/>
      <c r="V24" s="664"/>
      <c r="W24" s="665"/>
      <c r="X24" s="666"/>
      <c r="Y24" s="3565"/>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565"/>
      <c r="Q25" s="530" t="str">
        <f t="shared" ref="Q25" si="9">B25</f>
        <v>基础设施水平</v>
      </c>
      <c r="R25" s="664" t="s">
        <v>14</v>
      </c>
      <c r="S25" s="665">
        <f>F25</f>
        <v>100</v>
      </c>
      <c r="T25" s="664" t="s">
        <v>14</v>
      </c>
      <c r="U25" s="665">
        <f>H25</f>
        <v>100</v>
      </c>
      <c r="V25" s="664" t="s">
        <v>14</v>
      </c>
      <c r="W25" s="665">
        <f>J25</f>
        <v>100</v>
      </c>
      <c r="X25" s="666"/>
      <c r="Y25" s="3565"/>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6"/>
      <c r="M26" s="2437"/>
      <c r="N26" s="2437"/>
      <c r="O26" s="2538"/>
      <c r="P26" s="3565"/>
      <c r="Q26" s="530"/>
      <c r="R26" s="664"/>
      <c r="S26" s="665"/>
      <c r="T26" s="664"/>
      <c r="U26" s="665"/>
      <c r="V26" s="664"/>
      <c r="W26" s="665"/>
      <c r="X26" s="666"/>
      <c r="Y26" s="35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65"/>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565"/>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65"/>
      <c r="Q28" s="1260" t="str">
        <f t="shared" si="8"/>
        <v>毗邻道路的类型与等级</v>
      </c>
      <c r="R28" s="667" t="s">
        <v>14</v>
      </c>
      <c r="S28" s="668">
        <f t="shared" si="10"/>
        <v>100</v>
      </c>
      <c r="T28" s="667" t="s">
        <v>14</v>
      </c>
      <c r="U28" s="668">
        <f t="shared" si="11"/>
        <v>100</v>
      </c>
      <c r="V28" s="667" t="s">
        <v>14</v>
      </c>
      <c r="W28" s="668">
        <f t="shared" si="12"/>
        <v>100</v>
      </c>
      <c r="X28" s="1262"/>
      <c r="Y28" s="3565"/>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90"/>
      <c r="M29" s="2485"/>
      <c r="N29" s="2485"/>
      <c r="O29" s="2540"/>
      <c r="P29" s="3565"/>
      <c r="Q29" s="1260"/>
      <c r="R29" s="667"/>
      <c r="S29" s="668"/>
      <c r="T29" s="667"/>
      <c r="U29" s="668"/>
      <c r="V29" s="667"/>
      <c r="W29" s="668"/>
      <c r="X29" s="1262"/>
      <c r="Y29" s="3565"/>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65"/>
      <c r="Q30" s="1260" t="str">
        <f t="shared" si="8"/>
        <v>土地级别</v>
      </c>
      <c r="R30" s="667" t="s">
        <v>14</v>
      </c>
      <c r="S30" s="668">
        <f t="shared" si="10"/>
        <v>100</v>
      </c>
      <c r="T30" s="667" t="s">
        <v>14</v>
      </c>
      <c r="U30" s="668">
        <f t="shared" si="11"/>
        <v>100</v>
      </c>
      <c r="V30" s="667" t="s">
        <v>14</v>
      </c>
      <c r="W30" s="668">
        <f t="shared" si="12"/>
        <v>100</v>
      </c>
      <c r="X30" s="1262"/>
      <c r="Y30" s="3565"/>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65"/>
      <c r="Q31" s="1260">
        <f t="shared" si="8"/>
        <v>111</v>
      </c>
      <c r="R31" s="667" t="s">
        <v>14</v>
      </c>
      <c r="S31" s="668">
        <f t="shared" si="10"/>
        <v>100</v>
      </c>
      <c r="T31" s="667" t="s">
        <v>14</v>
      </c>
      <c r="U31" s="668">
        <f t="shared" si="11"/>
        <v>100</v>
      </c>
      <c r="V31" s="667" t="s">
        <v>14</v>
      </c>
      <c r="W31" s="668">
        <f t="shared" si="12"/>
        <v>100</v>
      </c>
      <c r="X31" s="1262"/>
      <c r="Y31" s="3565"/>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624" t="s">
        <v>1696</v>
      </c>
      <c r="Q32" s="1260">
        <f t="shared" si="8"/>
        <v>111</v>
      </c>
      <c r="R32" s="667" t="s">
        <v>14</v>
      </c>
      <c r="S32" s="668">
        <f t="shared" si="10"/>
        <v>100</v>
      </c>
      <c r="T32" s="667" t="s">
        <v>14</v>
      </c>
      <c r="U32" s="668">
        <f t="shared" si="11"/>
        <v>100</v>
      </c>
      <c r="V32" s="667" t="s">
        <v>14</v>
      </c>
      <c r="W32" s="668">
        <f t="shared" si="12"/>
        <v>100</v>
      </c>
      <c r="X32" s="1262"/>
      <c r="Y32" s="3569"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69"/>
      <c r="Q33" s="1260">
        <f t="shared" si="8"/>
        <v>111</v>
      </c>
      <c r="R33" s="669" t="s">
        <v>14</v>
      </c>
      <c r="S33" s="670">
        <f t="shared" si="10"/>
        <v>100</v>
      </c>
      <c r="T33" s="669" t="s">
        <v>14</v>
      </c>
      <c r="U33" s="670">
        <f t="shared" si="11"/>
        <v>100</v>
      </c>
      <c r="V33" s="669" t="s">
        <v>14</v>
      </c>
      <c r="W33" s="670">
        <f t="shared" si="12"/>
        <v>100</v>
      </c>
      <c r="X33" s="671"/>
      <c r="Y33" s="3569"/>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69"/>
      <c r="Q34" s="1260" t="str">
        <f>B34</f>
        <v>宗地面积</v>
      </c>
      <c r="R34" s="667" t="s">
        <v>14</v>
      </c>
      <c r="S34" s="668" t="e">
        <f t="shared" si="10"/>
        <v>#N/A</v>
      </c>
      <c r="T34" s="667" t="s">
        <v>14</v>
      </c>
      <c r="U34" s="668" t="e">
        <f t="shared" si="11"/>
        <v>#N/A</v>
      </c>
      <c r="V34" s="667" t="s">
        <v>14</v>
      </c>
      <c r="W34" s="668" t="e">
        <f t="shared" si="12"/>
        <v>#N/A</v>
      </c>
      <c r="X34" s="1262"/>
      <c r="Y34" s="3569"/>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90"/>
      <c r="M35" s="2485"/>
      <c r="N35" s="2485"/>
      <c r="O35" s="2540"/>
      <c r="P35" s="3569"/>
      <c r="Q35" s="1260" t="str">
        <f t="shared" ref="Q35:Q40" si="14">B35</f>
        <v>宗地形状</v>
      </c>
      <c r="R35" s="667" t="s">
        <v>14</v>
      </c>
      <c r="S35" s="668">
        <f t="shared" si="10"/>
        <v>100</v>
      </c>
      <c r="T35" s="667" t="s">
        <v>14</v>
      </c>
      <c r="U35" s="668">
        <f t="shared" si="11"/>
        <v>100</v>
      </c>
      <c r="V35" s="667" t="s">
        <v>14</v>
      </c>
      <c r="W35" s="668">
        <f t="shared" si="12"/>
        <v>100</v>
      </c>
      <c r="X35" s="1262"/>
      <c r="Y35" s="3569"/>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569"/>
      <c r="Q36" s="1260" t="str">
        <f t="shared" si="14"/>
        <v>宗地开发程度</v>
      </c>
      <c r="R36" s="664" t="s">
        <v>14</v>
      </c>
      <c r="S36" s="665">
        <f t="shared" si="10"/>
        <v>100</v>
      </c>
      <c r="T36" s="664" t="s">
        <v>14</v>
      </c>
      <c r="U36" s="665">
        <f t="shared" si="11"/>
        <v>100</v>
      </c>
      <c r="V36" s="664" t="s">
        <v>14</v>
      </c>
      <c r="W36" s="665">
        <f t="shared" si="12"/>
        <v>100</v>
      </c>
      <c r="X36" s="666"/>
      <c r="Y36" s="3569"/>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90"/>
      <c r="M37" s="2485"/>
      <c r="N37" s="2485"/>
      <c r="O37" s="2540"/>
      <c r="P37" s="3569" t="s">
        <v>1696</v>
      </c>
      <c r="Q37" s="1260" t="str">
        <f t="shared" si="14"/>
        <v>工程地质条件</v>
      </c>
      <c r="R37" s="667" t="s">
        <v>14</v>
      </c>
      <c r="S37" s="668">
        <f t="shared" si="10"/>
        <v>100</v>
      </c>
      <c r="T37" s="667" t="s">
        <v>14</v>
      </c>
      <c r="U37" s="668">
        <f t="shared" si="11"/>
        <v>100</v>
      </c>
      <c r="V37" s="667" t="s">
        <v>14</v>
      </c>
      <c r="W37" s="668">
        <f t="shared" si="12"/>
        <v>100</v>
      </c>
      <c r="X37" s="1262"/>
      <c r="Y37" s="3569"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69"/>
      <c r="Q38" s="1260">
        <f t="shared" si="14"/>
        <v>111</v>
      </c>
      <c r="R38" s="667" t="s">
        <v>14</v>
      </c>
      <c r="S38" s="668">
        <f t="shared" si="10"/>
        <v>100</v>
      </c>
      <c r="T38" s="667" t="s">
        <v>14</v>
      </c>
      <c r="U38" s="668">
        <f t="shared" si="11"/>
        <v>100</v>
      </c>
      <c r="V38" s="667" t="s">
        <v>14</v>
      </c>
      <c r="W38" s="668">
        <f t="shared" si="12"/>
        <v>100</v>
      </c>
      <c r="X38" s="1262"/>
      <c r="Y38" s="3569"/>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69"/>
      <c r="Q39" s="1260">
        <f t="shared" si="14"/>
        <v>111</v>
      </c>
      <c r="R39" s="667" t="s">
        <v>14</v>
      </c>
      <c r="S39" s="668">
        <f t="shared" si="10"/>
        <v>100</v>
      </c>
      <c r="T39" s="667" t="s">
        <v>14</v>
      </c>
      <c r="U39" s="668">
        <f t="shared" si="11"/>
        <v>100</v>
      </c>
      <c r="V39" s="667" t="s">
        <v>14</v>
      </c>
      <c r="W39" s="668">
        <f t="shared" si="12"/>
        <v>100</v>
      </c>
      <c r="X39" s="1262"/>
      <c r="Y39" s="3569"/>
      <c r="Z39" s="1261">
        <f t="shared" si="13"/>
        <v>111</v>
      </c>
      <c r="AA39" s="1261">
        <f t="shared" si="3"/>
        <v>1</v>
      </c>
      <c r="AB39" s="1261">
        <f t="shared" si="4"/>
        <v>1</v>
      </c>
      <c r="AC39" s="1261">
        <f t="shared" si="5"/>
        <v>1</v>
      </c>
    </row>
    <row r="40" spans="1:31" s="408" customFormat="1" ht="15.75"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69"/>
      <c r="Q40" s="1260">
        <f t="shared" si="14"/>
        <v>111</v>
      </c>
      <c r="R40" s="669" t="s">
        <v>14</v>
      </c>
      <c r="S40" s="670">
        <f t="shared" si="10"/>
        <v>100</v>
      </c>
      <c r="T40" s="669" t="s">
        <v>14</v>
      </c>
      <c r="U40" s="670">
        <f t="shared" si="11"/>
        <v>100</v>
      </c>
      <c r="V40" s="669" t="s">
        <v>14</v>
      </c>
      <c r="W40" s="670">
        <f t="shared" si="12"/>
        <v>100</v>
      </c>
      <c r="X40" s="671"/>
      <c r="Y40" s="3569"/>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92"/>
      <c r="M41" s="2485"/>
      <c r="N41" s="2485"/>
      <c r="O41" s="2485"/>
      <c r="P41" s="3571" t="str">
        <f>A41</f>
        <v>成交单价</v>
      </c>
      <c r="Q41" s="3571"/>
      <c r="R41" s="3533">
        <f>E41</f>
        <v>0</v>
      </c>
      <c r="S41" s="3533"/>
      <c r="T41" s="3533">
        <f>G41</f>
        <v>0</v>
      </c>
      <c r="U41" s="3533"/>
      <c r="V41" s="3533">
        <f>I41</f>
        <v>0</v>
      </c>
      <c r="W41" s="3533"/>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571" t="str">
        <f>A42</f>
        <v>比较价值（元/平方米）</v>
      </c>
      <c r="Q42" s="3571"/>
      <c r="R42" s="3626" t="e">
        <f>ROUND(PRODUCT(R41,AA7:AA40),0)</f>
        <v>#DIV/0!</v>
      </c>
      <c r="S42" s="3626"/>
      <c r="T42" s="3626" t="e">
        <f>ROUND(PRODUCT(T41,AB7:AB40),0)</f>
        <v>#DIV/0!</v>
      </c>
      <c r="U42" s="3626"/>
      <c r="V42" s="3626" t="e">
        <f>ROUND(PRODUCT(V41,AC7:AC40),0)</f>
        <v>#DIV/0!</v>
      </c>
      <c r="W42" s="36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572" t="str">
        <f>A43</f>
        <v>估价对象XX用房的比较价值（楼面单价，元/平方米）</v>
      </c>
      <c r="Q43" s="3573"/>
      <c r="R43" s="3627" t="e">
        <f>ROUND(IF(D42="简单平均",AVERAGE(R42:W42),R42*F42+T42*H42+V42*J42),0)</f>
        <v>#DIV/0!</v>
      </c>
      <c r="S43" s="3627"/>
      <c r="T43" s="3627"/>
      <c r="U43" s="3627"/>
      <c r="V43" s="3627"/>
      <c r="W43" s="362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549" t="s">
        <v>1887</v>
      </c>
      <c r="H50" s="3628"/>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7">
        <v>1</v>
      </c>
      <c r="E51" s="610">
        <f>'数据-汇总表'!E8+'数据-汇总表'!E9</f>
        <v>10372.529999999995</v>
      </c>
      <c r="F51" s="611" t="e">
        <f t="shared" ref="F51:F60" si="15">ROUND(B51*E51/10000,0)</f>
        <v>#DIV/0!</v>
      </c>
      <c r="G51" s="3548"/>
      <c r="H51" s="3571"/>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88">
        <v>0.25</v>
      </c>
      <c r="E52" s="614"/>
      <c r="F52" s="611" t="e">
        <f t="shared" si="15"/>
        <v>#DIV/0!</v>
      </c>
      <c r="G52" s="2748" t="s">
        <v>1892</v>
      </c>
      <c r="H52" s="831">
        <f>项目基本情况!B37</f>
        <v>0</v>
      </c>
      <c r="I52" s="724">
        <f>SUMIF(修正!A57:A68,H52,修正!B57:B68)</f>
        <v>0</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88">
        <v>0.25</v>
      </c>
      <c r="E53" s="614"/>
      <c r="F53" s="611" t="e">
        <f t="shared" si="15"/>
        <v>#DIV/0!</v>
      </c>
      <c r="G53" s="2749"/>
      <c r="H53" s="831">
        <f>项目基本情况!B37</f>
        <v>0</v>
      </c>
      <c r="I53" s="724">
        <f>SUMIF(修正!A57:A68,H53,修正!C57:C68)</f>
        <v>0</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88">
        <v>0.25</v>
      </c>
      <c r="E54" s="614"/>
      <c r="F54" s="611" t="e">
        <f t="shared" si="15"/>
        <v>#DIV/0!</v>
      </c>
      <c r="G54" s="2749"/>
      <c r="H54" s="831">
        <f>项目基本情况!B37</f>
        <v>0</v>
      </c>
      <c r="I54" s="724">
        <f>SUMIF(修正!A57:A68,H54,修正!D57:D68)</f>
        <v>0</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8"/>
      <c r="E55" s="614"/>
      <c r="F55" s="611"/>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88">
        <v>0.25</v>
      </c>
      <c r="E56" s="209">
        <f>'数据-汇总表'!E11</f>
        <v>0</v>
      </c>
      <c r="F56" s="611" t="e">
        <f t="shared" si="15"/>
        <v>#DIV/0!</v>
      </c>
      <c r="G56" s="1832" t="s">
        <v>1896</v>
      </c>
      <c r="H56" s="831">
        <f>项目基本情况!C37</f>
        <v>0</v>
      </c>
      <c r="I56" s="724">
        <f>SUMIF(修正!A57:A68,H56,修正!E57:E68)</f>
        <v>0</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88">
        <v>0.25</v>
      </c>
      <c r="E57" s="209">
        <f>'数据-汇总表'!E12</f>
        <v>0</v>
      </c>
      <c r="F57" s="611" t="e">
        <f t="shared" si="15"/>
        <v>#DIV/0!</v>
      </c>
      <c r="G57" s="836" t="s">
        <v>1898</v>
      </c>
      <c r="H57" s="831">
        <f>IF(G57="商业",项目基本情况!B37,IF(G57="办公",项目基本情况!C37,IF(G57="住宅",项目基本情况!D37,项目基本情况!E37)))</f>
        <v>0</v>
      </c>
      <c r="I57" s="724">
        <f>SUMIF(修正!A57:A68,H57,修正!F57:F68)</f>
        <v>0</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8">
        <v>0.25</v>
      </c>
      <c r="E58" s="209">
        <f>'数据-汇总表'!E13</f>
        <v>1461.4599999999998</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88">
        <v>0.25</v>
      </c>
      <c r="E59" s="209">
        <f>'数据-汇总表'!E14</f>
        <v>0</v>
      </c>
      <c r="F59" s="611" t="e">
        <f t="shared" si="15"/>
        <v>#DIV/0!</v>
      </c>
      <c r="G59" s="1832" t="s">
        <v>1892</v>
      </c>
      <c r="H59" s="831">
        <f>项目基本情况!B37</f>
        <v>0</v>
      </c>
      <c r="I59" s="724">
        <f>SUMIF(修正!A57:A68,H59,修正!G57:G68)</f>
        <v>0</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88">
        <v>0.25</v>
      </c>
      <c r="E60" s="209">
        <f>'数据-汇总表'!E15</f>
        <v>0</v>
      </c>
      <c r="F60" s="611" t="e">
        <f t="shared" si="15"/>
        <v>#DIV/0!</v>
      </c>
      <c r="G60" s="1833" t="s">
        <v>1896</v>
      </c>
      <c r="H60" s="841">
        <f>项目基本情况!C37</f>
        <v>0</v>
      </c>
      <c r="I60" s="724">
        <f>SUMIF(修正!A57:A68,H60,修正!G57:G68)</f>
        <v>0</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3457.51</v>
      </c>
      <c r="F61" s="617"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6" t="str">
        <f>YEAR(C7)&amp;"-"&amp;MONTH(C7)&amp;"-1"</f>
        <v>2023-12-1</v>
      </c>
      <c r="D63" s="656">
        <f>EDATE(C63,-3)</f>
        <v>45170</v>
      </c>
      <c r="E63" s="656">
        <f>EDATE(D63,-3)</f>
        <v>45078</v>
      </c>
      <c r="F63" s="656">
        <f t="shared" ref="F63:O63" si="18">EDATE(E63,-3)</f>
        <v>44986</v>
      </c>
      <c r="G63" s="656">
        <f t="shared" si="18"/>
        <v>44896</v>
      </c>
      <c r="H63" s="656">
        <f t="shared" si="18"/>
        <v>44805</v>
      </c>
      <c r="I63" s="656">
        <f t="shared" si="18"/>
        <v>44713</v>
      </c>
      <c r="J63" s="656">
        <f t="shared" si="18"/>
        <v>44621</v>
      </c>
      <c r="K63" s="656">
        <f t="shared" si="18"/>
        <v>44531</v>
      </c>
      <c r="L63" s="656">
        <f t="shared" si="18"/>
        <v>44440</v>
      </c>
      <c r="M63" s="656">
        <f t="shared" si="18"/>
        <v>44348</v>
      </c>
      <c r="N63" s="656">
        <f t="shared" si="18"/>
        <v>44256</v>
      </c>
      <c r="O63" s="656">
        <f t="shared" si="18"/>
        <v>44166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3"/>
      <c r="P64" s="2535"/>
      <c r="Q64" s="2506"/>
      <c r="R64" s="2485"/>
      <c r="S64" s="2485"/>
      <c r="T64" s="2485"/>
      <c r="U64" s="2485"/>
      <c r="V64" s="2485"/>
      <c r="W64" s="2485"/>
      <c r="X64" s="2485"/>
      <c r="Y64" s="2485"/>
      <c r="Z64" s="2485"/>
      <c r="AA64" s="2485"/>
      <c r="AB64" s="2485"/>
      <c r="AC64" s="2485"/>
      <c r="AD64" s="2485"/>
      <c r="AE64" s="2485"/>
    </row>
    <row r="65" spans="1:31" s="442" customFormat="1" ht="15">
      <c r="A65" s="1627" t="s">
        <v>1904</v>
      </c>
      <c r="B65" s="1043"/>
      <c r="C65" s="1098" t="str">
        <f>YEAR(C63)&amp;"-"&amp;ROUNDUP(MONTH(C63)/3,0)</f>
        <v>2023-4</v>
      </c>
      <c r="D65" s="1098" t="str">
        <f t="shared" ref="D65:O65" si="19">YEAR(D63)&amp;"-"&amp;ROUNDUP(MONTH(D63)/3,0)</f>
        <v>2023-3</v>
      </c>
      <c r="E65" s="1098" t="str">
        <f t="shared" si="19"/>
        <v>2023-2</v>
      </c>
      <c r="F65" s="1098" t="str">
        <f t="shared" si="19"/>
        <v>2023-1</v>
      </c>
      <c r="G65" s="1098" t="str">
        <f t="shared" si="19"/>
        <v>2022-4</v>
      </c>
      <c r="H65" s="1098" t="str">
        <f t="shared" si="19"/>
        <v>2022-3</v>
      </c>
      <c r="I65" s="1098" t="str">
        <f t="shared" si="19"/>
        <v>2022-2</v>
      </c>
      <c r="J65" s="1098" t="str">
        <f t="shared" si="19"/>
        <v>2022-1</v>
      </c>
      <c r="K65" s="1098" t="str">
        <f t="shared" si="19"/>
        <v>2021-4</v>
      </c>
      <c r="L65" s="1098" t="str">
        <f t="shared" si="19"/>
        <v>2021-3</v>
      </c>
      <c r="M65" s="1098" t="str">
        <f t="shared" si="19"/>
        <v>2021-2</v>
      </c>
      <c r="N65" s="1098" t="str">
        <f t="shared" si="19"/>
        <v>2021-1</v>
      </c>
      <c r="O65" s="1098" t="str">
        <f t="shared" si="19"/>
        <v>2020-4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C00-000000000000}">
      <formula1>单价内涵</formula1>
    </dataValidation>
    <dataValidation type="list" allowBlank="1" showInputMessage="1" showErrorMessage="1" sqref="C22 E22 G22 I22" xr:uid="{00000000-0002-0000-2C00-000001000000}">
      <formula1>环境</formula1>
    </dataValidation>
    <dataValidation type="list" allowBlank="1" showInputMessage="1" showErrorMessage="1" sqref="E18 C18 G18 I18" xr:uid="{00000000-0002-0000-2C00-000002000000}">
      <formula1>交通便捷度</formula1>
    </dataValidation>
    <dataValidation type="list" allowBlank="1" showInputMessage="1" showErrorMessage="1" sqref="E24 C24 G24 I24" xr:uid="{00000000-0002-0000-2C00-000003000000}">
      <formula1>公共配套设施</formula1>
    </dataValidation>
    <dataValidation type="list" allowBlank="1" showInputMessage="1" showErrorMessage="1" sqref="C8 E8 G8 I8" xr:uid="{00000000-0002-0000-2C00-000004000000}">
      <formula1>套工交易情况</formula1>
    </dataValidation>
    <dataValidation type="list" allowBlank="1" showInputMessage="1" showErrorMessage="1" sqref="C9 E9 G9 I9" xr:uid="{00000000-0002-0000-2C00-000005000000}">
      <formula1>套工用途</formula1>
    </dataValidation>
    <dataValidation type="list" allowBlank="1" showInputMessage="1" showErrorMessage="1" sqref="I30 E30 G30" xr:uid="{00000000-0002-0000-2C00-000006000000}">
      <formula1>套工土地级别</formula1>
    </dataValidation>
    <dataValidation type="list" allowBlank="1" showInputMessage="1" showErrorMessage="1" sqref="C27 E27 G27 I27" xr:uid="{00000000-0002-0000-2C00-000007000000}">
      <formula1>临街状况</formula1>
    </dataValidation>
    <dataValidation type="list" allowBlank="1" showInputMessage="1" showErrorMessage="1" sqref="E20 G20 I20 C20" xr:uid="{00000000-0002-0000-2C00-000008000000}">
      <formula1>区域土地利用方向</formula1>
    </dataValidation>
    <dataValidation type="list" allowBlank="1" showInputMessage="1" showErrorMessage="1" sqref="C50" xr:uid="{00000000-0002-0000-2C00-000009000000}">
      <formula1>"北京市系数,其他省市系数"</formula1>
    </dataValidation>
    <dataValidation type="list" allowBlank="1" showInputMessage="1" showErrorMessage="1" sqref="C16 E16 G16 I16" xr:uid="{00000000-0002-0000-2C00-00000A000000}">
      <formula1>产业集聚程度</formula1>
    </dataValidation>
    <dataValidation type="list" allowBlank="1" showInputMessage="1" showErrorMessage="1" sqref="C29 E29 G29 I29" xr:uid="{00000000-0002-0000-2C00-00000B000000}">
      <formula1>套工道路等级</formula1>
    </dataValidation>
    <dataValidation type="list" allowBlank="1" showInputMessage="1" showErrorMessage="1" sqref="C35 E35 G35 I35" xr:uid="{00000000-0002-0000-2C00-00000C000000}">
      <formula1>套工宗地形状</formula1>
    </dataValidation>
    <dataValidation type="list" allowBlank="1" showInputMessage="1" showErrorMessage="1" sqref="C36 E36 G36 I36" xr:uid="{00000000-0002-0000-2C00-00000D000000}">
      <formula1>套工宗地开发程度</formula1>
    </dataValidation>
    <dataValidation type="list" allowBlank="1" showInputMessage="1" showErrorMessage="1" sqref="C37 E37 G37 I37" xr:uid="{00000000-0002-0000-2C00-00000E000000}">
      <formula1>套工地质条件</formula1>
    </dataValidation>
    <dataValidation type="list" allowBlank="1" showInputMessage="1" showErrorMessage="1" sqref="G58" xr:uid="{00000000-0002-0000-2C00-00000F000000}">
      <formula1>"住宅,工业"</formula1>
    </dataValidation>
    <dataValidation type="list" allowBlank="1" showInputMessage="1" showErrorMessage="1" sqref="G57" xr:uid="{00000000-0002-0000-2C00-000010000000}">
      <formula1>"商业,办公,住宅,工业"</formula1>
    </dataValidation>
    <dataValidation type="list" allowBlank="1" showInputMessage="1" showErrorMessage="1" sqref="D52:D60" xr:uid="{00000000-0002-0000-2C00-000011000000}">
      <formula1>"25%,1"</formula1>
    </dataValidation>
    <dataValidation type="list" allowBlank="1" showInputMessage="1" showErrorMessage="1" sqref="C26 E26 G26 I26" xr:uid="{00000000-0002-0000-2C00-000012000000}">
      <formula1>基础设施水平</formula1>
    </dataValidation>
    <dataValidation type="list" allowBlank="1" showInputMessage="1" showErrorMessage="1" sqref="D42" xr:uid="{00000000-0002-0000-2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636" t="s">
        <v>2084</v>
      </c>
      <c r="D1" s="3637"/>
      <c r="E1" s="3637"/>
      <c r="F1" s="3637"/>
      <c r="G1" s="3637"/>
      <c r="H1" s="3637"/>
      <c r="I1" s="3637"/>
      <c r="J1" s="3637"/>
      <c r="K1" s="3637"/>
      <c r="L1" s="3637"/>
      <c r="M1" s="3637"/>
      <c r="N1" s="3637"/>
      <c r="O1" s="3637"/>
      <c r="P1" s="3637"/>
      <c r="Q1" s="3637"/>
      <c r="R1" s="3637"/>
      <c r="S1" s="3638"/>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33" t="s">
        <v>27</v>
      </c>
      <c r="D22" s="3634"/>
      <c r="E22" s="3634"/>
      <c r="F22" s="3634"/>
      <c r="G22" s="3634"/>
      <c r="H22" s="3634"/>
      <c r="I22" s="3634"/>
      <c r="J22" s="3634"/>
      <c r="K22" s="3634"/>
      <c r="L22" s="3634"/>
      <c r="M22" s="3634"/>
      <c r="N22" s="3634"/>
      <c r="O22" s="3634"/>
      <c r="P22" s="3634"/>
      <c r="Q22" s="36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t="e">
        <f>C30</f>
        <v>#DIV/0!</v>
      </c>
      <c r="C2" s="1843"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5" t="s">
        <v>1940</v>
      </c>
      <c r="B3" s="196" t="e">
        <f>ROUND(B2*10000/D1,0)</f>
        <v>#DIV/0!</v>
      </c>
      <c r="C3" s="1843" t="s">
        <v>1941</v>
      </c>
      <c r="D3" s="162" t="s">
        <v>1942</v>
      </c>
      <c r="E3" s="3115"/>
      <c r="F3" s="1845"/>
      <c r="G3" s="705">
        <f>IF(F3="宗地容积率",'数据-汇总表'!I4,IF(F3="估价对象容积率",'数据-汇总表'!I6,'数据-汇总表'!I7))</f>
        <v>0</v>
      </c>
      <c r="H3" s="162" t="s">
        <v>1943</v>
      </c>
      <c r="I3" s="726"/>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646"/>
      <c r="B4" s="3647"/>
      <c r="C4" s="3647"/>
      <c r="D4" s="3648"/>
      <c r="E4" s="3648"/>
      <c r="F4" s="3648"/>
      <c r="G4" s="3648"/>
      <c r="H4" s="3648"/>
      <c r="I4" s="3648"/>
      <c r="J4" s="3649"/>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t="e">
        <f>ROUND(IF(E2="商业",C6*C7*C17+C20,(IF(E2="住宅",C6*C13*C17+C20,IF(E2="办公",C6*C12*C17+C20,C6+C20)))),0)</f>
        <v>#DIV/0!</v>
      </c>
      <c r="D5" s="1249" t="e">
        <f>ROUND(C6*C17+C20,0)</f>
        <v>#DIV/0!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3244</v>
      </c>
      <c r="B7" s="1862" t="s">
        <v>1952</v>
      </c>
      <c r="C7" s="708" t="e">
        <f>IF(C8="不临65条商业街",1,ROUND(1+(1.6*E8+1.2*E9+0.8*E10+0.4*E11)*C9,4))</f>
        <v>#DIV/0!</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c r="T7" s="3061" t="e">
        <f t="shared" si="0"/>
        <v>#DIV/0!</v>
      </c>
      <c r="U7" s="1127"/>
      <c r="V7" s="3061" t="e">
        <f t="shared" si="1"/>
        <v>#DIV/0!</v>
      </c>
      <c r="W7" s="1264" t="s">
        <v>1955</v>
      </c>
      <c r="X7" s="1128">
        <f>G2</f>
        <v>0</v>
      </c>
      <c r="Y7" s="1128" t="s">
        <v>1956</v>
      </c>
      <c r="Z7" s="1129">
        <f>G3</f>
        <v>0</v>
      </c>
      <c r="AA7" s="1130"/>
      <c r="AB7" s="1130"/>
      <c r="AC7" s="1131"/>
      <c r="AD7" s="1132"/>
      <c r="AE7" s="1132"/>
      <c r="AF7" s="1132"/>
      <c r="AG7" s="1132"/>
      <c r="AH7" s="1132"/>
      <c r="AI7" s="1132"/>
      <c r="AJ7" s="1133"/>
    </row>
    <row r="8" spans="1:36" ht="15">
      <c r="A8" s="3007"/>
      <c r="B8" s="162" t="s">
        <v>1957</v>
      </c>
      <c r="C8" s="1867"/>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t="e">
        <f t="shared" si="0"/>
        <v>#DIV/0!</v>
      </c>
      <c r="U8" s="1127"/>
      <c r="V8" s="3061" t="e">
        <f t="shared" si="1"/>
        <v>#DIV/0!</v>
      </c>
      <c r="W8" s="3643" t="s">
        <v>1960</v>
      </c>
      <c r="X8" s="364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t="e">
        <f t="shared" si="0"/>
        <v>#DIV/0!</v>
      </c>
      <c r="U9" s="1127"/>
      <c r="V9" s="3061" t="e">
        <f t="shared" si="1"/>
        <v>#DIV/0!</v>
      </c>
      <c r="W9" s="3645"/>
      <c r="X9" s="3062" t="s">
        <v>3275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t="e">
        <f t="shared" si="0"/>
        <v>#DIV/0!</v>
      </c>
      <c r="U10" s="1127"/>
      <c r="V10" s="3061" t="e">
        <f t="shared" si="1"/>
        <v>#DIV/0!</v>
      </c>
      <c r="W10" s="364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3245</v>
      </c>
      <c r="B12" s="3011" t="s">
        <v>3246</v>
      </c>
      <c r="C12" s="3012"/>
      <c r="D12" s="3013" t="s">
        <v>3247</v>
      </c>
      <c r="E12" s="3014" t="s">
        <v>3248</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3249</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3250</v>
      </c>
      <c r="G14" s="3018" t="s">
        <v>3250</v>
      </c>
      <c r="H14" s="3018" t="s">
        <v>3250</v>
      </c>
      <c r="I14" s="3018" t="s">
        <v>3250</v>
      </c>
      <c r="J14" s="3018" t="s">
        <v>3250</v>
      </c>
      <c r="K14" s="1053"/>
      <c r="L14" s="1053"/>
      <c r="M14" s="1053"/>
      <c r="N14" s="1053"/>
      <c r="O14" s="1053"/>
      <c r="P14" s="1053"/>
      <c r="Q14" s="1053"/>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3251</v>
      </c>
      <c r="G15" s="1925"/>
      <c r="H15" s="3019"/>
      <c r="I15" s="3020"/>
      <c r="J15" s="3021"/>
      <c r="K15" s="1053"/>
      <c r="L15" s="1053"/>
      <c r="M15" s="1053"/>
      <c r="N15" s="1053"/>
      <c r="O15" s="1053"/>
      <c r="P15" s="1053"/>
      <c r="Q15" s="1053"/>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3252</v>
      </c>
      <c r="B17" s="3025" t="s">
        <v>3253</v>
      </c>
      <c r="C17" s="3034">
        <f>ROUND(IF(OR(E2="工业",E2="公共服务"),1,IF(AND(E18=0,E19=0),1,IF(AND(E18=J24,E19=G19),0.8,IF(E19=0,1+E17*(-0.2),1+E17*G17*(-0.2))))),4)</f>
        <v>1</v>
      </c>
      <c r="D17" s="3026" t="s">
        <v>3254</v>
      </c>
      <c r="E17" s="3034" t="e">
        <f>ROUND(G18/I18,2)</f>
        <v>#DIV/0!</v>
      </c>
      <c r="F17" s="3026" t="s">
        <v>3257</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3255</v>
      </c>
      <c r="E18" s="2354"/>
      <c r="F18" s="3028" t="s">
        <v>3258</v>
      </c>
      <c r="G18" s="3032">
        <f>ROUND(1-(1/(POWER(1+G24,E18))),4)</f>
        <v>0</v>
      </c>
      <c r="H18" s="3028" t="s">
        <v>3260</v>
      </c>
      <c r="I18" s="3032">
        <f>ROUND(1-(1/(POWER(1+G24,J24))),4)</f>
        <v>0</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3256</v>
      </c>
      <c r="E19" s="3041"/>
      <c r="F19" s="3042" t="s">
        <v>3259</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1"/>
      <c r="AJ19" s="561"/>
      <c r="AK19" s="1896"/>
    </row>
    <row r="20" spans="1:37" s="1855" customFormat="1" ht="14.25">
      <c r="A20" s="3650" t="s">
        <v>3261</v>
      </c>
      <c r="B20" s="159" t="s">
        <v>1994</v>
      </c>
      <c r="C20" s="3029" t="e">
        <f>ROUND(IF(F21="与级别开发程度一致",0,(G21-E21)/C21),0)</f>
        <v>#DIV/0!</v>
      </c>
      <c r="D20" s="3044" t="s">
        <v>1998</v>
      </c>
      <c r="E20" s="3045"/>
      <c r="F20" s="3656" t="s">
        <v>1995</v>
      </c>
      <c r="G20" s="3657"/>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15" thickBot="1">
      <c r="A21" s="3651"/>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3" t="s">
        <v>2002</v>
      </c>
      <c r="E23" s="714">
        <v>44197</v>
      </c>
      <c r="F23" s="1893" t="s">
        <v>2003</v>
      </c>
      <c r="G23" s="715">
        <f>'数据-取费表'!B2</f>
        <v>45291</v>
      </c>
      <c r="H23" s="3046" t="s">
        <v>3263</v>
      </c>
      <c r="I23" s="3047" t="str">
        <f>IF(H23="季度增幅（自定义）",SUMIF(N25:N28,E2,O25:O28),"")</f>
        <v/>
      </c>
      <c r="J23" s="3138" t="s">
        <v>3262</v>
      </c>
      <c r="K23" s="1058"/>
      <c r="L23" s="1894" t="s">
        <v>2004</v>
      </c>
      <c r="M23" s="1238">
        <f>ROUND(SUMIF(地价!B2:G2,E2,地价!B16:G16),0)</f>
        <v>0</v>
      </c>
      <c r="N23" s="1895" t="s">
        <v>2005</v>
      </c>
      <c r="O23" s="716">
        <f>ROUNDDOWN(DATEDIF(E23,G23,"M")/3,0)</f>
        <v>11</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t="e">
        <f>ROUND(POWER(1+G24,J24-I24)*(POWER(1+G24,I24)-1)/(POWER(1+G24,J24)-1),4)</f>
        <v>#DIV/0!</v>
      </c>
      <c r="D24" s="1899" t="s">
        <v>2007</v>
      </c>
      <c r="E24" s="1245">
        <f>存贷款利率!E22/100</f>
        <v>4.3499999999999997E-2</v>
      </c>
      <c r="F24" s="1899" t="s">
        <v>1999</v>
      </c>
      <c r="G24" s="721">
        <f>SUMIF(M30:Q30,E2,M33:Q33)</f>
        <v>0</v>
      </c>
      <c r="H24" s="1899" t="s">
        <v>2008</v>
      </c>
      <c r="I24" s="722" t="e">
        <f>SUMIF('数据-取费表'!C6:C15,E2,'数据-取费表'!F6:F15)/COUNTIF('数据-取费表'!C6:C15,E2)</f>
        <v>#DIV/0!</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3342</v>
      </c>
      <c r="C25" s="461">
        <f>IF(B25="容积率修正",IF(G3&lt;10,D26,J26),C27)</f>
        <v>0</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3264</v>
      </c>
      <c r="D26" s="1260">
        <f>IF(E26=G26,F26,IF(G3&lt;10,ROUND(F26+(H26-F26)*(G3-E26)/(G26-E26),4),"——"))</f>
        <v>0</v>
      </c>
      <c r="E26" s="705">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3265</v>
      </c>
      <c r="J26" s="374"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0</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3"/>
      <c r="L30" s="3053" t="s">
        <v>1936</v>
      </c>
      <c r="M30" s="3054" t="s">
        <v>1990</v>
      </c>
      <c r="N30" s="3054" t="s">
        <v>1991</v>
      </c>
      <c r="O30" s="3054" t="s">
        <v>1992</v>
      </c>
      <c r="P30" s="3054" t="s">
        <v>1993</v>
      </c>
      <c r="Q30" s="3057" t="s">
        <v>3269</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t="e">
        <f>E34+SUM(I37:I42)</f>
        <v>#DIV/0!</v>
      </c>
      <c r="D31" s="1926"/>
      <c r="E31" s="1927"/>
      <c r="F31" s="1928"/>
      <c r="G31" s="1927"/>
      <c r="H31" s="1927"/>
      <c r="I31" s="1927"/>
      <c r="J31" s="1929"/>
      <c r="K31" s="1053"/>
      <c r="L31" s="3055" t="s">
        <v>1996</v>
      </c>
      <c r="M31" s="162">
        <v>0.25</v>
      </c>
      <c r="N31" s="162">
        <v>0.2</v>
      </c>
      <c r="O31" s="162">
        <v>0.15</v>
      </c>
      <c r="P31" s="162">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t="e">
        <f>ROUND(C5*C22*C23*C24*C25*C28,0)</f>
        <v>#DIV/0!</v>
      </c>
      <c r="D33" s="1937"/>
      <c r="E33" s="724" t="e">
        <f>ROUND(C33*D33/10000,0)</f>
        <v>#DIV/0!</v>
      </c>
      <c r="F33" s="3048" t="s">
        <v>3267</v>
      </c>
      <c r="G33" s="1938"/>
      <c r="H33" s="1938"/>
      <c r="I33" s="1938"/>
      <c r="J33" s="1939"/>
      <c r="K33" s="1053"/>
      <c r="L33" s="3051" t="s">
        <v>3270</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51" t="s">
        <v>3271</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3268</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3272</v>
      </c>
      <c r="L36" s="3139">
        <f ca="1">'数据-取费表'!B40</f>
        <v>4.1499999999999995E-2</v>
      </c>
      <c r="M36" s="2363">
        <f ca="1">ROUND($L$36*(1+M31),3)</f>
        <v>5.1999999999999998E-2</v>
      </c>
      <c r="N36" s="2363">
        <f ca="1">ROUND($L$36*(1+N31),3)</f>
        <v>0.05</v>
      </c>
      <c r="O36" s="2363">
        <f ca="1">ROUND($L$36*(1+O31),3)</f>
        <v>4.8000000000000001E-2</v>
      </c>
      <c r="P36" s="2363">
        <f ca="1">ROUND($L$36*(1+P31),3)</f>
        <v>4.5999999999999999E-2</v>
      </c>
      <c r="Q36" s="2363">
        <f ca="1">ROUND($L$36*(1+Q31),3)</f>
        <v>4.8000000000000001E-2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654"/>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3273</v>
      </c>
      <c r="L37" s="1961">
        <f ca="1">L36+K38</f>
        <v>4.6499999999999993E-2</v>
      </c>
      <c r="M37" s="2363">
        <f ca="1">ROUND($L$37*(1+M31),3)</f>
        <v>5.8000000000000003E-2</v>
      </c>
      <c r="N37" s="2363">
        <f t="shared" ref="N37:Q37" ca="1" si="3">ROUND($L$37*(1+N31),3)</f>
        <v>5.6000000000000001E-2</v>
      </c>
      <c r="O37" s="2363">
        <f t="shared" ca="1" si="3"/>
        <v>5.2999999999999999E-2</v>
      </c>
      <c r="P37" s="2363">
        <f t="shared" ca="1" si="3"/>
        <v>5.0999999999999997E-2</v>
      </c>
      <c r="Q37" s="2363">
        <f t="shared" ca="1" si="3"/>
        <v>5.2999999999999999E-2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655"/>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655"/>
      <c r="B39" s="1881" t="s">
        <v>3266</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6"/>
      <c r="L41" s="3060" t="s">
        <v>3274</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t="e">
        <f>ROUND(D5*C22*C23*C44*C28*F42,0)</f>
        <v>#DIV/0!</v>
      </c>
      <c r="D42" s="1942"/>
      <c r="E42" s="179" t="e">
        <f t="shared" si="4"/>
        <v>#DIV/0!</v>
      </c>
      <c r="F42" s="720">
        <f>SUMIF(修正!A57:A68,G2,修正!G57:G68)</f>
        <v>0</v>
      </c>
      <c r="G42" s="179" t="e">
        <f>ROUND(IF(E2="工业",C42*$M$42,C42*$M$41),0)</f>
        <v>#DIV/0!</v>
      </c>
      <c r="H42" s="179">
        <f t="shared" si="5"/>
        <v>0</v>
      </c>
      <c r="I42" s="179"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t="e">
        <f>ROUND(POWER(1+E44,H44-G44)*(POWER(1+E44,G44)-1)/(POWER(1+E44,H44)-1),4)</f>
        <v>#DIV/0!</v>
      </c>
      <c r="D44" s="163" t="s">
        <v>1999</v>
      </c>
      <c r="E44" s="1988">
        <f>G24</f>
        <v>0</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8.25">
      <c r="A50" s="1967" t="s">
        <v>2052</v>
      </c>
      <c r="B50" s="1970" t="str">
        <f>估价对象房地状况!C4</f>
        <v>估价对象位于XX商圈，周边商业氛围成熟，人流量大，商业繁华度好</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38.25">
      <c r="A51" s="1967" t="s">
        <v>2053</v>
      </c>
      <c r="B51" s="1259" t="str">
        <f>估价对象房地状况!C18</f>
        <v>估价对象周边道路状况、公共交通通达情况、停车便捷程度，综合评价交通便捷度较好</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3276</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5.5">
      <c r="A56" s="1973" t="s">
        <v>2059</v>
      </c>
      <c r="B56" s="1237" t="str">
        <f>估价对象房地状况!C21</f>
        <v>估价对象所在区域公共配套设施齐备情况</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thickBot="1">
      <c r="A58" s="1974" t="s">
        <v>2061</v>
      </c>
      <c r="B58" s="1975" t="str">
        <f>估价对象房地状况!C20</f>
        <v>区域自然环境：；人文环境；综合评价环境状况一般</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c r="D61" s="999">
        <f t="shared" ref="D61:D69" si="12">SUMIF($J$60:$N$60,C61,J61:N61)</f>
        <v>0</v>
      </c>
      <c r="E61" s="699">
        <f>ROUND(SUM(D61:D69),4)</f>
        <v>0</v>
      </c>
      <c r="F61" s="1672" t="str">
        <f>IF(E2="办公",SUMIF(L1:L12,G2,N1:N12),"——")</f>
        <v>——</v>
      </c>
      <c r="G61" s="997"/>
      <c r="H61" s="1000" t="str">
        <f t="shared" ref="H61:H69" si="13">IFERROR(ROUNDDOWN($F$61*I61/2,4),"——")</f>
        <v>——</v>
      </c>
      <c r="I61" s="3066">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c r="D62" s="999">
        <f t="shared" si="12"/>
        <v>0</v>
      </c>
      <c r="E62" s="700"/>
      <c r="F62" s="1672"/>
      <c r="G62" s="997"/>
      <c r="H62" s="1000" t="str">
        <f t="shared" si="13"/>
        <v>——</v>
      </c>
      <c r="I62" s="3066">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8" t="s">
        <v>3276</v>
      </c>
      <c r="B63" s="1259">
        <f>估价对象房地状况!C19</f>
        <v>0</v>
      </c>
      <c r="C63" s="1884"/>
      <c r="D63" s="999">
        <f t="shared" si="12"/>
        <v>0</v>
      </c>
      <c r="E63" s="700"/>
      <c r="F63" s="1672"/>
      <c r="G63" s="997"/>
      <c r="H63" s="1000" t="str">
        <f t="shared" si="13"/>
        <v>——</v>
      </c>
      <c r="I63" s="3066">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700"/>
      <c r="F64" s="1672"/>
      <c r="G64" s="997"/>
      <c r="H64" s="1000" t="str">
        <f t="shared" si="13"/>
        <v>——</v>
      </c>
      <c r="I64" s="3066">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2"/>
        <v>0</v>
      </c>
      <c r="E65" s="700"/>
      <c r="F65" s="1672"/>
      <c r="G65" s="997"/>
      <c r="H65" s="1000" t="str">
        <f t="shared" si="13"/>
        <v>——</v>
      </c>
      <c r="I65" s="3066">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700"/>
      <c r="F66" s="1672"/>
      <c r="G66" s="997"/>
      <c r="H66" s="1000" t="str">
        <f t="shared" si="13"/>
        <v>——</v>
      </c>
      <c r="I66" s="3066">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c r="D67" s="999">
        <f t="shared" si="12"/>
        <v>0</v>
      </c>
      <c r="E67" s="700"/>
      <c r="F67" s="1672"/>
      <c r="G67" s="997"/>
      <c r="H67" s="1000" t="str">
        <f t="shared" si="13"/>
        <v>——</v>
      </c>
      <c r="I67" s="3066">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2"/>
        <v>0</v>
      </c>
      <c r="E68" s="700"/>
      <c r="F68" s="1672"/>
      <c r="G68" s="997"/>
      <c r="H68" s="1000" t="str">
        <f t="shared" si="13"/>
        <v>——</v>
      </c>
      <c r="I68" s="3066">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c r="D69" s="999">
        <f t="shared" si="12"/>
        <v>0</v>
      </c>
      <c r="E69" s="701"/>
      <c r="F69" s="1672"/>
      <c r="G69" s="997"/>
      <c r="H69" s="1000" t="str">
        <f t="shared" si="13"/>
        <v>——</v>
      </c>
      <c r="I69" s="3067">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7">SUMIF($J$71:$N$71,C72,J72:N72)</f>
        <v>0</v>
      </c>
      <c r="E72" s="699">
        <f>ROUND(SUM(D72:D80),4)</f>
        <v>0</v>
      </c>
      <c r="F72" s="1672" t="str">
        <f>IF(E2="住宅",SUMIF(L1:L12,G2,N1:N12),"——")</f>
        <v>——</v>
      </c>
      <c r="G72" s="997"/>
      <c r="H72" s="1000" t="str">
        <f t="shared" ref="H72:H80" si="18">IFERROR(ROUNDDOWN($F$72*I72/2,4),"——")</f>
        <v>——</v>
      </c>
      <c r="I72" s="3066">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7"/>
        <v>0</v>
      </c>
      <c r="E73" s="702"/>
      <c r="F73" s="1672"/>
      <c r="G73" s="997"/>
      <c r="H73" s="1000" t="str">
        <f t="shared" si="18"/>
        <v>——</v>
      </c>
      <c r="I73" s="3066">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8" t="s">
        <v>3276</v>
      </c>
      <c r="B74" s="1259">
        <f>估价对象房地状况!C19</f>
        <v>0</v>
      </c>
      <c r="C74" s="1884"/>
      <c r="D74" s="999">
        <f t="shared" si="17"/>
        <v>0</v>
      </c>
      <c r="E74" s="702"/>
      <c r="F74" s="1672"/>
      <c r="G74" s="997"/>
      <c r="H74" s="1000" t="str">
        <f t="shared" si="18"/>
        <v>——</v>
      </c>
      <c r="I74" s="3066">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6">
        <v>0.05</v>
      </c>
      <c r="J75" s="998">
        <f t="shared" si="19"/>
        <v>0</v>
      </c>
      <c r="K75" s="998">
        <f t="shared" si="20"/>
        <v>0</v>
      </c>
      <c r="L75" s="998">
        <v>0</v>
      </c>
      <c r="M75" s="998">
        <f t="shared" si="21"/>
        <v>0</v>
      </c>
      <c r="N75" s="998">
        <f t="shared" si="21"/>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7"/>
        <v>0</v>
      </c>
      <c r="E76" s="702"/>
      <c r="F76" s="1672"/>
      <c r="G76" s="997"/>
      <c r="H76" s="1000" t="str">
        <f t="shared" si="18"/>
        <v>——</v>
      </c>
      <c r="I76" s="3066">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v>
      </c>
      <c r="C77" s="1884"/>
      <c r="D77" s="999">
        <f t="shared" si="17"/>
        <v>0</v>
      </c>
      <c r="E77" s="702"/>
      <c r="F77" s="1672"/>
      <c r="G77" s="997"/>
      <c r="H77" s="1000" t="str">
        <f t="shared" si="18"/>
        <v>——</v>
      </c>
      <c r="I77" s="3066">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6">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7"/>
        <v>0</v>
      </c>
      <c r="E79" s="702"/>
      <c r="F79" s="1672"/>
      <c r="G79" s="997"/>
      <c r="H79" s="1000" t="str">
        <f t="shared" si="18"/>
        <v>——</v>
      </c>
      <c r="I79" s="3066">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7">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6">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6">
        <v>0.3</v>
      </c>
      <c r="J84" s="998">
        <f t="shared" si="24"/>
        <v>0</v>
      </c>
      <c r="K84" s="998">
        <f t="shared" si="25"/>
        <v>0</v>
      </c>
      <c r="L84" s="998">
        <v>0</v>
      </c>
      <c r="M84" s="998">
        <f t="shared" si="26"/>
        <v>0</v>
      </c>
      <c r="N84" s="998">
        <f t="shared" si="26"/>
        <v>0</v>
      </c>
      <c r="Z84" s="1842"/>
      <c r="AA84" s="1892"/>
      <c r="AG84" s="1055"/>
      <c r="AK84" s="1892"/>
    </row>
    <row r="85" spans="1:37" ht="36">
      <c r="A85" s="3068" t="s">
        <v>3277</v>
      </c>
      <c r="B85" s="1259">
        <f>估价对象房地状况!G17</f>
        <v>0</v>
      </c>
      <c r="C85" s="1884"/>
      <c r="D85" s="999">
        <f t="shared" si="22"/>
        <v>0</v>
      </c>
      <c r="E85" s="702"/>
      <c r="F85" s="1672"/>
      <c r="G85" s="997"/>
      <c r="H85" s="1000" t="str">
        <f t="shared" si="23"/>
        <v>——</v>
      </c>
      <c r="I85" s="3066">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6">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6">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6">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6">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7">
        <v>0.05</v>
      </c>
      <c r="J90" s="998">
        <f t="shared" si="24"/>
        <v>0</v>
      </c>
      <c r="K90" s="998">
        <f t="shared" si="25"/>
        <v>0</v>
      </c>
      <c r="L90" s="998">
        <v>0</v>
      </c>
      <c r="M90" s="998">
        <f t="shared" si="26"/>
        <v>0</v>
      </c>
      <c r="N90" s="998">
        <f t="shared" si="26"/>
        <v>0</v>
      </c>
    </row>
    <row r="91" spans="1:37" ht="15">
      <c r="A91" s="3076" t="s">
        <v>2615</v>
      </c>
      <c r="B91" s="3077">
        <f>1+E93</f>
        <v>1</v>
      </c>
      <c r="C91" s="3070"/>
      <c r="D91" s="3071"/>
      <c r="E91" s="1672"/>
      <c r="F91" s="1672"/>
      <c r="G91" s="3072"/>
      <c r="H91" s="3073"/>
      <c r="I91" s="3074"/>
      <c r="J91" s="3075"/>
      <c r="K91" s="3075"/>
      <c r="L91" s="3075"/>
      <c r="M91" s="3075"/>
      <c r="N91" s="3075"/>
    </row>
    <row r="92" spans="1:37" ht="24.75">
      <c r="A92" s="3078" t="s">
        <v>3278</v>
      </c>
      <c r="B92" s="2307"/>
      <c r="C92" s="2307" t="s">
        <v>3287</v>
      </c>
      <c r="D92" s="2307" t="s">
        <v>3288</v>
      </c>
      <c r="E92" s="3050" t="s">
        <v>3289</v>
      </c>
      <c r="F92" s="3080" t="s">
        <v>3290</v>
      </c>
      <c r="G92" s="2307" t="s">
        <v>3291</v>
      </c>
      <c r="H92" s="3087" t="s">
        <v>3294</v>
      </c>
      <c r="I92" s="2307" t="s">
        <v>3295</v>
      </c>
      <c r="J92" s="2147" t="s">
        <v>3296</v>
      </c>
      <c r="K92" s="2147" t="s">
        <v>3297</v>
      </c>
      <c r="L92" s="2147" t="s">
        <v>3298</v>
      </c>
      <c r="M92" s="2147" t="s">
        <v>3299</v>
      </c>
      <c r="N92" s="2147" t="s">
        <v>3300</v>
      </c>
    </row>
    <row r="93" spans="1:37" ht="24">
      <c r="A93" s="3068" t="s">
        <v>3279</v>
      </c>
      <c r="B93" s="1218"/>
      <c r="C93" s="1884"/>
      <c r="D93" s="2307">
        <f>SUMIF($J$92:$N$92,C93,J93:N93)</f>
        <v>0</v>
      </c>
      <c r="E93" s="3081">
        <f>ROUND(SUM(D93:D101),4)</f>
        <v>0</v>
      </c>
      <c r="F93" s="1672" t="str">
        <f>IF(E2="公共服务",SUMIF(L1:L12,G2,N1:N12),"——")</f>
        <v>——</v>
      </c>
      <c r="G93" s="3072"/>
      <c r="H93" s="3116"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3280</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6" t="str">
        <f>IFERROR(ROUNDDOWN($F$93*I94/2,4),"——")</f>
        <v>——</v>
      </c>
      <c r="I94" s="3066">
        <v>0.26</v>
      </c>
      <c r="J94" s="1909">
        <f t="shared" si="27"/>
        <v>0</v>
      </c>
      <c r="K94" s="1909">
        <f t="shared" si="28"/>
        <v>0</v>
      </c>
      <c r="L94" s="1909">
        <v>0</v>
      </c>
      <c r="M94" s="1909">
        <f t="shared" si="29"/>
        <v>0</v>
      </c>
      <c r="N94" s="1909">
        <f t="shared" si="29"/>
        <v>0</v>
      </c>
    </row>
    <row r="95" spans="1:37" ht="36">
      <c r="A95" s="3068" t="s">
        <v>3276</v>
      </c>
      <c r="B95" s="3069">
        <f>估价对象房地状况!C19</f>
        <v>0</v>
      </c>
      <c r="C95" s="1884"/>
      <c r="D95" s="2307">
        <f t="shared" si="30"/>
        <v>0</v>
      </c>
      <c r="E95" s="3082"/>
      <c r="F95" s="1672"/>
      <c r="G95" s="3072"/>
      <c r="H95" s="3116"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3281</v>
      </c>
      <c r="B96" s="3084" t="s">
        <v>3292</v>
      </c>
      <c r="C96" s="1884"/>
      <c r="D96" s="2307">
        <f t="shared" si="30"/>
        <v>0</v>
      </c>
      <c r="E96" s="3082"/>
      <c r="F96" s="1672"/>
      <c r="G96" s="3072"/>
      <c r="H96" s="3116" t="str">
        <f t="shared" si="31"/>
        <v>——</v>
      </c>
      <c r="I96" s="3066">
        <v>0.05</v>
      </c>
      <c r="J96" s="1909">
        <f t="shared" si="27"/>
        <v>0</v>
      </c>
      <c r="K96" s="1909">
        <f t="shared" si="28"/>
        <v>0</v>
      </c>
      <c r="L96" s="1909">
        <v>0</v>
      </c>
      <c r="M96" s="1909">
        <f t="shared" si="29"/>
        <v>0</v>
      </c>
      <c r="N96" s="1909">
        <f t="shared" si="29"/>
        <v>0</v>
      </c>
    </row>
    <row r="97" spans="1:14" ht="24">
      <c r="A97" s="3078" t="s">
        <v>3282</v>
      </c>
      <c r="B97" s="3069">
        <f>估价对象房地状况!C24</f>
        <v>0</v>
      </c>
      <c r="C97" s="1884"/>
      <c r="D97" s="2307">
        <f t="shared" si="30"/>
        <v>0</v>
      </c>
      <c r="E97" s="3082"/>
      <c r="F97" s="1672"/>
      <c r="G97" s="3072"/>
      <c r="H97" s="3116" t="str">
        <f t="shared" si="31"/>
        <v>——</v>
      </c>
      <c r="I97" s="3066">
        <v>0.05</v>
      </c>
      <c r="J97" s="1909">
        <f t="shared" si="27"/>
        <v>0</v>
      </c>
      <c r="K97" s="1909">
        <f t="shared" si="28"/>
        <v>0</v>
      </c>
      <c r="L97" s="1909">
        <v>0</v>
      </c>
      <c r="M97" s="1909">
        <f t="shared" si="29"/>
        <v>0</v>
      </c>
      <c r="N97" s="1909">
        <f t="shared" si="29"/>
        <v>0</v>
      </c>
    </row>
    <row r="98" spans="1:14" ht="24">
      <c r="A98" s="3078" t="s">
        <v>3283</v>
      </c>
      <c r="B98" s="3085" t="s">
        <v>3293</v>
      </c>
      <c r="C98" s="1884"/>
      <c r="D98" s="2307">
        <f t="shared" si="30"/>
        <v>0</v>
      </c>
      <c r="E98" s="3082"/>
      <c r="F98" s="1672"/>
      <c r="G98" s="3072"/>
      <c r="H98" s="3116" t="str">
        <f t="shared" si="31"/>
        <v>——</v>
      </c>
      <c r="I98" s="3066">
        <v>0.06</v>
      </c>
      <c r="J98" s="1909">
        <f t="shared" si="27"/>
        <v>0</v>
      </c>
      <c r="K98" s="1909">
        <f t="shared" si="28"/>
        <v>0</v>
      </c>
      <c r="L98" s="1909">
        <v>0</v>
      </c>
      <c r="M98" s="1909">
        <f t="shared" si="29"/>
        <v>0</v>
      </c>
      <c r="N98" s="1909">
        <f t="shared" si="29"/>
        <v>0</v>
      </c>
    </row>
    <row r="99" spans="1:14" ht="25.5">
      <c r="A99" s="3078" t="s">
        <v>3284</v>
      </c>
      <c r="B99" s="3069" t="str">
        <f>估价对象房地状况!C21</f>
        <v>估价对象所在区域公共配套设施齐备情况</v>
      </c>
      <c r="C99" s="1884"/>
      <c r="D99" s="2307">
        <f t="shared" si="30"/>
        <v>0</v>
      </c>
      <c r="E99" s="3082"/>
      <c r="F99" s="1672"/>
      <c r="G99" s="3072"/>
      <c r="H99" s="3116" t="str">
        <f t="shared" si="31"/>
        <v>——</v>
      </c>
      <c r="I99" s="3066">
        <v>0.06</v>
      </c>
      <c r="J99" s="1909">
        <f t="shared" si="27"/>
        <v>0</v>
      </c>
      <c r="K99" s="1909">
        <f t="shared" si="28"/>
        <v>0</v>
      </c>
      <c r="L99" s="1909">
        <v>0</v>
      </c>
      <c r="M99" s="1909">
        <f t="shared" si="29"/>
        <v>0</v>
      </c>
      <c r="N99" s="1909">
        <f t="shared" si="29"/>
        <v>0</v>
      </c>
    </row>
    <row r="100" spans="1:14" ht="25.5">
      <c r="A100" s="3078" t="s">
        <v>3285</v>
      </c>
      <c r="B100" s="3069" t="str">
        <f>估价对象房地状况!C22</f>
        <v>估价对象所在区域基础设施水平</v>
      </c>
      <c r="C100" s="1884"/>
      <c r="D100" s="2307">
        <f t="shared" si="30"/>
        <v>0</v>
      </c>
      <c r="E100" s="3082"/>
      <c r="F100" s="1672"/>
      <c r="G100" s="3072"/>
      <c r="H100" s="3116" t="str">
        <f t="shared" si="31"/>
        <v>——</v>
      </c>
      <c r="I100" s="3066">
        <v>0.09</v>
      </c>
      <c r="J100" s="1909">
        <f t="shared" si="27"/>
        <v>0</v>
      </c>
      <c r="K100" s="1909">
        <f t="shared" si="28"/>
        <v>0</v>
      </c>
      <c r="L100" s="1909">
        <v>0</v>
      </c>
      <c r="M100" s="1909">
        <f t="shared" si="29"/>
        <v>0</v>
      </c>
      <c r="N100" s="1909">
        <f t="shared" si="29"/>
        <v>0</v>
      </c>
    </row>
    <row r="101" spans="1:14" ht="26.25" thickBot="1">
      <c r="A101" s="3079" t="s">
        <v>3286</v>
      </c>
      <c r="B101" s="3086" t="str">
        <f>估价对象房地状况!C20</f>
        <v>区域自然环境：；人文环境；综合评价环境状况一般</v>
      </c>
      <c r="C101" s="1884"/>
      <c r="D101" s="2307">
        <f t="shared" si="30"/>
        <v>0</v>
      </c>
      <c r="E101" s="3083"/>
      <c r="F101" s="1672"/>
      <c r="G101" s="3072"/>
      <c r="H101" s="3116" t="str">
        <f t="shared" si="31"/>
        <v>——</v>
      </c>
      <c r="I101" s="3067">
        <v>7.0000000000000007E-2</v>
      </c>
      <c r="J101" s="1909">
        <f t="shared" si="27"/>
        <v>0</v>
      </c>
      <c r="K101" s="1909">
        <f t="shared" si="28"/>
        <v>0</v>
      </c>
      <c r="L101" s="1909">
        <v>0</v>
      </c>
      <c r="M101" s="1909">
        <f t="shared" si="29"/>
        <v>0</v>
      </c>
      <c r="N101" s="1909">
        <f t="shared" si="29"/>
        <v>0</v>
      </c>
    </row>
    <row r="103" spans="1:14">
      <c r="A103" s="3652" t="s">
        <v>3301</v>
      </c>
      <c r="B103" s="3652"/>
      <c r="C103" s="3652"/>
      <c r="D103" s="3652"/>
      <c r="E103" s="3652"/>
      <c r="F103" s="3652"/>
      <c r="G103" s="3652"/>
      <c r="H103" s="3652"/>
      <c r="I103" s="3652"/>
      <c r="J103" s="3652"/>
      <c r="K103" s="1664"/>
      <c r="L103" s="1664"/>
      <c r="M103" s="1664"/>
      <c r="N103" s="1664"/>
    </row>
    <row r="104" spans="1:14">
      <c r="A104" s="3653" t="s">
        <v>3302</v>
      </c>
      <c r="B104" s="3653" t="s">
        <v>3303</v>
      </c>
      <c r="C104" s="3088" t="s">
        <v>3304</v>
      </c>
      <c r="D104" s="3089"/>
      <c r="E104" s="3089"/>
      <c r="F104" s="3089"/>
      <c r="G104" s="3089"/>
      <c r="H104" s="3089"/>
      <c r="I104" s="3089"/>
      <c r="J104" s="3090"/>
      <c r="K104" s="3091"/>
      <c r="L104" s="3091"/>
      <c r="M104" s="3091"/>
      <c r="N104" s="3091"/>
    </row>
    <row r="105" spans="1:14">
      <c r="A105" s="3653"/>
      <c r="B105" s="3653"/>
      <c r="C105" s="3092" t="s">
        <v>3305</v>
      </c>
      <c r="D105" s="3092" t="s">
        <v>3306</v>
      </c>
      <c r="E105" s="3092" t="s">
        <v>3307</v>
      </c>
      <c r="F105" s="3092" t="s">
        <v>3308</v>
      </c>
      <c r="G105" s="3092" t="s">
        <v>3309</v>
      </c>
      <c r="H105" s="3092" t="s">
        <v>3310</v>
      </c>
      <c r="I105" s="3092" t="s">
        <v>3311</v>
      </c>
      <c r="J105" s="3092" t="s">
        <v>3312</v>
      </c>
      <c r="K105" s="3092" t="s">
        <v>3313</v>
      </c>
      <c r="L105" s="3092" t="s">
        <v>3314</v>
      </c>
      <c r="M105" s="3092" t="s">
        <v>3315</v>
      </c>
      <c r="N105" s="3092" t="s">
        <v>3316</v>
      </c>
    </row>
    <row r="106" spans="1:14">
      <c r="A106" s="3639" t="s">
        <v>3317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64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64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64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64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640"/>
      <c r="B111" s="3092" t="s">
        <v>3275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64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642" t="s">
        <v>3318</v>
      </c>
      <c r="B113" s="3642"/>
      <c r="C113" s="3642"/>
      <c r="D113" s="3642"/>
      <c r="E113" s="3642"/>
      <c r="F113" s="3642"/>
      <c r="G113" s="3642"/>
      <c r="H113" s="3642"/>
      <c r="I113" s="3642"/>
      <c r="J113" s="364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3319</v>
      </c>
      <c r="B116" s="3112">
        <f>G3</f>
        <v>0</v>
      </c>
      <c r="C116" s="3097" t="s">
        <v>3320</v>
      </c>
      <c r="D116" s="3098">
        <f>SUMPRODUCT((A118:A122=F116)*(B117:M117=H116)*B118:M122)</f>
        <v>0</v>
      </c>
      <c r="E116" s="162" t="s">
        <v>3321</v>
      </c>
      <c r="F116" s="3099">
        <f>E2</f>
        <v>0</v>
      </c>
      <c r="G116" s="162" t="s">
        <v>3322</v>
      </c>
      <c r="H116" s="3099">
        <f>G2</f>
        <v>0</v>
      </c>
      <c r="I116" s="162"/>
      <c r="J116" s="3100"/>
      <c r="K116" s="3100"/>
      <c r="L116" s="3100"/>
      <c r="M116" s="3100"/>
      <c r="N116" s="3095"/>
    </row>
    <row r="117" spans="1:14">
      <c r="A117" s="3101"/>
      <c r="B117" s="3102" t="s">
        <v>3323</v>
      </c>
      <c r="C117" s="3102" t="s">
        <v>3324</v>
      </c>
      <c r="D117" s="3102" t="s">
        <v>3325</v>
      </c>
      <c r="E117" s="3103" t="s">
        <v>3326</v>
      </c>
      <c r="F117" s="3103" t="s">
        <v>3327</v>
      </c>
      <c r="G117" s="3103" t="s">
        <v>3328</v>
      </c>
      <c r="H117" s="3104" t="s">
        <v>3329</v>
      </c>
      <c r="I117" s="3104" t="s">
        <v>3330</v>
      </c>
      <c r="J117" s="3105" t="s">
        <v>3331</v>
      </c>
      <c r="K117" s="3105" t="s">
        <v>3332</v>
      </c>
      <c r="L117" s="3105" t="s">
        <v>3333</v>
      </c>
      <c r="M117" s="3106" t="s">
        <v>3334</v>
      </c>
      <c r="N117" s="3095"/>
    </row>
    <row r="118" spans="1:14">
      <c r="A118" s="3055" t="s">
        <v>3335</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3336</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3337</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3338</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25" t="str">
        <f>IF(项目基本情况!B9="房地产市场价值","估价结果一览表","结果表-2")</f>
        <v>估价结果一览表</v>
      </c>
      <c r="B1" s="3325"/>
      <c r="C1" s="3325"/>
      <c r="D1" s="3325"/>
      <c r="E1" s="3325"/>
      <c r="F1" s="3325"/>
      <c r="G1" s="3325"/>
      <c r="H1" s="3325"/>
      <c r="I1" s="3325"/>
    </row>
    <row r="2" spans="1:9" ht="30" customHeight="1" thickTop="1">
      <c r="A2" s="3326" t="s">
        <v>928</v>
      </c>
      <c r="B2" s="3326" t="s">
        <v>929</v>
      </c>
      <c r="C2" s="3326" t="s">
        <v>930</v>
      </c>
      <c r="D2" s="3326" t="str">
        <f>结果表!D116</f>
        <v>出让国有建设用地使用权价值</v>
      </c>
      <c r="E2" s="3326"/>
      <c r="F2" s="3326" t="str">
        <f>结果表!F116</f>
        <v>在建建筑物价值</v>
      </c>
      <c r="G2" s="3326"/>
      <c r="H2" s="3326" t="str">
        <f>IF(项目基本情况!B9="房地产市场价值","房地产市场价值","房地产价值")</f>
        <v>房地产市场价值</v>
      </c>
      <c r="I2" s="3326"/>
    </row>
    <row r="3" spans="1:9" ht="15">
      <c r="A3" s="3327"/>
      <c r="B3" s="3327"/>
      <c r="C3" s="3327"/>
      <c r="D3" s="798" t="s">
        <v>925</v>
      </c>
      <c r="E3" s="798" t="s">
        <v>931</v>
      </c>
      <c r="F3" s="798" t="s">
        <v>925</v>
      </c>
      <c r="G3" s="798" t="s">
        <v>926</v>
      </c>
      <c r="H3" s="798" t="s">
        <v>925</v>
      </c>
      <c r="I3" s="798" t="s">
        <v>926</v>
      </c>
    </row>
    <row r="4" spans="1:9" ht="15">
      <c r="A4" s="1400" t="str">
        <f>项目基本情况!S2</f>
        <v>房地产</v>
      </c>
      <c r="B4" s="798">
        <f>项目基本情况!C17</f>
        <v>11833.989999999994</v>
      </c>
      <c r="C4" s="798">
        <f>项目基本情况!C18</f>
        <v>3457.51</v>
      </c>
      <c r="D4" s="798" t="e">
        <f ca="1">结果表!D118</f>
        <v>#REF!</v>
      </c>
      <c r="E4" s="798" t="e">
        <f ca="1">结果表!E118</f>
        <v>#REF!</v>
      </c>
      <c r="F4" s="798" t="e">
        <f ca="1">结果表!F118</f>
        <v>#REF!</v>
      </c>
      <c r="G4" s="798" t="e">
        <f ca="1">结果表!G118</f>
        <v>#REF!</v>
      </c>
      <c r="H4" s="798">
        <f ca="1">结果表!H118</f>
        <v>30741</v>
      </c>
      <c r="I4" s="798">
        <f ca="1">结果表!I118</f>
        <v>25977</v>
      </c>
    </row>
    <row r="5" spans="1:9" ht="30" customHeight="1">
      <c r="A5" s="3327" t="s">
        <v>927</v>
      </c>
      <c r="B5" s="3327"/>
      <c r="C5" s="3327"/>
      <c r="D5" s="3327" t="e">
        <f ca="1">结果表!D119</f>
        <v>#REF!</v>
      </c>
      <c r="E5" s="3327"/>
      <c r="F5" s="3327" t="e">
        <f ca="1">结果表!F119</f>
        <v>#REF!</v>
      </c>
      <c r="G5" s="3327"/>
      <c r="H5" s="3327" t="str">
        <f ca="1">结果表!H119</f>
        <v>叁亿零柒佰肆拾壹万元整</v>
      </c>
      <c r="I5" s="3327"/>
    </row>
    <row r="6" spans="1:9" ht="15.75">
      <c r="A6" s="3328" t="str">
        <f>结果表!A120</f>
        <v/>
      </c>
      <c r="B6" s="3328"/>
      <c r="C6" s="3328"/>
      <c r="D6" s="3328">
        <f>结果表!D120</f>
        <v>0</v>
      </c>
      <c r="E6" s="3328"/>
      <c r="F6" s="3328"/>
      <c r="G6" s="3328"/>
      <c r="H6" s="3328"/>
      <c r="I6" s="3328"/>
    </row>
    <row r="7" spans="1:9" ht="15">
      <c r="A7" s="3327" t="s">
        <v>927</v>
      </c>
      <c r="B7" s="3327"/>
      <c r="C7" s="3327"/>
      <c r="D7" s="3329" t="str">
        <f>结果表!D121</f>
        <v>零元整</v>
      </c>
      <c r="E7" s="3330"/>
      <c r="F7" s="3330"/>
      <c r="G7" s="3330"/>
      <c r="H7" s="3330"/>
      <c r="I7" s="3331"/>
    </row>
    <row r="8" spans="1:9" ht="15.75">
      <c r="A8" s="3328" t="str">
        <f>结果表!A122</f>
        <v/>
      </c>
      <c r="B8" s="3328"/>
      <c r="C8" s="3328"/>
      <c r="D8" s="3328">
        <f ca="1">结果表!D122</f>
        <v>30741</v>
      </c>
      <c r="E8" s="3328"/>
      <c r="F8" s="3328"/>
      <c r="G8" s="3328"/>
      <c r="H8" s="3328"/>
      <c r="I8" s="3328"/>
    </row>
    <row r="9" spans="1:9" ht="15">
      <c r="A9" s="3327" t="s">
        <v>927</v>
      </c>
      <c r="B9" s="3327"/>
      <c r="C9" s="3327"/>
      <c r="D9" s="3327" t="str">
        <f ca="1">结果表!D123</f>
        <v>叁亿零柒佰肆拾壹万元整</v>
      </c>
      <c r="E9" s="3327"/>
      <c r="F9" s="3327"/>
      <c r="G9" s="3327"/>
      <c r="H9" s="3327"/>
      <c r="I9" s="3327"/>
    </row>
    <row r="10" spans="1:9" ht="15.75">
      <c r="A10" s="3328" t="str">
        <f>结果表!A124</f>
        <v/>
      </c>
      <c r="B10" s="3328"/>
      <c r="C10" s="3328"/>
      <c r="D10" s="3328" t="str">
        <f>结果表!D124</f>
        <v>——</v>
      </c>
      <c r="E10" s="3328"/>
      <c r="F10" s="3328"/>
      <c r="G10" s="3328"/>
      <c r="H10" s="3328"/>
      <c r="I10" s="3328"/>
    </row>
    <row r="11" spans="1:9" ht="15">
      <c r="A11" s="3327" t="s">
        <v>927</v>
      </c>
      <c r="B11" s="3327"/>
      <c r="C11" s="3327"/>
      <c r="D11" s="3327" t="e">
        <f>结果表!D125</f>
        <v>#VALUE!</v>
      </c>
      <c r="E11" s="3327"/>
      <c r="F11" s="3327"/>
      <c r="G11" s="3327"/>
      <c r="H11" s="3327"/>
      <c r="I11" s="3327"/>
    </row>
    <row r="12" spans="1:9" ht="15.75">
      <c r="A12" s="3328" t="str">
        <f>结果表!A126</f>
        <v/>
      </c>
      <c r="B12" s="3328"/>
      <c r="C12" s="3328"/>
      <c r="D12" s="3328" t="str">
        <f>结果表!D126</f>
        <v>——</v>
      </c>
      <c r="E12" s="3328"/>
      <c r="F12" s="3328"/>
      <c r="G12" s="3328"/>
      <c r="H12" s="3328"/>
      <c r="I12" s="3328"/>
    </row>
    <row r="13" spans="1:9" ht="15.75" thickBot="1">
      <c r="A13" s="3332" t="s">
        <v>927</v>
      </c>
      <c r="B13" s="3332"/>
      <c r="C13" s="3332"/>
      <c r="D13" s="3332" t="e">
        <f>结果表!D127</f>
        <v>#VALUE!</v>
      </c>
      <c r="E13" s="3332"/>
      <c r="F13" s="3332"/>
      <c r="G13" s="3332"/>
      <c r="H13" s="3332"/>
      <c r="I13" s="3332"/>
    </row>
    <row r="14" spans="1:9" ht="15" thickTop="1">
      <c r="A14" s="3333" t="s">
        <v>932</v>
      </c>
      <c r="B14" s="3333"/>
      <c r="C14" s="3333"/>
      <c r="D14" s="3333"/>
      <c r="E14" s="3333"/>
      <c r="F14" s="3333"/>
      <c r="G14" s="3333"/>
      <c r="H14" s="3333"/>
      <c r="I14" s="3333"/>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665" t="s">
        <v>2610</v>
      </c>
      <c r="B20" s="3658" t="s">
        <v>2631</v>
      </c>
      <c r="C20" s="2840" t="s">
        <v>2442</v>
      </c>
      <c r="D20" s="2841"/>
      <c r="E20" s="2842">
        <v>1</v>
      </c>
      <c r="F20" s="2843" t="s">
        <v>2443</v>
      </c>
      <c r="G20" s="2843"/>
    </row>
    <row r="21" spans="1:13" ht="19.5" customHeight="1">
      <c r="A21" s="3666"/>
      <c r="B21" s="3659"/>
      <c r="C21" s="2844" t="s">
        <v>2444</v>
      </c>
      <c r="D21" s="2845"/>
      <c r="E21" s="2846">
        <v>1</v>
      </c>
      <c r="F21" s="2843" t="s">
        <v>2445</v>
      </c>
      <c r="G21" s="2843"/>
    </row>
    <row r="22" spans="1:13" ht="19.5" customHeight="1">
      <c r="A22" s="3666"/>
      <c r="B22" s="3659"/>
      <c r="C22" s="2844" t="s">
        <v>2446</v>
      </c>
      <c r="D22" s="2845"/>
      <c r="E22" s="2846">
        <v>0.9</v>
      </c>
      <c r="F22" s="2843" t="s">
        <v>2447</v>
      </c>
      <c r="G22" s="2843"/>
    </row>
    <row r="23" spans="1:13" ht="19.5" customHeight="1">
      <c r="A23" s="3666"/>
      <c r="B23" s="3659"/>
      <c r="C23" s="2844" t="s">
        <v>2448</v>
      </c>
      <c r="D23" s="2845"/>
      <c r="E23" s="2846">
        <v>0.9</v>
      </c>
      <c r="F23" s="2843" t="s">
        <v>2449</v>
      </c>
      <c r="G23" s="2843"/>
    </row>
    <row r="24" spans="1:13" ht="19.5" customHeight="1">
      <c r="A24" s="3666"/>
      <c r="B24" s="3659"/>
      <c r="C24" s="2844" t="s">
        <v>2450</v>
      </c>
      <c r="D24" s="2845"/>
      <c r="E24" s="2846">
        <v>0.8</v>
      </c>
      <c r="F24" s="2843" t="s">
        <v>2451</v>
      </c>
      <c r="G24" s="2843"/>
    </row>
    <row r="25" spans="1:13" ht="19.5" customHeight="1" thickBot="1">
      <c r="A25" s="3667"/>
      <c r="B25" s="3660"/>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661" t="s">
        <v>2634</v>
      </c>
      <c r="B27" s="3658" t="s">
        <v>2615</v>
      </c>
      <c r="C27" s="2840" t="s">
        <v>2455</v>
      </c>
      <c r="D27" s="2841"/>
      <c r="E27" s="2842">
        <v>1</v>
      </c>
      <c r="F27" s="2843" t="s">
        <v>2456</v>
      </c>
      <c r="G27" s="2843"/>
    </row>
    <row r="28" spans="1:13" ht="19.5" customHeight="1">
      <c r="A28" s="3662"/>
      <c r="B28" s="3659"/>
      <c r="C28" s="2844" t="s">
        <v>2457</v>
      </c>
      <c r="D28" s="2845"/>
      <c r="E28" s="2846">
        <v>1</v>
      </c>
      <c r="F28" s="2843" t="s">
        <v>2458</v>
      </c>
      <c r="G28" s="2843"/>
    </row>
    <row r="29" spans="1:13" ht="19.5" customHeight="1">
      <c r="A29" s="3662"/>
      <c r="B29" s="3659"/>
      <c r="C29" s="2844" t="s">
        <v>2459</v>
      </c>
      <c r="D29" s="2845"/>
      <c r="E29" s="2846">
        <v>0.8</v>
      </c>
      <c r="F29" s="2843" t="s">
        <v>2460</v>
      </c>
      <c r="G29" s="2843"/>
    </row>
    <row r="30" spans="1:13" ht="19.5" customHeight="1">
      <c r="A30" s="3662"/>
      <c r="B30" s="3659"/>
      <c r="C30" s="2844" t="s">
        <v>2461</v>
      </c>
      <c r="D30" s="2845"/>
      <c r="E30" s="2846">
        <v>0.8</v>
      </c>
      <c r="F30" s="2843" t="s">
        <v>2462</v>
      </c>
      <c r="G30" s="2843"/>
    </row>
    <row r="31" spans="1:13" ht="19.5" customHeight="1">
      <c r="A31" s="3662"/>
      <c r="B31" s="3659"/>
      <c r="C31" s="2844" t="s">
        <v>2463</v>
      </c>
      <c r="D31" s="2845"/>
      <c r="E31" s="2846">
        <v>0.8</v>
      </c>
      <c r="F31" s="2843" t="s">
        <v>2464</v>
      </c>
      <c r="G31" s="2843"/>
    </row>
    <row r="32" spans="1:13" ht="19.5" customHeight="1">
      <c r="A32" s="3662"/>
      <c r="B32" s="3659"/>
      <c r="C32" s="2844" t="s">
        <v>2465</v>
      </c>
      <c r="D32" s="2845"/>
      <c r="E32" s="2846">
        <v>0.7</v>
      </c>
      <c r="F32" s="2843" t="s">
        <v>2466</v>
      </c>
      <c r="G32" s="2843"/>
    </row>
    <row r="33" spans="1:7" ht="19.5" customHeight="1">
      <c r="A33" s="3662"/>
      <c r="B33" s="3659"/>
      <c r="C33" s="2844" t="s">
        <v>2467</v>
      </c>
      <c r="D33" s="2845"/>
      <c r="E33" s="2846">
        <v>0.8</v>
      </c>
      <c r="F33" s="2843" t="s">
        <v>2468</v>
      </c>
      <c r="G33" s="2843"/>
    </row>
    <row r="34" spans="1:7" ht="19.5" customHeight="1">
      <c r="A34" s="3662"/>
      <c r="B34" s="3659"/>
      <c r="C34" s="2844" t="s">
        <v>2469</v>
      </c>
      <c r="D34" s="2845"/>
      <c r="E34" s="2846">
        <v>0.6</v>
      </c>
      <c r="F34" s="2843" t="s">
        <v>2470</v>
      </c>
      <c r="G34" s="2843"/>
    </row>
    <row r="35" spans="1:7" ht="19.5" customHeight="1">
      <c r="A35" s="3662"/>
      <c r="B35" s="3659"/>
      <c r="C35" s="2844" t="s">
        <v>2471</v>
      </c>
      <c r="D35" s="2845"/>
      <c r="E35" s="2846">
        <v>0.2</v>
      </c>
      <c r="F35" s="2843" t="s">
        <v>2472</v>
      </c>
      <c r="G35" s="2843"/>
    </row>
    <row r="36" spans="1:7" ht="19.5" customHeight="1">
      <c r="A36" s="3662"/>
      <c r="B36" s="3659"/>
      <c r="C36" s="2844" t="s">
        <v>2473</v>
      </c>
      <c r="D36" s="2845"/>
      <c r="E36" s="2846">
        <v>0.2</v>
      </c>
      <c r="F36" s="2843" t="s">
        <v>2474</v>
      </c>
      <c r="G36" s="2843"/>
    </row>
    <row r="37" spans="1:7" ht="19.5" customHeight="1">
      <c r="A37" s="3662"/>
      <c r="B37" s="3664" t="s">
        <v>2635</v>
      </c>
      <c r="C37" s="2844" t="s">
        <v>2475</v>
      </c>
      <c r="D37" s="2845"/>
      <c r="E37" s="2846">
        <v>0.6</v>
      </c>
      <c r="F37" s="2843" t="s">
        <v>2476</v>
      </c>
      <c r="G37" s="2843"/>
    </row>
    <row r="38" spans="1:7" ht="19.5" customHeight="1">
      <c r="A38" s="3662"/>
      <c r="B38" s="3659"/>
      <c r="C38" s="2844" t="s">
        <v>2477</v>
      </c>
      <c r="D38" s="2845"/>
      <c r="E38" s="2846">
        <v>0.6</v>
      </c>
      <c r="F38" s="2843" t="s">
        <v>2478</v>
      </c>
      <c r="G38" s="2843"/>
    </row>
    <row r="39" spans="1:7" ht="19.5" customHeight="1" thickBot="1">
      <c r="A39" s="3663"/>
      <c r="B39" s="3660"/>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665" t="s">
        <v>2613</v>
      </c>
      <c r="B41" s="3658" t="s">
        <v>2637</v>
      </c>
      <c r="C41" s="2840" t="s">
        <v>2482</v>
      </c>
      <c r="D41" s="2841"/>
      <c r="E41" s="2842">
        <v>1</v>
      </c>
      <c r="F41" s="2843" t="s">
        <v>2483</v>
      </c>
      <c r="G41" s="2843"/>
    </row>
    <row r="42" spans="1:7" ht="19.5" customHeight="1">
      <c r="A42" s="3666"/>
      <c r="B42" s="3659"/>
      <c r="C42" s="2844" t="s">
        <v>2484</v>
      </c>
      <c r="D42" s="2845"/>
      <c r="E42" s="2846">
        <v>1</v>
      </c>
      <c r="F42" s="2843" t="s">
        <v>2485</v>
      </c>
      <c r="G42" s="2843"/>
    </row>
    <row r="43" spans="1:7" ht="19.5" customHeight="1">
      <c r="A43" s="3666"/>
      <c r="B43" s="3668"/>
      <c r="C43" s="2844" t="s">
        <v>2486</v>
      </c>
      <c r="D43" s="2845"/>
      <c r="E43" s="2846">
        <v>1.5</v>
      </c>
      <c r="F43" s="2843" t="s">
        <v>2487</v>
      </c>
      <c r="G43" s="2843"/>
    </row>
    <row r="44" spans="1:7" ht="19.5" customHeight="1">
      <c r="A44" s="3666"/>
      <c r="B44" s="2855" t="s">
        <v>2638</v>
      </c>
      <c r="C44" s="2844" t="s">
        <v>2639</v>
      </c>
      <c r="D44" s="2845"/>
      <c r="E44" s="2846">
        <v>2</v>
      </c>
      <c r="F44" s="2843" t="s">
        <v>2488</v>
      </c>
      <c r="G44" s="2843"/>
    </row>
    <row r="45" spans="1:7" ht="19.5" customHeight="1">
      <c r="A45" s="3666"/>
      <c r="B45" s="3664" t="s">
        <v>2640</v>
      </c>
      <c r="C45" s="2844" t="s">
        <v>2489</v>
      </c>
      <c r="D45" s="2845"/>
      <c r="E45" s="2846">
        <v>1</v>
      </c>
      <c r="F45" s="2843" t="s">
        <v>2490</v>
      </c>
      <c r="G45" s="2843"/>
    </row>
    <row r="46" spans="1:7" ht="19.5" customHeight="1">
      <c r="A46" s="3666"/>
      <c r="B46" s="3659"/>
      <c r="C46" s="2844" t="s">
        <v>2491</v>
      </c>
      <c r="D46" s="2845"/>
      <c r="E46" s="2846">
        <v>1</v>
      </c>
      <c r="F46" s="2843" t="s">
        <v>2492</v>
      </c>
      <c r="G46" s="2843"/>
    </row>
    <row r="47" spans="1:7" ht="19.5" customHeight="1">
      <c r="A47" s="3666"/>
      <c r="B47" s="3659"/>
      <c r="C47" s="2844" t="s">
        <v>2493</v>
      </c>
      <c r="D47" s="2845"/>
      <c r="E47" s="2846">
        <v>1</v>
      </c>
      <c r="F47" s="2843" t="s">
        <v>2494</v>
      </c>
      <c r="G47" s="2843"/>
    </row>
    <row r="48" spans="1:7" ht="19.5" customHeight="1">
      <c r="A48" s="3666"/>
      <c r="B48" s="3659"/>
      <c r="C48" s="2844" t="s">
        <v>2495</v>
      </c>
      <c r="D48" s="2845"/>
      <c r="E48" s="2846">
        <v>1</v>
      </c>
      <c r="F48" s="2843" t="s">
        <v>2496</v>
      </c>
      <c r="G48" s="2843"/>
    </row>
    <row r="49" spans="1:7" ht="19.5" customHeight="1">
      <c r="A49" s="3666"/>
      <c r="B49" s="3659"/>
      <c r="C49" s="2844" t="s">
        <v>2497</v>
      </c>
      <c r="D49" s="2845"/>
      <c r="E49" s="2846">
        <v>1</v>
      </c>
      <c r="F49" s="2843" t="s">
        <v>2498</v>
      </c>
      <c r="G49" s="2843"/>
    </row>
    <row r="50" spans="1:7" ht="19.5" customHeight="1">
      <c r="A50" s="3666"/>
      <c r="B50" s="3659"/>
      <c r="C50" s="2844" t="s">
        <v>2499</v>
      </c>
      <c r="D50" s="2845"/>
      <c r="E50" s="2846">
        <v>1</v>
      </c>
      <c r="F50" s="2843" t="s">
        <v>2500</v>
      </c>
      <c r="G50" s="2843"/>
    </row>
    <row r="51" spans="1:7" ht="19.5" customHeight="1" thickBot="1">
      <c r="A51" s="3667"/>
      <c r="B51" s="3660"/>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664" t="s">
        <v>2654</v>
      </c>
      <c r="C73" s="2829" t="s">
        <v>2655</v>
      </c>
      <c r="D73" s="2829" t="s">
        <v>2656</v>
      </c>
      <c r="E73" s="2855">
        <v>0.2</v>
      </c>
      <c r="F73" s="2855">
        <v>25</v>
      </c>
    </row>
    <row r="74" spans="1:7" ht="24">
      <c r="A74" s="2855">
        <v>2</v>
      </c>
      <c r="B74" s="3659"/>
      <c r="C74" s="2829" t="s">
        <v>2657</v>
      </c>
      <c r="D74" s="2829" t="s">
        <v>2658</v>
      </c>
      <c r="E74" s="2855">
        <v>0.2</v>
      </c>
      <c r="F74" s="2855">
        <v>25</v>
      </c>
    </row>
    <row r="75" spans="1:7" ht="24">
      <c r="A75" s="2855">
        <v>3</v>
      </c>
      <c r="B75" s="3659"/>
      <c r="C75" s="2829" t="s">
        <v>2659</v>
      </c>
      <c r="D75" s="2829" t="s">
        <v>2660</v>
      </c>
      <c r="E75" s="2855">
        <v>0.2</v>
      </c>
      <c r="F75" s="2855">
        <v>25</v>
      </c>
    </row>
    <row r="76" spans="1:7" ht="13.5">
      <c r="A76" s="2855">
        <v>4</v>
      </c>
      <c r="B76" s="3659"/>
      <c r="C76" s="2829" t="s">
        <v>2661</v>
      </c>
      <c r="D76" s="2829" t="s">
        <v>2662</v>
      </c>
      <c r="E76" s="2855">
        <v>0.15</v>
      </c>
      <c r="F76" s="2855">
        <v>20</v>
      </c>
    </row>
    <row r="77" spans="1:7" ht="24">
      <c r="A77" s="2855">
        <v>5</v>
      </c>
      <c r="B77" s="3659"/>
      <c r="C77" s="2829" t="s">
        <v>2663</v>
      </c>
      <c r="D77" s="2829" t="s">
        <v>2664</v>
      </c>
      <c r="E77" s="2855">
        <v>0.15</v>
      </c>
      <c r="F77" s="2855">
        <v>20</v>
      </c>
    </row>
    <row r="78" spans="1:7" ht="24">
      <c r="A78" s="2855">
        <v>6</v>
      </c>
      <c r="B78" s="3659"/>
      <c r="C78" s="2829" t="s">
        <v>2665</v>
      </c>
      <c r="D78" s="2829" t="s">
        <v>2666</v>
      </c>
      <c r="E78" s="2855">
        <v>0.15</v>
      </c>
      <c r="F78" s="2855">
        <v>20</v>
      </c>
    </row>
    <row r="79" spans="1:7" ht="24">
      <c r="A79" s="2855">
        <v>7</v>
      </c>
      <c r="B79" s="3659"/>
      <c r="C79" s="2829" t="s">
        <v>2667</v>
      </c>
      <c r="D79" s="2829" t="s">
        <v>2668</v>
      </c>
      <c r="E79" s="2855">
        <v>0.15</v>
      </c>
      <c r="F79" s="2855">
        <v>20</v>
      </c>
    </row>
    <row r="80" spans="1:7" ht="24">
      <c r="A80" s="2855">
        <v>8</v>
      </c>
      <c r="B80" s="3659"/>
      <c r="C80" s="2829" t="s">
        <v>2669</v>
      </c>
      <c r="D80" s="2829" t="s">
        <v>2670</v>
      </c>
      <c r="E80" s="2855">
        <v>0.1</v>
      </c>
      <c r="F80" s="2855">
        <v>15</v>
      </c>
    </row>
    <row r="81" spans="1:6" ht="24">
      <c r="A81" s="2855">
        <v>9</v>
      </c>
      <c r="B81" s="3659"/>
      <c r="C81" s="2829" t="s">
        <v>2671</v>
      </c>
      <c r="D81" s="2829" t="s">
        <v>2672</v>
      </c>
      <c r="E81" s="2855">
        <v>0.1</v>
      </c>
      <c r="F81" s="2855">
        <v>15</v>
      </c>
    </row>
    <row r="82" spans="1:6" ht="24">
      <c r="A82" s="2855">
        <v>10</v>
      </c>
      <c r="B82" s="3659"/>
      <c r="C82" s="2829" t="s">
        <v>2673</v>
      </c>
      <c r="D82" s="2829" t="s">
        <v>2674</v>
      </c>
      <c r="E82" s="2855">
        <v>0.1</v>
      </c>
      <c r="F82" s="2855">
        <v>15</v>
      </c>
    </row>
    <row r="83" spans="1:6" ht="24">
      <c r="A83" s="2855">
        <v>11</v>
      </c>
      <c r="B83" s="3659"/>
      <c r="C83" s="2829" t="s">
        <v>2675</v>
      </c>
      <c r="D83" s="2829" t="s">
        <v>2676</v>
      </c>
      <c r="E83" s="2855">
        <v>0.1</v>
      </c>
      <c r="F83" s="2855">
        <v>15</v>
      </c>
    </row>
    <row r="84" spans="1:6" ht="24">
      <c r="A84" s="2855">
        <v>12</v>
      </c>
      <c r="B84" s="3659"/>
      <c r="C84" s="2829" t="s">
        <v>2677</v>
      </c>
      <c r="D84" s="2829" t="s">
        <v>2678</v>
      </c>
      <c r="E84" s="2855">
        <v>0.1</v>
      </c>
      <c r="F84" s="2855">
        <v>15</v>
      </c>
    </row>
    <row r="85" spans="1:6" ht="13.5">
      <c r="A85" s="2855">
        <v>13</v>
      </c>
      <c r="B85" s="3659"/>
      <c r="C85" s="2829" t="s">
        <v>2679</v>
      </c>
      <c r="D85" s="2829" t="s">
        <v>2680</v>
      </c>
      <c r="E85" s="2855">
        <v>0.1</v>
      </c>
      <c r="F85" s="2855">
        <v>15</v>
      </c>
    </row>
    <row r="86" spans="1:6" ht="13.5">
      <c r="A86" s="2855">
        <v>14</v>
      </c>
      <c r="B86" s="3659"/>
      <c r="C86" s="2829" t="s">
        <v>2681</v>
      </c>
      <c r="D86" s="2829" t="s">
        <v>2682</v>
      </c>
      <c r="E86" s="2855">
        <v>0.1</v>
      </c>
      <c r="F86" s="2855">
        <v>15</v>
      </c>
    </row>
    <row r="87" spans="1:6" ht="13.5">
      <c r="A87" s="2855">
        <v>15</v>
      </c>
      <c r="B87" s="3659"/>
      <c r="C87" s="2829" t="s">
        <v>2683</v>
      </c>
      <c r="D87" s="2829" t="s">
        <v>2684</v>
      </c>
      <c r="E87" s="2855">
        <v>0.1</v>
      </c>
      <c r="F87" s="2855">
        <v>15</v>
      </c>
    </row>
    <row r="88" spans="1:6" ht="24">
      <c r="A88" s="2855">
        <v>16</v>
      </c>
      <c r="B88" s="3659"/>
      <c r="C88" s="2829" t="s">
        <v>2685</v>
      </c>
      <c r="D88" s="2829" t="s">
        <v>2686</v>
      </c>
      <c r="E88" s="2855">
        <v>0.1</v>
      </c>
      <c r="F88" s="2855">
        <v>15</v>
      </c>
    </row>
    <row r="89" spans="1:6" ht="24">
      <c r="A89" s="2855">
        <v>17</v>
      </c>
      <c r="B89" s="3668"/>
      <c r="C89" s="2829" t="s">
        <v>2687</v>
      </c>
      <c r="D89" s="2829" t="s">
        <v>2688</v>
      </c>
      <c r="E89" s="2855">
        <v>0.1</v>
      </c>
      <c r="F89" s="2855">
        <v>15</v>
      </c>
    </row>
    <row r="90" spans="1:6" ht="13.5">
      <c r="A90" s="2855">
        <v>18</v>
      </c>
      <c r="B90" s="3664" t="s">
        <v>2689</v>
      </c>
      <c r="C90" s="2829" t="s">
        <v>2690</v>
      </c>
      <c r="D90" s="2829" t="s">
        <v>2691</v>
      </c>
      <c r="E90" s="2855">
        <v>0.2</v>
      </c>
      <c r="F90" s="2855">
        <v>25</v>
      </c>
    </row>
    <row r="91" spans="1:6" ht="24">
      <c r="A91" s="2855">
        <v>19</v>
      </c>
      <c r="B91" s="3659"/>
      <c r="C91" s="2829" t="s">
        <v>2692</v>
      </c>
      <c r="D91" s="2829" t="s">
        <v>2693</v>
      </c>
      <c r="E91" s="2855">
        <v>0.2</v>
      </c>
      <c r="F91" s="2855">
        <v>25</v>
      </c>
    </row>
    <row r="92" spans="1:6" ht="13.5">
      <c r="A92" s="2855">
        <v>20</v>
      </c>
      <c r="B92" s="3659"/>
      <c r="C92" s="2829" t="s">
        <v>2694</v>
      </c>
      <c r="D92" s="2829" t="s">
        <v>2695</v>
      </c>
      <c r="E92" s="2855">
        <v>0.15</v>
      </c>
      <c r="F92" s="2855">
        <v>20</v>
      </c>
    </row>
    <row r="93" spans="1:6" ht="13.5">
      <c r="A93" s="2855">
        <v>21</v>
      </c>
      <c r="B93" s="3659"/>
      <c r="C93" s="2829" t="s">
        <v>2696</v>
      </c>
      <c r="D93" s="2829" t="s">
        <v>2697</v>
      </c>
      <c r="E93" s="2855">
        <v>0.15</v>
      </c>
      <c r="F93" s="2855">
        <v>20</v>
      </c>
    </row>
    <row r="94" spans="1:6" ht="13.5">
      <c r="A94" s="2855">
        <v>22</v>
      </c>
      <c r="B94" s="3659"/>
      <c r="C94" s="2829" t="s">
        <v>2698</v>
      </c>
      <c r="D94" s="2829" t="s">
        <v>2699</v>
      </c>
      <c r="E94" s="2855">
        <v>0.15</v>
      </c>
      <c r="F94" s="2855">
        <v>20</v>
      </c>
    </row>
    <row r="95" spans="1:6" ht="36">
      <c r="A95" s="2855">
        <v>23</v>
      </c>
      <c r="B95" s="3659"/>
      <c r="C95" s="2829" t="s">
        <v>2700</v>
      </c>
      <c r="D95" s="2829" t="s">
        <v>2701</v>
      </c>
      <c r="E95" s="2855">
        <v>0.15</v>
      </c>
      <c r="F95" s="2855">
        <v>20</v>
      </c>
    </row>
    <row r="96" spans="1:6" ht="13.5">
      <c r="A96" s="2855">
        <v>24</v>
      </c>
      <c r="B96" s="3659"/>
      <c r="C96" s="2829" t="s">
        <v>2702</v>
      </c>
      <c r="D96" s="2829" t="s">
        <v>2703</v>
      </c>
      <c r="E96" s="2855">
        <v>0.1</v>
      </c>
      <c r="F96" s="2855">
        <v>15</v>
      </c>
    </row>
    <row r="97" spans="1:6" ht="13.5">
      <c r="A97" s="2855">
        <v>25</v>
      </c>
      <c r="B97" s="3659"/>
      <c r="C97" s="2829" t="s">
        <v>2704</v>
      </c>
      <c r="D97" s="2829" t="s">
        <v>2705</v>
      </c>
      <c r="E97" s="2855">
        <v>0.1</v>
      </c>
      <c r="F97" s="2855">
        <v>15</v>
      </c>
    </row>
    <row r="98" spans="1:6" ht="24">
      <c r="A98" s="2855">
        <v>26</v>
      </c>
      <c r="B98" s="3659"/>
      <c r="C98" s="2829" t="s">
        <v>2706</v>
      </c>
      <c r="D98" s="2829" t="s">
        <v>2707</v>
      </c>
      <c r="E98" s="2855">
        <v>0.1</v>
      </c>
      <c r="F98" s="2855">
        <v>15</v>
      </c>
    </row>
    <row r="99" spans="1:6" ht="24">
      <c r="A99" s="2855">
        <v>27</v>
      </c>
      <c r="B99" s="3659"/>
      <c r="C99" s="2829" t="s">
        <v>2708</v>
      </c>
      <c r="D99" s="2829" t="s">
        <v>2709</v>
      </c>
      <c r="E99" s="2855">
        <v>0.1</v>
      </c>
      <c r="F99" s="2855">
        <v>15</v>
      </c>
    </row>
    <row r="100" spans="1:6" ht="13.5">
      <c r="A100" s="2855">
        <v>28</v>
      </c>
      <c r="B100" s="3659"/>
      <c r="C100" s="2829" t="s">
        <v>2710</v>
      </c>
      <c r="D100" s="2829" t="s">
        <v>2711</v>
      </c>
      <c r="E100" s="2855">
        <v>0.1</v>
      </c>
      <c r="F100" s="2855">
        <v>15</v>
      </c>
    </row>
    <row r="101" spans="1:6" ht="13.5">
      <c r="A101" s="2855">
        <v>29</v>
      </c>
      <c r="B101" s="3659"/>
      <c r="C101" s="2829" t="s">
        <v>2712</v>
      </c>
      <c r="D101" s="2829" t="s">
        <v>2713</v>
      </c>
      <c r="E101" s="2855">
        <v>0.1</v>
      </c>
      <c r="F101" s="2855">
        <v>15</v>
      </c>
    </row>
    <row r="102" spans="1:6" ht="13.5">
      <c r="A102" s="2855">
        <v>30</v>
      </c>
      <c r="B102" s="3659"/>
      <c r="C102" s="2829" t="s">
        <v>2714</v>
      </c>
      <c r="D102" s="2829" t="s">
        <v>2715</v>
      </c>
      <c r="E102" s="2855">
        <v>0.1</v>
      </c>
      <c r="F102" s="2855">
        <v>15</v>
      </c>
    </row>
    <row r="103" spans="1:6" ht="24">
      <c r="A103" s="2855">
        <v>31</v>
      </c>
      <c r="B103" s="3659"/>
      <c r="C103" s="2829" t="s">
        <v>2716</v>
      </c>
      <c r="D103" s="2829" t="s">
        <v>2717</v>
      </c>
      <c r="E103" s="2855">
        <v>0.1</v>
      </c>
      <c r="F103" s="2855">
        <v>15</v>
      </c>
    </row>
    <row r="104" spans="1:6" ht="24">
      <c r="A104" s="2855">
        <v>32</v>
      </c>
      <c r="B104" s="3659"/>
      <c r="C104" s="2829" t="s">
        <v>2718</v>
      </c>
      <c r="D104" s="2829" t="s">
        <v>2719</v>
      </c>
      <c r="E104" s="2855">
        <v>0.1</v>
      </c>
      <c r="F104" s="2855">
        <v>15</v>
      </c>
    </row>
    <row r="105" spans="1:6" ht="24">
      <c r="A105" s="2855">
        <v>33</v>
      </c>
      <c r="B105" s="3659"/>
      <c r="C105" s="2829" t="s">
        <v>2720</v>
      </c>
      <c r="D105" s="2829" t="s">
        <v>2721</v>
      </c>
      <c r="E105" s="2855">
        <v>0.1</v>
      </c>
      <c r="F105" s="2855">
        <v>15</v>
      </c>
    </row>
    <row r="106" spans="1:6" ht="24">
      <c r="A106" s="2855">
        <v>34</v>
      </c>
      <c r="B106" s="3668"/>
      <c r="C106" s="2829" t="s">
        <v>2722</v>
      </c>
      <c r="D106" s="2829" t="s">
        <v>2723</v>
      </c>
      <c r="E106" s="2855">
        <v>0.1</v>
      </c>
      <c r="F106" s="2855">
        <v>15</v>
      </c>
    </row>
    <row r="107" spans="1:6" ht="24">
      <c r="A107" s="2855">
        <v>35</v>
      </c>
      <c r="B107" s="3664" t="s">
        <v>2724</v>
      </c>
      <c r="C107" s="2855" t="s">
        <v>2725</v>
      </c>
      <c r="D107" s="2829" t="s">
        <v>2726</v>
      </c>
      <c r="E107" s="2855">
        <v>0.15</v>
      </c>
      <c r="F107" s="2855">
        <v>20</v>
      </c>
    </row>
    <row r="108" spans="1:6" ht="13.5">
      <c r="A108" s="2855">
        <v>36</v>
      </c>
      <c r="B108" s="3659"/>
      <c r="C108" s="2855" t="s">
        <v>2727</v>
      </c>
      <c r="D108" s="2829" t="s">
        <v>2728</v>
      </c>
      <c r="E108" s="2855">
        <v>0.15</v>
      </c>
      <c r="F108" s="2855">
        <v>20</v>
      </c>
    </row>
    <row r="109" spans="1:6" ht="13.5">
      <c r="A109" s="2855">
        <v>37</v>
      </c>
      <c r="B109" s="3659"/>
      <c r="C109" s="2855" t="s">
        <v>2729</v>
      </c>
      <c r="D109" s="2829" t="s">
        <v>2730</v>
      </c>
      <c r="E109" s="2855">
        <v>0.15</v>
      </c>
      <c r="F109" s="2855">
        <v>20</v>
      </c>
    </row>
    <row r="110" spans="1:6" ht="13.5">
      <c r="A110" s="2855">
        <v>38</v>
      </c>
      <c r="B110" s="3659"/>
      <c r="C110" s="2855" t="s">
        <v>2731</v>
      </c>
      <c r="D110" s="2829" t="s">
        <v>2732</v>
      </c>
      <c r="E110" s="2855">
        <v>0.1</v>
      </c>
      <c r="F110" s="2855">
        <v>15</v>
      </c>
    </row>
    <row r="111" spans="1:6" ht="24">
      <c r="A111" s="2855">
        <v>39</v>
      </c>
      <c r="B111" s="3659"/>
      <c r="C111" s="2855" t="s">
        <v>2733</v>
      </c>
      <c r="D111" s="2829" t="s">
        <v>2734</v>
      </c>
      <c r="E111" s="2855">
        <v>0.1</v>
      </c>
      <c r="F111" s="2855">
        <v>15</v>
      </c>
    </row>
    <row r="112" spans="1:6" ht="24">
      <c r="A112" s="2855">
        <v>40</v>
      </c>
      <c r="B112" s="3668"/>
      <c r="C112" s="2855" t="s">
        <v>2735</v>
      </c>
      <c r="D112" s="2829" t="s">
        <v>2736</v>
      </c>
      <c r="E112" s="2855">
        <v>0.1</v>
      </c>
      <c r="F112" s="2855">
        <v>15</v>
      </c>
    </row>
    <row r="113" spans="1:6" ht="13.5">
      <c r="A113" s="2855">
        <v>41</v>
      </c>
      <c r="B113" s="3669" t="s">
        <v>2737</v>
      </c>
      <c r="C113" s="2855" t="s">
        <v>2738</v>
      </c>
      <c r="D113" s="2829" t="s">
        <v>2739</v>
      </c>
      <c r="E113" s="2855">
        <v>0.1</v>
      </c>
      <c r="F113" s="2855">
        <v>15</v>
      </c>
    </row>
    <row r="114" spans="1:6" ht="13.5">
      <c r="A114" s="2855">
        <v>42</v>
      </c>
      <c r="B114" s="3669"/>
      <c r="C114" s="2855" t="s">
        <v>2740</v>
      </c>
      <c r="D114" s="2829" t="s">
        <v>2741</v>
      </c>
      <c r="E114" s="2855">
        <v>0.1</v>
      </c>
      <c r="F114" s="2855">
        <v>15</v>
      </c>
    </row>
    <row r="115" spans="1:6" ht="24">
      <c r="A115" s="2855">
        <v>43</v>
      </c>
      <c r="B115" s="3669"/>
      <c r="C115" s="2855" t="s">
        <v>2742</v>
      </c>
      <c r="D115" s="2829" t="s">
        <v>2743</v>
      </c>
      <c r="E115" s="2855">
        <v>0.1</v>
      </c>
      <c r="F115" s="2855">
        <v>15</v>
      </c>
    </row>
    <row r="116" spans="1:6" ht="13.5">
      <c r="A116" s="2855">
        <v>44</v>
      </c>
      <c r="B116" s="3664" t="s">
        <v>2744</v>
      </c>
      <c r="C116" s="2855" t="s">
        <v>2745</v>
      </c>
      <c r="D116" s="2829" t="s">
        <v>2746</v>
      </c>
      <c r="E116" s="2855">
        <v>0.1</v>
      </c>
      <c r="F116" s="2855">
        <v>15</v>
      </c>
    </row>
    <row r="117" spans="1:6" ht="24">
      <c r="A117" s="2855">
        <v>45</v>
      </c>
      <c r="B117" s="3668"/>
      <c r="C117" s="2829" t="s">
        <v>2747</v>
      </c>
      <c r="D117" s="2829" t="s">
        <v>2748</v>
      </c>
      <c r="E117" s="2855">
        <v>0.1</v>
      </c>
      <c r="F117" s="2855">
        <v>15</v>
      </c>
    </row>
    <row r="118" spans="1:6" ht="24">
      <c r="A118" s="2855">
        <v>46</v>
      </c>
      <c r="B118" s="3664" t="s">
        <v>2749</v>
      </c>
      <c r="C118" s="2855" t="s">
        <v>2750</v>
      </c>
      <c r="D118" s="2829" t="s">
        <v>2751</v>
      </c>
      <c r="E118" s="2855">
        <v>0.1</v>
      </c>
      <c r="F118" s="2855">
        <v>15</v>
      </c>
    </row>
    <row r="119" spans="1:6" ht="24">
      <c r="A119" s="2855">
        <v>47</v>
      </c>
      <c r="B119" s="3668"/>
      <c r="C119" s="2855" t="s">
        <v>2752</v>
      </c>
      <c r="D119" s="2829" t="s">
        <v>2753</v>
      </c>
      <c r="E119" s="2855">
        <v>0.1</v>
      </c>
      <c r="F119" s="2855">
        <v>15</v>
      </c>
    </row>
    <row r="120" spans="1:6" ht="13.5">
      <c r="A120" s="2855">
        <v>48</v>
      </c>
      <c r="B120" s="3664" t="s">
        <v>2754</v>
      </c>
      <c r="C120" s="2855" t="s">
        <v>2755</v>
      </c>
      <c r="D120" s="2829" t="s">
        <v>2756</v>
      </c>
      <c r="E120" s="2855">
        <v>0.1</v>
      </c>
      <c r="F120" s="2855">
        <v>15</v>
      </c>
    </row>
    <row r="121" spans="1:6" ht="13.5">
      <c r="A121" s="2855">
        <v>49</v>
      </c>
      <c r="B121" s="3668"/>
      <c r="C121" s="2855" t="s">
        <v>2757</v>
      </c>
      <c r="D121" s="2829" t="s">
        <v>2758</v>
      </c>
      <c r="E121" s="2855">
        <v>0.1</v>
      </c>
      <c r="F121" s="2855">
        <v>15</v>
      </c>
    </row>
    <row r="122" spans="1:6" ht="24">
      <c r="A122" s="2855">
        <v>50</v>
      </c>
      <c r="B122" s="3669" t="s">
        <v>2759</v>
      </c>
      <c r="C122" s="2855" t="s">
        <v>2760</v>
      </c>
      <c r="D122" s="2829" t="s">
        <v>2761</v>
      </c>
      <c r="E122" s="2855">
        <v>0.1</v>
      </c>
      <c r="F122" s="2855">
        <v>15</v>
      </c>
    </row>
    <row r="123" spans="1:6" ht="24">
      <c r="A123" s="2855">
        <v>51</v>
      </c>
      <c r="B123" s="3669"/>
      <c r="C123" s="2855" t="s">
        <v>2762</v>
      </c>
      <c r="D123" s="2829" t="s">
        <v>2763</v>
      </c>
      <c r="E123" s="2855">
        <v>0.1</v>
      </c>
      <c r="F123" s="2855">
        <v>15</v>
      </c>
    </row>
    <row r="124" spans="1:6" ht="24">
      <c r="A124" s="2855">
        <v>52</v>
      </c>
      <c r="B124" s="3669" t="s">
        <v>2764</v>
      </c>
      <c r="C124" s="2855" t="s">
        <v>2765</v>
      </c>
      <c r="D124" s="2829" t="s">
        <v>2766</v>
      </c>
      <c r="E124" s="2855">
        <v>0.1</v>
      </c>
      <c r="F124" s="2855">
        <v>15</v>
      </c>
    </row>
    <row r="125" spans="1:6" ht="24">
      <c r="A125" s="2855">
        <v>53</v>
      </c>
      <c r="B125" s="3669"/>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669" t="s">
        <v>2772</v>
      </c>
      <c r="C127" s="2855" t="s">
        <v>2773</v>
      </c>
      <c r="D127" s="2829" t="s">
        <v>2774</v>
      </c>
      <c r="E127" s="2855">
        <v>0.1</v>
      </c>
      <c r="F127" s="2855">
        <v>15</v>
      </c>
    </row>
    <row r="128" spans="1:6" ht="13.5">
      <c r="A128" s="2855">
        <v>56</v>
      </c>
      <c r="B128" s="3669"/>
      <c r="C128" s="2855" t="s">
        <v>2775</v>
      </c>
      <c r="D128" s="2829" t="s">
        <v>2776</v>
      </c>
      <c r="E128" s="2855">
        <v>0.1</v>
      </c>
      <c r="F128" s="2855">
        <v>15</v>
      </c>
    </row>
    <row r="129" spans="1:6" ht="24">
      <c r="A129" s="2855">
        <v>57</v>
      </c>
      <c r="B129" s="3669"/>
      <c r="C129" s="2855" t="s">
        <v>2777</v>
      </c>
      <c r="D129" s="2829" t="s">
        <v>2778</v>
      </c>
      <c r="E129" s="2855">
        <v>0.1</v>
      </c>
      <c r="F129" s="2855">
        <v>15</v>
      </c>
    </row>
    <row r="130" spans="1:6" ht="24">
      <c r="A130" s="2855">
        <v>58</v>
      </c>
      <c r="B130" s="3669" t="s">
        <v>2779</v>
      </c>
      <c r="C130" s="2855" t="s">
        <v>2780</v>
      </c>
      <c r="D130" s="2829" t="s">
        <v>2781</v>
      </c>
      <c r="E130" s="2855">
        <v>0.1</v>
      </c>
      <c r="F130" s="2855">
        <v>15</v>
      </c>
    </row>
    <row r="131" spans="1:6" ht="13.5">
      <c r="A131" s="2855">
        <v>59</v>
      </c>
      <c r="B131" s="3669"/>
      <c r="C131" s="2855" t="s">
        <v>2782</v>
      </c>
      <c r="D131" s="2829" t="s">
        <v>2783</v>
      </c>
      <c r="E131" s="2855">
        <v>0.1</v>
      </c>
      <c r="F131" s="2855">
        <v>15</v>
      </c>
    </row>
    <row r="132" spans="1:6" ht="13.5">
      <c r="A132" s="2855">
        <v>60</v>
      </c>
      <c r="B132" s="3664" t="s">
        <v>2784</v>
      </c>
      <c r="C132" s="2855" t="s">
        <v>2785</v>
      </c>
      <c r="D132" s="2829" t="s">
        <v>2786</v>
      </c>
      <c r="E132" s="2855">
        <v>0.1</v>
      </c>
      <c r="F132" s="2855">
        <v>15</v>
      </c>
    </row>
    <row r="133" spans="1:6" ht="13.5">
      <c r="A133" s="2855">
        <v>61</v>
      </c>
      <c r="B133" s="3668"/>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669" t="s">
        <v>2792</v>
      </c>
      <c r="C135" s="2855" t="s">
        <v>2793</v>
      </c>
      <c r="D135" s="2829" t="s">
        <v>2794</v>
      </c>
      <c r="E135" s="2855">
        <v>0.1</v>
      </c>
      <c r="F135" s="2855">
        <v>15</v>
      </c>
    </row>
    <row r="136" spans="1:6" ht="13.5">
      <c r="A136" s="2855">
        <v>64</v>
      </c>
      <c r="B136" s="3669"/>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4"/>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33854</v>
      </c>
      <c r="C2" s="2" t="s">
        <v>106</v>
      </c>
      <c r="D2" s="191"/>
      <c r="E2" s="191"/>
      <c r="F2" s="191"/>
      <c r="G2" s="191"/>
    </row>
    <row r="3" spans="1:7" s="192" customFormat="1" ht="18" customHeight="1" thickBot="1">
      <c r="A3" s="195" t="s">
        <v>58</v>
      </c>
      <c r="B3" s="196">
        <f ca="1">ROUND(B2*10000/'数据-汇总表'!E3,0)</f>
        <v>28607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237</v>
      </c>
      <c r="D10" s="792">
        <f>'数据-汇总表'!E6</f>
        <v>11833.989999999994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237</v>
      </c>
      <c r="D19" s="204">
        <f>'数据-汇总表'!E3</f>
        <v>11833.989999999994</v>
      </c>
      <c r="E19" s="203">
        <f>'数据-取费表'!B31</f>
        <v>200</v>
      </c>
      <c r="F19" s="223"/>
      <c r="G19" s="1" t="s">
        <v>436</v>
      </c>
    </row>
    <row r="20" spans="1:7" s="206" customFormat="1" ht="13.5" customHeight="1">
      <c r="A20" s="728" t="s">
        <v>419</v>
      </c>
      <c r="B20" s="202" t="s">
        <v>77</v>
      </c>
      <c r="C20" s="224">
        <f>ROUND((C5+C19)*F20,0)</f>
        <v>313</v>
      </c>
      <c r="D20" s="224"/>
      <c r="E20" s="224"/>
      <c r="F20" s="225">
        <f>'数据-取费表'!B37</f>
        <v>1.4999999999999999E-2</v>
      </c>
      <c r="G20" s="1001" t="s">
        <v>430</v>
      </c>
    </row>
    <row r="21" spans="1:7" s="206" customFormat="1" ht="13.5" customHeight="1">
      <c r="A21" s="728" t="s">
        <v>421</v>
      </c>
      <c r="B21" s="202" t="s">
        <v>78</v>
      </c>
      <c r="C21" s="227">
        <f>F21</f>
        <v>1.4999999999999999E-2</v>
      </c>
      <c r="D21" s="228" t="s">
        <v>99</v>
      </c>
      <c r="E21" s="224"/>
      <c r="F21" s="225">
        <f>'数据-取费表'!B38</f>
        <v>1.4999999999999999E-2</v>
      </c>
      <c r="G21" s="226" t="s">
        <v>79</v>
      </c>
    </row>
    <row r="22" spans="1:7" s="206" customFormat="1" ht="13.5" customHeight="1">
      <c r="A22" s="728" t="s">
        <v>341</v>
      </c>
      <c r="B22" s="202" t="s">
        <v>80</v>
      </c>
      <c r="C22" s="1038">
        <f ca="1">ROUND(SUM(C23:C25),0)</f>
        <v>1779</v>
      </c>
      <c r="D22" s="227">
        <f ca="1">C26</f>
        <v>5.9999999999999995E-4</v>
      </c>
      <c r="E22" s="228" t="s">
        <v>99</v>
      </c>
      <c r="F22" s="229">
        <f ca="1">'数据-取费表'!B40</f>
        <v>4.1499999999999995E-2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1746</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20</v>
      </c>
      <c r="D24" s="230"/>
      <c r="E24" s="230"/>
      <c r="F24" s="231"/>
      <c r="G24" s="232" t="s">
        <v>82</v>
      </c>
    </row>
    <row r="25" spans="1:7" s="206" customFormat="1" ht="24">
      <c r="A25" s="731" t="s">
        <v>348</v>
      </c>
      <c r="B25" s="207" t="s">
        <v>420</v>
      </c>
      <c r="C25" s="1039">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3174</v>
      </c>
      <c r="D27" s="227">
        <f>C29</f>
        <v>2.3E-3</v>
      </c>
      <c r="E27" s="228" t="s">
        <v>99</v>
      </c>
      <c r="F27" s="238">
        <f>'数据-取费表'!Q16</f>
        <v>0.15</v>
      </c>
      <c r="G27" s="239" t="s">
        <v>431</v>
      </c>
    </row>
    <row r="28" spans="1:7" s="206" customFormat="1" ht="13.5" customHeight="1">
      <c r="A28" s="731" t="s">
        <v>349</v>
      </c>
      <c r="B28" s="240" t="s">
        <v>424</v>
      </c>
      <c r="C28" s="241">
        <f>ROUND((C5+C19+C20)*F27*'数据-取费表'!B21/'数据-取费表'!B20,0)</f>
        <v>3174</v>
      </c>
      <c r="D28" s="227"/>
      <c r="E28" s="228"/>
      <c r="F28" s="238"/>
      <c r="G28" s="239"/>
    </row>
    <row r="29" spans="1:7" s="206" customFormat="1" ht="13.5" customHeight="1">
      <c r="A29" s="731" t="s">
        <v>347</v>
      </c>
      <c r="B29" s="240" t="s">
        <v>425</v>
      </c>
      <c r="C29" s="230">
        <f>ROUND(C21*F27*'数据-取费表'!B21/'数据-取费表'!B20,4)</f>
        <v>2.3E-3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5184</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4734</v>
      </c>
      <c r="D34" s="209"/>
      <c r="E34" s="212"/>
      <c r="F34" s="249">
        <f>IF('数据-取费表'!B24=0,1,'数据-取费表'!N16)</f>
        <v>1</v>
      </c>
      <c r="G34" s="211" t="s">
        <v>89</v>
      </c>
    </row>
    <row r="35" spans="1:7" ht="13.5" customHeight="1">
      <c r="A35" s="731" t="s">
        <v>351</v>
      </c>
      <c r="B35" s="207" t="s">
        <v>33</v>
      </c>
      <c r="C35" s="212">
        <f>ROUND(C34*F35,0)</f>
        <v>142</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1" t="s">
        <v>353</v>
      </c>
      <c r="B37" s="207" t="s">
        <v>91</v>
      </c>
      <c r="C37" s="241">
        <f>ROUND(E37*D37*F34/10000,0)</f>
        <v>237</v>
      </c>
      <c r="D37" s="209">
        <f>'数据-汇总表'!E3</f>
        <v>11833.989999999994</v>
      </c>
      <c r="E37" s="241">
        <f>'数据-取费表'!B35</f>
        <v>200</v>
      </c>
      <c r="F37" s="251"/>
      <c r="G37" s="253" t="s">
        <v>92</v>
      </c>
    </row>
    <row r="38" spans="1:7" ht="13.5" customHeight="1">
      <c r="A38" s="731" t="s">
        <v>354</v>
      </c>
      <c r="B38" s="207" t="s">
        <v>36</v>
      </c>
      <c r="C38" s="212">
        <f>ROUND(C34*F38,0)</f>
        <v>71</v>
      </c>
      <c r="D38" s="212"/>
      <c r="E38" s="212"/>
      <c r="F38" s="251">
        <f>'数据-取费表'!B36</f>
        <v>1.4999999999999999E-2</v>
      </c>
      <c r="G38" s="211" t="s">
        <v>90</v>
      </c>
    </row>
    <row r="39" spans="1:7" s="206" customFormat="1" ht="13.5" customHeight="1">
      <c r="A39" s="728" t="s">
        <v>338</v>
      </c>
      <c r="B39" s="202" t="s">
        <v>77</v>
      </c>
      <c r="C39" s="224">
        <f>ROUND(C33*F20,0)</f>
        <v>78</v>
      </c>
      <c r="D39" s="224"/>
      <c r="E39" s="224"/>
      <c r="F39" s="225"/>
      <c r="G39" s="1001" t="s">
        <v>433</v>
      </c>
    </row>
    <row r="40" spans="1:7" s="206" customFormat="1" ht="13.5" customHeight="1">
      <c r="A40" s="728" t="s">
        <v>339</v>
      </c>
      <c r="B40" s="202" t="s">
        <v>78</v>
      </c>
      <c r="C40" s="254">
        <f>F21</f>
        <v>1.4999999999999999E-2</v>
      </c>
      <c r="D40" s="228" t="s">
        <v>102</v>
      </c>
      <c r="E40" s="224"/>
      <c r="F40" s="225"/>
      <c r="G40" s="226" t="s">
        <v>93</v>
      </c>
    </row>
    <row r="41" spans="1:7" s="206" customFormat="1" ht="13.5" customHeight="1">
      <c r="A41" s="728" t="s">
        <v>340</v>
      </c>
      <c r="B41" s="202" t="s">
        <v>80</v>
      </c>
      <c r="C41" s="224">
        <f ca="1">ROUND(SUM(C42:C43),0)</f>
        <v>218</v>
      </c>
      <c r="D41" s="227">
        <f ca="1">C44</f>
        <v>5.9999999999999995E-4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215</v>
      </c>
      <c r="D42" s="230"/>
      <c r="E42" s="230"/>
      <c r="F42" s="231"/>
      <c r="G42" s="3527" t="s">
        <v>94</v>
      </c>
    </row>
    <row r="43" spans="1:7" ht="13.5" customHeight="1">
      <c r="A43" s="731" t="s">
        <v>347</v>
      </c>
      <c r="B43" s="207" t="s">
        <v>426</v>
      </c>
      <c r="C43" s="230">
        <f ca="1">ROUND(IF('数据-取费表'!B22&lt;=1,C39*F22*'数据-取费表'!B21/2,C39*(POWER((1+F22),'数据-取费表'!B21/2)-1)),0)</f>
        <v>3</v>
      </c>
      <c r="D43" s="230"/>
      <c r="E43" s="230"/>
      <c r="F43" s="231"/>
      <c r="G43" s="3528"/>
    </row>
    <row r="44" spans="1:7" ht="13.5" customHeight="1">
      <c r="A44" s="731" t="s">
        <v>348</v>
      </c>
      <c r="B44" s="207" t="s">
        <v>428</v>
      </c>
      <c r="C44" s="230">
        <f ca="1">ROUND(IF('数据-取费表'!B22&lt;=1,C40*F22*'数据-取费表'!B21/2,C40*(POWER((1+F22),'数据-取费表'!B21/2)-1)),4)</f>
        <v>5.9999999999999995E-4</v>
      </c>
      <c r="D44" s="230"/>
      <c r="E44" s="230"/>
      <c r="F44" s="231"/>
      <c r="G44" s="3529"/>
    </row>
    <row r="45" spans="1:7" s="206" customFormat="1" ht="13.5" customHeight="1">
      <c r="A45" s="728" t="s">
        <v>341</v>
      </c>
      <c r="B45" s="236" t="s">
        <v>85</v>
      </c>
      <c r="C45" s="237">
        <f>C46</f>
        <v>789</v>
      </c>
      <c r="D45" s="227">
        <f>C47</f>
        <v>2.3E-3</v>
      </c>
      <c r="E45" s="228" t="s">
        <v>102</v>
      </c>
      <c r="F45" s="238"/>
      <c r="G45" s="239" t="s">
        <v>434</v>
      </c>
    </row>
    <row r="46" spans="1:7" s="206" customFormat="1" ht="13.5" customHeight="1">
      <c r="A46" s="731" t="s">
        <v>349</v>
      </c>
      <c r="B46" s="240" t="s">
        <v>427</v>
      </c>
      <c r="C46" s="241">
        <f>ROUND((C33+C39)*F27,0)</f>
        <v>789</v>
      </c>
      <c r="D46" s="255"/>
      <c r="E46" s="228"/>
      <c r="F46" s="238"/>
      <c r="G46" s="239"/>
    </row>
    <row r="47" spans="1:7" s="206" customFormat="1" ht="13.5" customHeight="1">
      <c r="A47" s="731" t="s">
        <v>347</v>
      </c>
      <c r="B47" s="240" t="s">
        <v>429</v>
      </c>
      <c r="C47" s="230">
        <f>ROUND(C40*F27,4)</f>
        <v>2.3E-3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6750</v>
      </c>
      <c r="D49" s="224"/>
      <c r="E49" s="224"/>
      <c r="F49" s="256"/>
      <c r="G49" s="226" t="s">
        <v>435</v>
      </c>
    </row>
    <row r="50" spans="1:7" s="250" customFormat="1" ht="24">
      <c r="A50" s="728" t="s">
        <v>344</v>
      </c>
      <c r="B50" s="202" t="s">
        <v>97</v>
      </c>
      <c r="C50" s="224"/>
      <c r="D50" s="224"/>
      <c r="E50" s="224"/>
      <c r="F50" s="256">
        <f>IF('数据-取费表'!B24=0,'数据-取费表'!N16,1)</f>
        <v>0.85</v>
      </c>
      <c r="G50" s="239" t="s">
        <v>98</v>
      </c>
    </row>
    <row r="51" spans="1:7" ht="16.5" customHeight="1">
      <c r="A51" s="728" t="s">
        <v>345</v>
      </c>
      <c r="B51" s="202" t="s">
        <v>105</v>
      </c>
      <c r="C51" s="224">
        <f ca="1">ROUND(C49*F50,0)</f>
        <v>5738</v>
      </c>
      <c r="D51" s="224"/>
      <c r="E51" s="224"/>
      <c r="F51" s="256"/>
      <c r="G51" s="226" t="s">
        <v>37</v>
      </c>
    </row>
    <row r="52" spans="1:7" s="200" customFormat="1" ht="16.5" thickBot="1">
      <c r="A52" s="257" t="s">
        <v>38</v>
      </c>
      <c r="B52" s="258"/>
      <c r="C52" s="259">
        <f ca="1">C31+C51</f>
        <v>33854</v>
      </c>
      <c r="D52" s="258"/>
      <c r="E52" s="258"/>
      <c r="F52" s="258"/>
      <c r="G52" s="260"/>
    </row>
    <row r="55" spans="1:7" ht="15">
      <c r="B55" s="262" t="s">
        <v>39</v>
      </c>
      <c r="C55" s="263"/>
    </row>
    <row r="56" spans="1:7">
      <c r="B56" s="265" t="s">
        <v>40</v>
      </c>
      <c r="C56" s="266">
        <f ca="1">ROUND(C51/C52,3)</f>
        <v>0.16900000000000001</v>
      </c>
    </row>
    <row r="57" spans="1:7">
      <c r="B57" s="265" t="s">
        <v>41</v>
      </c>
      <c r="C57" s="267">
        <f ca="1">1-C56</f>
        <v>0.83099999999999996</v>
      </c>
    </row>
  </sheetData>
  <mergeCells count="1">
    <mergeCell ref="G42:G44"/>
  </mergeCells>
  <phoneticPr fontId="20" type="noConversion"/>
  <dataValidations count="2">
    <dataValidation type="list" allowBlank="1" showInputMessage="1" showErrorMessage="1" sqref="G19" xr:uid="{00000000-0002-0000-3200-000000000000}">
      <formula1>"已包含在土地取得成本中,未包含在土地取得成本中"</formula1>
    </dataValidation>
    <dataValidation type="list" allowBlank="1" showInputMessage="1" showErrorMessage="1" sqref="G8" xr:uid="{00000000-0002-0000-32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672" t="s">
        <v>2846</v>
      </c>
      <c r="B1" s="3672"/>
      <c r="C1" s="3672"/>
      <c r="D1" s="3672"/>
      <c r="E1" s="3672"/>
      <c r="F1" s="3672"/>
      <c r="G1" s="3673"/>
      <c r="I1" s="2936" t="s">
        <v>2847</v>
      </c>
      <c r="J1" s="2937" t="s">
        <v>2848</v>
      </c>
      <c r="K1" s="2937" t="s">
        <v>2849</v>
      </c>
      <c r="L1" s="2937" t="s">
        <v>2850</v>
      </c>
      <c r="M1" s="2937" t="s">
        <v>2851</v>
      </c>
      <c r="N1" s="2937" t="s">
        <v>2852</v>
      </c>
      <c r="O1" s="2937" t="s">
        <v>2853</v>
      </c>
      <c r="P1" s="2937" t="s">
        <v>2854</v>
      </c>
      <c r="Q1" s="2937" t="s">
        <v>2855</v>
      </c>
      <c r="R1" s="2937" t="s">
        <v>2856</v>
      </c>
      <c r="S1" s="2937" t="s">
        <v>2857</v>
      </c>
      <c r="T1" s="2938" t="s">
        <v>2858</v>
      </c>
    </row>
    <row r="2" spans="1:20" ht="12" thickBot="1">
      <c r="A2" s="2939" t="s">
        <v>2859</v>
      </c>
      <c r="B2" s="2939"/>
      <c r="C2" s="2939"/>
      <c r="D2" s="2939"/>
      <c r="E2" s="2939"/>
      <c r="F2" s="2939"/>
      <c r="G2" s="2940" t="s">
        <v>2860</v>
      </c>
      <c r="I2" s="2941" t="s">
        <v>2861</v>
      </c>
      <c r="J2" s="2941" t="s">
        <v>2862</v>
      </c>
      <c r="K2" s="2941" t="s">
        <v>2863</v>
      </c>
      <c r="L2" s="2941" t="s">
        <v>2864</v>
      </c>
      <c r="M2" s="2941" t="s">
        <v>2865</v>
      </c>
      <c r="N2" s="2941" t="s">
        <v>2866</v>
      </c>
      <c r="O2" s="2941" t="s">
        <v>2867</v>
      </c>
      <c r="P2" s="2941" t="s">
        <v>2868</v>
      </c>
      <c r="Q2" s="2941" t="s">
        <v>2869</v>
      </c>
      <c r="R2" s="2941" t="s">
        <v>2870</v>
      </c>
      <c r="S2" s="2941" t="s">
        <v>2871</v>
      </c>
      <c r="T2" s="2941" t="s">
        <v>2872</v>
      </c>
    </row>
    <row r="3" spans="1:20" s="2947" customFormat="1">
      <c r="A3" s="3670" t="s">
        <v>2873</v>
      </c>
      <c r="B3" s="2942"/>
      <c r="C3" s="2943" t="s">
        <v>2814</v>
      </c>
      <c r="D3" s="2943" t="s">
        <v>2874</v>
      </c>
      <c r="E3" s="2943" t="s">
        <v>2816</v>
      </c>
      <c r="F3" s="2943" t="s">
        <v>2875</v>
      </c>
      <c r="G3" s="2943" t="s">
        <v>2634</v>
      </c>
      <c r="H3" s="2944"/>
      <c r="I3" s="2945" t="s">
        <v>2876</v>
      </c>
      <c r="J3" s="2946" t="s">
        <v>128</v>
      </c>
      <c r="K3" s="2946" t="s">
        <v>129</v>
      </c>
      <c r="L3" s="2945" t="s">
        <v>130</v>
      </c>
      <c r="M3" s="2945" t="s">
        <v>131</v>
      </c>
      <c r="N3" s="2945" t="s">
        <v>132</v>
      </c>
      <c r="O3" s="2945" t="s">
        <v>133</v>
      </c>
      <c r="P3" s="2945" t="s">
        <v>134</v>
      </c>
      <c r="Q3" s="2945" t="s">
        <v>135</v>
      </c>
      <c r="R3" s="2945" t="s">
        <v>136</v>
      </c>
      <c r="S3" s="2945" t="s">
        <v>2877</v>
      </c>
      <c r="T3" s="2945" t="s">
        <v>2878</v>
      </c>
    </row>
    <row r="4" spans="1:20" s="2947" customFormat="1" ht="12" thickBot="1">
      <c r="A4" s="3671"/>
      <c r="B4" s="2948" t="s">
        <v>2879</v>
      </c>
      <c r="C4" s="2948" t="s">
        <v>2880</v>
      </c>
      <c r="D4" s="2948" t="s">
        <v>2880</v>
      </c>
      <c r="E4" s="2948" t="s">
        <v>2880</v>
      </c>
      <c r="F4" s="2949" t="s">
        <v>2880</v>
      </c>
      <c r="G4" s="2949" t="s">
        <v>2880</v>
      </c>
      <c r="H4" s="2944"/>
      <c r="I4" s="2946" t="s">
        <v>137</v>
      </c>
      <c r="J4" s="2946" t="s">
        <v>111</v>
      </c>
      <c r="K4" s="2946" t="s">
        <v>138</v>
      </c>
      <c r="L4" s="2945" t="s">
        <v>139</v>
      </c>
      <c r="M4" s="2945" t="s">
        <v>140</v>
      </c>
      <c r="N4" s="2945" t="s">
        <v>141</v>
      </c>
      <c r="O4" s="2945" t="s">
        <v>142</v>
      </c>
      <c r="P4" s="2945" t="s">
        <v>143</v>
      </c>
      <c r="Q4" s="2945" t="s">
        <v>2881</v>
      </c>
      <c r="R4" s="2945" t="s">
        <v>2882</v>
      </c>
      <c r="S4" s="2945" t="s">
        <v>2883</v>
      </c>
      <c r="T4" s="2945" t="s">
        <v>2884</v>
      </c>
    </row>
    <row r="5" spans="1:20">
      <c r="A5" s="2950" t="s">
        <v>2847</v>
      </c>
      <c r="B5" s="2941" t="s">
        <v>2861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2885</v>
      </c>
      <c r="R5" s="2945" t="s">
        <v>2886</v>
      </c>
      <c r="S5" s="2945" t="s">
        <v>153</v>
      </c>
      <c r="T5" s="2945" t="s">
        <v>2887</v>
      </c>
    </row>
    <row r="6" spans="1:20" ht="12" thickBot="1">
      <c r="A6" s="2945" t="s">
        <v>144</v>
      </c>
      <c r="B6" s="2945" t="s">
        <v>2876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2888</v>
      </c>
      <c r="Q6" s="2945" t="s">
        <v>2889</v>
      </c>
      <c r="R6" s="2945" t="s">
        <v>161</v>
      </c>
      <c r="S6" s="2945" t="s">
        <v>2890</v>
      </c>
      <c r="T6" s="2945" t="s">
        <v>2891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2892</v>
      </c>
      <c r="Q7" s="2945" t="s">
        <v>2893</v>
      </c>
      <c r="R7" s="2945" t="s">
        <v>2894</v>
      </c>
      <c r="S7" s="2945" t="s">
        <v>2895</v>
      </c>
      <c r="T7" s="2945" t="s">
        <v>2896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2897</v>
      </c>
      <c r="Q8" s="2945" t="s">
        <v>174</v>
      </c>
      <c r="R8" s="2945" t="s">
        <v>2898</v>
      </c>
      <c r="S8" s="2945" t="s">
        <v>2899</v>
      </c>
      <c r="T8" s="2952" t="s">
        <v>2900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2901</v>
      </c>
      <c r="Q9" s="2945" t="s">
        <v>182</v>
      </c>
      <c r="R9" s="2945" t="s">
        <v>183</v>
      </c>
      <c r="S9" s="2945" t="s">
        <v>200</v>
      </c>
    </row>
    <row r="10" spans="1:20">
      <c r="A10" s="2950" t="s">
        <v>184</v>
      </c>
      <c r="B10" s="2941" t="s">
        <v>2862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2902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2903</v>
      </c>
      <c r="P11" s="2945" t="s">
        <v>191</v>
      </c>
      <c r="Q11" s="2945" t="s">
        <v>199</v>
      </c>
      <c r="R11" s="2945" t="s">
        <v>2904</v>
      </c>
      <c r="S11" s="2945" t="s">
        <v>2905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2906</v>
      </c>
      <c r="P12" s="2945" t="s">
        <v>2907</v>
      </c>
      <c r="Q12" s="2945" t="s">
        <v>2908</v>
      </c>
      <c r="R12" s="2945" t="s">
        <v>2909</v>
      </c>
      <c r="S12" s="2945" t="s">
        <v>2910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2911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2912</v>
      </c>
      <c r="K14" s="2946" t="s">
        <v>215</v>
      </c>
      <c r="L14" s="2945" t="s">
        <v>216</v>
      </c>
      <c r="M14" s="2945" t="s">
        <v>217</v>
      </c>
      <c r="N14" s="2945" t="s">
        <v>218</v>
      </c>
      <c r="O14" s="2945" t="s">
        <v>240</v>
      </c>
      <c r="P14" s="2945" t="s">
        <v>213</v>
      </c>
      <c r="Q14" s="2945" t="s">
        <v>2913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2914</v>
      </c>
      <c r="P15" s="2945" t="s">
        <v>2915</v>
      </c>
      <c r="Q15" s="2945" t="s">
        <v>242</v>
      </c>
      <c r="R15" s="2945" t="s">
        <v>2916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2917</v>
      </c>
      <c r="P16" s="2945" t="s">
        <v>227</v>
      </c>
      <c r="Q16" s="2945" t="s">
        <v>250</v>
      </c>
      <c r="R16" s="2945" t="s">
        <v>207</v>
      </c>
      <c r="S16" s="2945" t="s">
        <v>2918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2919</v>
      </c>
      <c r="P17" s="2945" t="s">
        <v>2920</v>
      </c>
      <c r="Q17" s="2945" t="s">
        <v>256</v>
      </c>
      <c r="R17" s="2945" t="s">
        <v>2921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2922</v>
      </c>
      <c r="P18" s="2945" t="s">
        <v>241</v>
      </c>
      <c r="Q18" s="2945" t="s">
        <v>2923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2924</v>
      </c>
      <c r="P19" s="2945" t="s">
        <v>249</v>
      </c>
      <c r="Q19" s="2945" t="s">
        <v>2925</v>
      </c>
      <c r="R19" s="2945" t="s">
        <v>265</v>
      </c>
      <c r="S19" s="2945" t="s">
        <v>2926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2927</v>
      </c>
      <c r="P20" s="2945" t="s">
        <v>2928</v>
      </c>
      <c r="Q20" s="2945" t="s">
        <v>290</v>
      </c>
      <c r="R20" s="2945" t="s">
        <v>2929</v>
      </c>
      <c r="S20" s="2945" t="s">
        <v>277</v>
      </c>
    </row>
    <row r="21" spans="1:19" ht="14.25" customHeight="1" thickBot="1">
      <c r="A21" s="2945" t="s">
        <v>184</v>
      </c>
      <c r="B21" s="2946" t="s">
        <v>208</v>
      </c>
      <c r="C21" s="2945">
        <v>32370</v>
      </c>
      <c r="D21" s="2945">
        <v>26730</v>
      </c>
      <c r="E21" s="2945">
        <v>26640</v>
      </c>
      <c r="F21" s="2945"/>
      <c r="G21" s="2945">
        <v>19440</v>
      </c>
      <c r="J21" s="2952" t="s">
        <v>2930</v>
      </c>
      <c r="K21" s="2946" t="s">
        <v>267</v>
      </c>
      <c r="L21" s="2945" t="s">
        <v>268</v>
      </c>
      <c r="M21" s="2945" t="s">
        <v>269</v>
      </c>
      <c r="N21" s="2945" t="s">
        <v>270</v>
      </c>
      <c r="O21" s="2945" t="s">
        <v>264</v>
      </c>
      <c r="P21" s="2945" t="s">
        <v>283</v>
      </c>
      <c r="Q21" s="2945" t="s">
        <v>293</v>
      </c>
      <c r="R21" s="2945" t="s">
        <v>2931</v>
      </c>
      <c r="S21" s="2952" t="s">
        <v>2932</v>
      </c>
    </row>
    <row r="22" spans="1:19" ht="14.25" customHeight="1">
      <c r="A22" s="2945" t="s">
        <v>184</v>
      </c>
      <c r="B22" s="2946" t="s">
        <v>2912</v>
      </c>
      <c r="C22" s="2945">
        <v>29830</v>
      </c>
      <c r="D22" s="2945">
        <v>27600</v>
      </c>
      <c r="E22" s="2945">
        <v>28150</v>
      </c>
      <c r="F22" s="2945"/>
      <c r="G22" s="2945">
        <v>20080</v>
      </c>
      <c r="K22" s="2946" t="s">
        <v>2933</v>
      </c>
      <c r="L22" s="2945" t="s">
        <v>272</v>
      </c>
      <c r="M22" s="2945" t="s">
        <v>273</v>
      </c>
      <c r="N22" s="2945" t="s">
        <v>274</v>
      </c>
      <c r="O22" s="2945" t="s">
        <v>2934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2935</v>
      </c>
      <c r="L23" s="2945" t="s">
        <v>278</v>
      </c>
      <c r="M23" s="2945" t="s">
        <v>279</v>
      </c>
      <c r="N23" s="2945" t="s">
        <v>2936</v>
      </c>
      <c r="O23" s="2945" t="s">
        <v>2937</v>
      </c>
      <c r="P23" s="2945" t="s">
        <v>289</v>
      </c>
      <c r="Q23" s="2945" t="s">
        <v>298</v>
      </c>
      <c r="R23" s="2945" t="s">
        <v>2938</v>
      </c>
    </row>
    <row r="24" spans="1:19" ht="14.25" customHeight="1">
      <c r="A24" s="2945" t="s">
        <v>184</v>
      </c>
      <c r="B24" s="2946" t="s">
        <v>230</v>
      </c>
      <c r="C24" s="2945">
        <v>27930</v>
      </c>
      <c r="D24" s="2945">
        <v>32260</v>
      </c>
      <c r="E24" s="2945">
        <v>32120</v>
      </c>
      <c r="F24" s="2945"/>
      <c r="G24" s="2945">
        <v>23470</v>
      </c>
      <c r="K24" s="2946" t="s">
        <v>2939</v>
      </c>
      <c r="L24" s="2945" t="s">
        <v>281</v>
      </c>
      <c r="M24" s="2945" t="s">
        <v>282</v>
      </c>
      <c r="N24" s="2945" t="s">
        <v>2940</v>
      </c>
      <c r="O24" s="2945" t="s">
        <v>285</v>
      </c>
      <c r="P24" s="2945" t="s">
        <v>2941</v>
      </c>
      <c r="Q24" s="2954" t="s">
        <v>2942</v>
      </c>
      <c r="R24" s="2945" t="s">
        <v>2943</v>
      </c>
    </row>
    <row r="25" spans="1:19" ht="14.25" customHeight="1">
      <c r="A25" s="2945" t="s">
        <v>184</v>
      </c>
      <c r="B25" s="2946" t="s">
        <v>235</v>
      </c>
      <c r="C25" s="2945">
        <v>32230</v>
      </c>
      <c r="D25" s="2945">
        <v>29640</v>
      </c>
      <c r="E25" s="2945">
        <v>29510</v>
      </c>
      <c r="F25" s="2945"/>
      <c r="G25" s="2945">
        <v>21560</v>
      </c>
      <c r="K25" s="2946" t="s">
        <v>2944</v>
      </c>
      <c r="L25" s="2945" t="s">
        <v>2945</v>
      </c>
      <c r="M25" s="2945" t="s">
        <v>284</v>
      </c>
      <c r="N25" s="2945" t="s">
        <v>292</v>
      </c>
      <c r="O25" s="2945" t="s">
        <v>288</v>
      </c>
      <c r="P25" s="2945" t="s">
        <v>275</v>
      </c>
      <c r="Q25" s="2954" t="s">
        <v>271</v>
      </c>
      <c r="R25" s="2945" t="s">
        <v>2946</v>
      </c>
    </row>
    <row r="26" spans="1:19" ht="14.25" customHeight="1" thickBot="1">
      <c r="A26" s="2945" t="s">
        <v>184</v>
      </c>
      <c r="B26" s="2946" t="s">
        <v>244</v>
      </c>
      <c r="C26" s="2945">
        <v>31690</v>
      </c>
      <c r="D26" s="2945">
        <v>27650</v>
      </c>
      <c r="E26" s="2945">
        <v>28200</v>
      </c>
      <c r="F26" s="2945"/>
      <c r="G26" s="2945">
        <v>20110</v>
      </c>
      <c r="K26" s="2951" t="s">
        <v>2947</v>
      </c>
      <c r="L26" s="2945" t="s">
        <v>2948</v>
      </c>
      <c r="M26" s="2945" t="s">
        <v>287</v>
      </c>
      <c r="N26" s="2945" t="s">
        <v>294</v>
      </c>
      <c r="O26" s="2945" t="s">
        <v>2949</v>
      </c>
      <c r="P26" s="2945" t="s">
        <v>2950</v>
      </c>
      <c r="Q26" s="2954" t="s">
        <v>276</v>
      </c>
      <c r="R26" s="2945" t="s">
        <v>2951</v>
      </c>
    </row>
    <row r="27" spans="1:19" ht="14.25" customHeight="1">
      <c r="A27" s="2945" t="s">
        <v>184</v>
      </c>
      <c r="B27" s="2946" t="s">
        <v>251</v>
      </c>
      <c r="C27" s="2945">
        <v>29610</v>
      </c>
      <c r="D27" s="2945">
        <v>27770</v>
      </c>
      <c r="E27" s="2945">
        <v>28300</v>
      </c>
      <c r="F27" s="2945"/>
      <c r="G27" s="2945">
        <v>20210</v>
      </c>
      <c r="L27" s="2945" t="s">
        <v>2952</v>
      </c>
      <c r="M27" s="2945" t="s">
        <v>291</v>
      </c>
      <c r="N27" s="2945" t="s">
        <v>297</v>
      </c>
      <c r="O27" s="2945" t="s">
        <v>2953</v>
      </c>
      <c r="P27" s="2945" t="s">
        <v>2954</v>
      </c>
      <c r="Q27" s="2945" t="s">
        <v>2955</v>
      </c>
      <c r="R27" s="2945" t="s">
        <v>2956</v>
      </c>
    </row>
    <row r="28" spans="1:19" ht="14.25" customHeight="1">
      <c r="A28" s="2945" t="s">
        <v>184</v>
      </c>
      <c r="B28" s="2946" t="s">
        <v>259</v>
      </c>
      <c r="C28" s="2945"/>
      <c r="D28" s="2945">
        <v>31520</v>
      </c>
      <c r="E28" s="2945">
        <v>31410</v>
      </c>
      <c r="F28" s="2945"/>
      <c r="G28" s="2945">
        <v>22940</v>
      </c>
      <c r="L28" s="2945" t="s">
        <v>2957</v>
      </c>
      <c r="M28" s="2945" t="s">
        <v>2958</v>
      </c>
      <c r="N28" s="2945" t="s">
        <v>2959</v>
      </c>
      <c r="O28" s="2945" t="s">
        <v>2960</v>
      </c>
      <c r="P28" s="2945" t="s">
        <v>2961</v>
      </c>
      <c r="Q28" s="2945" t="s">
        <v>2962</v>
      </c>
      <c r="R28" s="2945" t="s">
        <v>2963</v>
      </c>
    </row>
    <row r="29" spans="1:19" ht="14.25" customHeight="1" thickBot="1">
      <c r="A29" s="2953" t="s">
        <v>184</v>
      </c>
      <c r="B29" s="2955" t="s">
        <v>2930</v>
      </c>
      <c r="C29" s="2956"/>
      <c r="D29" s="2956">
        <v>29460</v>
      </c>
      <c r="E29" s="2956">
        <v>28640</v>
      </c>
      <c r="F29" s="2956"/>
      <c r="G29" s="2956">
        <v>21430</v>
      </c>
      <c r="L29" s="2945" t="s">
        <v>2964</v>
      </c>
      <c r="M29" s="2945" t="s">
        <v>2965</v>
      </c>
      <c r="N29" s="2945" t="s">
        <v>2966</v>
      </c>
      <c r="O29" s="2945" t="s">
        <v>2967</v>
      </c>
      <c r="P29" s="2945" t="s">
        <v>2968</v>
      </c>
      <c r="Q29" s="2945" t="s">
        <v>2969</v>
      </c>
      <c r="R29" s="2945" t="s">
        <v>280</v>
      </c>
    </row>
    <row r="30" spans="1:19" ht="14.25" customHeight="1">
      <c r="A30" s="2950" t="s">
        <v>296</v>
      </c>
      <c r="B30" s="2941" t="s">
        <v>2863</v>
      </c>
      <c r="C30" s="2941">
        <v>26890</v>
      </c>
      <c r="D30" s="2941">
        <v>26770</v>
      </c>
      <c r="E30" s="2941">
        <v>25700</v>
      </c>
      <c r="F30" s="2941">
        <v>8180</v>
      </c>
      <c r="G30" s="2957">
        <v>18740</v>
      </c>
      <c r="L30" s="2945" t="s">
        <v>2970</v>
      </c>
      <c r="M30" s="2945" t="s">
        <v>2971</v>
      </c>
      <c r="N30" s="2945" t="s">
        <v>2972</v>
      </c>
      <c r="O30" s="2945" t="s">
        <v>2973</v>
      </c>
      <c r="P30" s="2945" t="s">
        <v>2974</v>
      </c>
      <c r="Q30" s="2945" t="s">
        <v>2975</v>
      </c>
      <c r="R30" s="2945" t="s">
        <v>2976</v>
      </c>
    </row>
    <row r="31" spans="1:19" ht="14.25" customHeight="1">
      <c r="A31" s="2945" t="s">
        <v>296</v>
      </c>
      <c r="B31" s="2946" t="s">
        <v>129</v>
      </c>
      <c r="C31" s="2945">
        <v>24550</v>
      </c>
      <c r="D31" s="2945">
        <v>23990</v>
      </c>
      <c r="E31" s="2945">
        <v>22930</v>
      </c>
      <c r="F31" s="2945">
        <v>7470</v>
      </c>
      <c r="G31" s="2958">
        <v>16790</v>
      </c>
      <c r="L31" s="2945" t="s">
        <v>2977</v>
      </c>
      <c r="M31" s="2945" t="s">
        <v>2978</v>
      </c>
      <c r="N31" s="2945" t="s">
        <v>2979</v>
      </c>
      <c r="O31" s="2945" t="s">
        <v>2980</v>
      </c>
      <c r="P31" s="2945" t="s">
        <v>2981</v>
      </c>
      <c r="Q31" s="2945" t="s">
        <v>2982</v>
      </c>
      <c r="R31" s="2945" t="s">
        <v>2983</v>
      </c>
    </row>
    <row r="32" spans="1:19" ht="14.25" customHeight="1" thickBot="1">
      <c r="A32" s="2945" t="s">
        <v>296</v>
      </c>
      <c r="B32" s="2946" t="s">
        <v>138</v>
      </c>
      <c r="C32" s="2945">
        <v>27210</v>
      </c>
      <c r="D32" s="2945">
        <v>23240</v>
      </c>
      <c r="E32" s="2945">
        <v>23260</v>
      </c>
      <c r="F32" s="2945">
        <v>7130</v>
      </c>
      <c r="G32" s="2958">
        <v>16270</v>
      </c>
      <c r="L32" s="2945" t="s">
        <v>2984</v>
      </c>
      <c r="M32" s="2945" t="s">
        <v>2985</v>
      </c>
      <c r="N32" s="2945" t="s">
        <v>300</v>
      </c>
      <c r="O32" s="2945" t="s">
        <v>2986</v>
      </c>
      <c r="P32" s="2945" t="s">
        <v>299</v>
      </c>
      <c r="Q32" s="2945" t="s">
        <v>2987</v>
      </c>
      <c r="R32" s="2952" t="s">
        <v>2988</v>
      </c>
    </row>
    <row r="33" spans="1:17" ht="14.25" customHeight="1" thickBot="1">
      <c r="A33" s="2945" t="s">
        <v>296</v>
      </c>
      <c r="B33" s="2946" t="s">
        <v>147</v>
      </c>
      <c r="C33" s="2945">
        <v>27300</v>
      </c>
      <c r="D33" s="2945">
        <v>22980</v>
      </c>
      <c r="E33" s="2945">
        <v>24260</v>
      </c>
      <c r="F33" s="2945">
        <v>5860</v>
      </c>
      <c r="G33" s="2958">
        <v>16090</v>
      </c>
      <c r="L33" s="2952" t="s">
        <v>2989</v>
      </c>
      <c r="M33" s="2945" t="s">
        <v>2990</v>
      </c>
      <c r="N33" s="2945" t="s">
        <v>301</v>
      </c>
      <c r="O33" s="2945" t="s">
        <v>2991</v>
      </c>
      <c r="P33" s="2945" t="s">
        <v>2992</v>
      </c>
      <c r="Q33" s="2945" t="s">
        <v>2993</v>
      </c>
    </row>
    <row r="34" spans="1:17" ht="14.25" customHeight="1">
      <c r="A34" s="2945" t="s">
        <v>296</v>
      </c>
      <c r="B34" s="2946" t="s">
        <v>156</v>
      </c>
      <c r="C34" s="2945">
        <v>23090</v>
      </c>
      <c r="D34" s="2945">
        <v>23390</v>
      </c>
      <c r="E34" s="2945">
        <v>23510</v>
      </c>
      <c r="F34" s="2945">
        <v>6700</v>
      </c>
      <c r="G34" s="2958">
        <v>16370</v>
      </c>
      <c r="M34" s="2945" t="s">
        <v>2994</v>
      </c>
      <c r="N34" s="2945" t="s">
        <v>302</v>
      </c>
      <c r="O34" s="2945" t="s">
        <v>2995</v>
      </c>
      <c r="P34" s="2945" t="s">
        <v>2996</v>
      </c>
      <c r="Q34" s="2945" t="s">
        <v>2997</v>
      </c>
    </row>
    <row r="35" spans="1:17" ht="14.25" customHeight="1">
      <c r="A35" s="2945" t="s">
        <v>296</v>
      </c>
      <c r="B35" s="2946" t="s">
        <v>163</v>
      </c>
      <c r="C35" s="2945">
        <v>27270</v>
      </c>
      <c r="D35" s="2945">
        <v>24270</v>
      </c>
      <c r="E35" s="2945">
        <v>24950</v>
      </c>
      <c r="F35" s="2945">
        <v>6600</v>
      </c>
      <c r="G35" s="2958">
        <v>16990</v>
      </c>
      <c r="M35" s="2945" t="s">
        <v>2998</v>
      </c>
      <c r="N35" s="2945" t="s">
        <v>2999</v>
      </c>
      <c r="O35" s="2945" t="s">
        <v>3000</v>
      </c>
      <c r="P35" s="2945" t="s">
        <v>3001</v>
      </c>
      <c r="Q35" s="2945" t="s">
        <v>3002</v>
      </c>
    </row>
    <row r="36" spans="1:17" ht="14.25" customHeight="1">
      <c r="A36" s="2945" t="s">
        <v>296</v>
      </c>
      <c r="B36" s="2946" t="s">
        <v>169</v>
      </c>
      <c r="C36" s="2945">
        <v>23490</v>
      </c>
      <c r="D36" s="2945">
        <v>23020</v>
      </c>
      <c r="E36" s="2945">
        <v>25230</v>
      </c>
      <c r="F36" s="2945">
        <v>6780</v>
      </c>
      <c r="G36" s="2958">
        <v>16120</v>
      </c>
      <c r="M36" s="2945" t="s">
        <v>3003</v>
      </c>
      <c r="N36" s="2945" t="s">
        <v>3004</v>
      </c>
      <c r="O36" s="2945" t="s">
        <v>3005</v>
      </c>
      <c r="P36" s="2945" t="s">
        <v>3006</v>
      </c>
      <c r="Q36" s="2945" t="s">
        <v>3007</v>
      </c>
    </row>
    <row r="37" spans="1:17" ht="14.25" customHeight="1">
      <c r="A37" s="2945" t="s">
        <v>296</v>
      </c>
      <c r="B37" s="2946" t="s">
        <v>176</v>
      </c>
      <c r="C37" s="2945">
        <v>24380</v>
      </c>
      <c r="D37" s="2945">
        <v>22240</v>
      </c>
      <c r="E37" s="2945">
        <v>25980</v>
      </c>
      <c r="F37" s="2945">
        <v>8160</v>
      </c>
      <c r="G37" s="2958">
        <v>15570</v>
      </c>
      <c r="M37" s="2945" t="s">
        <v>3008</v>
      </c>
      <c r="N37" s="2945" t="s">
        <v>3009</v>
      </c>
      <c r="O37" s="2945" t="s">
        <v>3010</v>
      </c>
      <c r="P37" s="2945" t="s">
        <v>3011</v>
      </c>
      <c r="Q37" s="2945" t="s">
        <v>3012</v>
      </c>
    </row>
    <row r="38" spans="1:17" ht="14.25" customHeight="1">
      <c r="A38" s="2945" t="s">
        <v>296</v>
      </c>
      <c r="B38" s="2946" t="s">
        <v>186</v>
      </c>
      <c r="C38" s="2945">
        <v>23120</v>
      </c>
      <c r="D38" s="2945">
        <v>24630</v>
      </c>
      <c r="E38" s="2945">
        <v>25030</v>
      </c>
      <c r="F38" s="2945">
        <v>7710</v>
      </c>
      <c r="G38" s="2958">
        <v>17240</v>
      </c>
      <c r="M38" s="2945" t="s">
        <v>3013</v>
      </c>
      <c r="N38" s="2945" t="s">
        <v>3014</v>
      </c>
      <c r="O38" s="2945" t="s">
        <v>3015</v>
      </c>
      <c r="P38" s="2945" t="s">
        <v>3016</v>
      </c>
      <c r="Q38" s="2945" t="s">
        <v>3017</v>
      </c>
    </row>
    <row r="39" spans="1:17" ht="14.25" customHeight="1">
      <c r="A39" s="2945" t="s">
        <v>296</v>
      </c>
      <c r="B39" s="2946" t="s">
        <v>195</v>
      </c>
      <c r="C39" s="2945">
        <v>22330</v>
      </c>
      <c r="D39" s="2945">
        <v>21140</v>
      </c>
      <c r="E39" s="2945">
        <v>23970</v>
      </c>
      <c r="F39" s="2945">
        <v>7940</v>
      </c>
      <c r="G39" s="2958">
        <v>14790</v>
      </c>
      <c r="M39" s="2945" t="s">
        <v>3018</v>
      </c>
      <c r="N39" s="2945" t="s">
        <v>3019</v>
      </c>
      <c r="O39" s="2945" t="s">
        <v>3020</v>
      </c>
      <c r="P39" s="2945" t="s">
        <v>3021</v>
      </c>
      <c r="Q39" s="2945" t="s">
        <v>3022</v>
      </c>
    </row>
    <row r="40" spans="1:17" ht="14.25" customHeight="1">
      <c r="A40" s="2945" t="s">
        <v>296</v>
      </c>
      <c r="B40" s="2946" t="s">
        <v>202</v>
      </c>
      <c r="C40" s="2945">
        <v>24740</v>
      </c>
      <c r="D40" s="2945">
        <v>24690</v>
      </c>
      <c r="E40" s="2945">
        <v>22610</v>
      </c>
      <c r="F40" s="2945"/>
      <c r="G40" s="2958">
        <v>17280</v>
      </c>
      <c r="M40" s="2945" t="s">
        <v>3023</v>
      </c>
      <c r="N40" s="2945" t="s">
        <v>3024</v>
      </c>
      <c r="O40" s="2945" t="s">
        <v>3025</v>
      </c>
      <c r="P40" s="2945" t="s">
        <v>3026</v>
      </c>
      <c r="Q40" s="2945" t="s">
        <v>3027</v>
      </c>
    </row>
    <row r="41" spans="1:17" ht="14.25" customHeight="1" thickBot="1">
      <c r="A41" s="2945" t="s">
        <v>296</v>
      </c>
      <c r="B41" s="2946" t="s">
        <v>209</v>
      </c>
      <c r="C41" s="2945">
        <v>21220</v>
      </c>
      <c r="D41" s="2945">
        <v>21120</v>
      </c>
      <c r="E41" s="2945">
        <v>22590</v>
      </c>
      <c r="F41" s="2945"/>
      <c r="G41" s="2958">
        <v>14780</v>
      </c>
      <c r="M41" s="2952" t="s">
        <v>3028</v>
      </c>
      <c r="N41" s="2945" t="s">
        <v>3029</v>
      </c>
      <c r="O41" s="2945" t="s">
        <v>3030</v>
      </c>
      <c r="P41" s="2945" t="s">
        <v>3031</v>
      </c>
      <c r="Q41" s="2945" t="s">
        <v>3032</v>
      </c>
    </row>
    <row r="42" spans="1:17" ht="14.25" customHeight="1">
      <c r="A42" s="2945" t="s">
        <v>296</v>
      </c>
      <c r="B42" s="2946" t="s">
        <v>215</v>
      </c>
      <c r="C42" s="2945">
        <v>24800</v>
      </c>
      <c r="D42" s="2945">
        <v>22280</v>
      </c>
      <c r="E42" s="2945">
        <v>24350</v>
      </c>
      <c r="F42" s="2945"/>
      <c r="G42" s="2958">
        <v>15590</v>
      </c>
      <c r="N42" s="2945" t="s">
        <v>3033</v>
      </c>
      <c r="O42" s="2945" t="s">
        <v>3034</v>
      </c>
      <c r="P42" s="2945" t="s">
        <v>3035</v>
      </c>
      <c r="Q42" s="2945" t="s">
        <v>3036</v>
      </c>
    </row>
    <row r="43" spans="1:17" ht="14.25" customHeight="1">
      <c r="A43" s="2945" t="s">
        <v>3037</v>
      </c>
      <c r="B43" s="2946" t="s">
        <v>223</v>
      </c>
      <c r="C43" s="2945">
        <v>21210</v>
      </c>
      <c r="D43" s="2945">
        <v>21160</v>
      </c>
      <c r="E43" s="2945">
        <v>22650</v>
      </c>
      <c r="F43" s="2945"/>
      <c r="G43" s="2958">
        <v>14800</v>
      </c>
      <c r="N43" s="2945" t="s">
        <v>3038</v>
      </c>
      <c r="O43" s="2945" t="s">
        <v>3039</v>
      </c>
      <c r="P43" s="2945" t="s">
        <v>3040</v>
      </c>
      <c r="Q43" s="2945" t="s">
        <v>3041</v>
      </c>
    </row>
    <row r="44" spans="1:17" ht="14.25" customHeight="1" thickBot="1">
      <c r="A44" s="2945" t="s">
        <v>296</v>
      </c>
      <c r="B44" s="2946" t="s">
        <v>231</v>
      </c>
      <c r="C44" s="2945">
        <v>22370</v>
      </c>
      <c r="D44" s="2945">
        <v>23140</v>
      </c>
      <c r="E44" s="2945">
        <v>25090</v>
      </c>
      <c r="F44" s="2945"/>
      <c r="G44" s="2958">
        <v>16190</v>
      </c>
      <c r="N44" s="2945" t="s">
        <v>3042</v>
      </c>
      <c r="O44" s="2945" t="s">
        <v>3043</v>
      </c>
      <c r="P44" s="2952" t="s">
        <v>3044</v>
      </c>
      <c r="Q44" s="2945" t="s">
        <v>3045</v>
      </c>
    </row>
    <row r="45" spans="1:17" ht="14.25" customHeight="1" thickBot="1">
      <c r="A45" s="2945" t="s">
        <v>296</v>
      </c>
      <c r="B45" s="2946" t="s">
        <v>236</v>
      </c>
      <c r="C45" s="2945">
        <v>21240</v>
      </c>
      <c r="D45" s="2945">
        <v>27050</v>
      </c>
      <c r="E45" s="2945">
        <v>28000</v>
      </c>
      <c r="F45" s="2945"/>
      <c r="G45" s="2958">
        <v>18940</v>
      </c>
      <c r="N45" s="2945" t="s">
        <v>3046</v>
      </c>
      <c r="O45" s="2952" t="s">
        <v>3047</v>
      </c>
      <c r="Q45" s="2945" t="s">
        <v>3048</v>
      </c>
    </row>
    <row r="46" spans="1:17" ht="14.25" customHeight="1">
      <c r="A46" s="2945" t="s">
        <v>296</v>
      </c>
      <c r="B46" s="2946" t="s">
        <v>245</v>
      </c>
      <c r="C46" s="2945">
        <v>23240</v>
      </c>
      <c r="D46" s="2945">
        <v>23000</v>
      </c>
      <c r="E46" s="2945">
        <v>24980</v>
      </c>
      <c r="F46" s="2945"/>
      <c r="G46" s="2958">
        <v>16100</v>
      </c>
      <c r="N46" s="2945" t="s">
        <v>3049</v>
      </c>
      <c r="Q46" s="2945" t="s">
        <v>3050</v>
      </c>
    </row>
    <row r="47" spans="1:17" ht="14.25" customHeight="1">
      <c r="A47" s="2945" t="s">
        <v>296</v>
      </c>
      <c r="B47" s="2946" t="s">
        <v>252</v>
      </c>
      <c r="C47" s="2945">
        <v>27150</v>
      </c>
      <c r="D47" s="2945">
        <v>23310</v>
      </c>
      <c r="E47" s="2945">
        <v>25150</v>
      </c>
      <c r="F47" s="2945"/>
      <c r="G47" s="2958">
        <v>16310</v>
      </c>
      <c r="N47" s="2945" t="s">
        <v>3051</v>
      </c>
      <c r="Q47" s="2945" t="s">
        <v>3052</v>
      </c>
    </row>
    <row r="48" spans="1:17" ht="14.25" customHeight="1">
      <c r="A48" s="2945" t="s">
        <v>296</v>
      </c>
      <c r="B48" s="2946" t="s">
        <v>260</v>
      </c>
      <c r="C48" s="2945">
        <v>23100</v>
      </c>
      <c r="D48" s="2945">
        <v>21110</v>
      </c>
      <c r="E48" s="2945">
        <v>23080</v>
      </c>
      <c r="F48" s="2945"/>
      <c r="G48" s="2958">
        <v>14780</v>
      </c>
      <c r="N48" s="2945" t="s">
        <v>3053</v>
      </c>
      <c r="Q48" s="2945" t="s">
        <v>3054</v>
      </c>
    </row>
    <row r="49" spans="1:17" ht="14.25" customHeight="1">
      <c r="A49" s="2945" t="s">
        <v>296</v>
      </c>
      <c r="B49" s="2946" t="s">
        <v>267</v>
      </c>
      <c r="C49" s="2945">
        <v>23400</v>
      </c>
      <c r="D49" s="2945">
        <v>22920</v>
      </c>
      <c r="E49" s="2945">
        <v>24900</v>
      </c>
      <c r="F49" s="2945"/>
      <c r="G49" s="2958">
        <v>16040</v>
      </c>
      <c r="N49" s="2945" t="s">
        <v>3055</v>
      </c>
      <c r="Q49" s="2945" t="s">
        <v>3056</v>
      </c>
    </row>
    <row r="50" spans="1:17" ht="14.25" customHeight="1">
      <c r="A50" s="2945" t="s">
        <v>296</v>
      </c>
      <c r="B50" s="2946" t="s">
        <v>2933</v>
      </c>
      <c r="C50" s="2945">
        <v>21200</v>
      </c>
      <c r="D50" s="2945">
        <v>26540</v>
      </c>
      <c r="E50" s="2945">
        <v>23200</v>
      </c>
      <c r="F50" s="2945"/>
      <c r="G50" s="2958">
        <v>18580</v>
      </c>
      <c r="N50" s="2945" t="s">
        <v>3057</v>
      </c>
      <c r="Q50" s="2946" t="s">
        <v>3058</v>
      </c>
    </row>
    <row r="51" spans="1:17" ht="14.25" customHeight="1" thickBot="1">
      <c r="A51" s="2945" t="s">
        <v>296</v>
      </c>
      <c r="B51" s="2946" t="s">
        <v>2935</v>
      </c>
      <c r="C51" s="2945">
        <v>23000</v>
      </c>
      <c r="D51" s="2945">
        <v>23460</v>
      </c>
      <c r="E51" s="2945">
        <v>25290</v>
      </c>
      <c r="F51" s="2945"/>
      <c r="G51" s="2958">
        <v>16420</v>
      </c>
      <c r="N51" s="2945" t="s">
        <v>3059</v>
      </c>
      <c r="Q51" s="2952" t="s">
        <v>3060</v>
      </c>
    </row>
    <row r="52" spans="1:17" ht="14.25" customHeight="1">
      <c r="A52" s="2945" t="s">
        <v>296</v>
      </c>
      <c r="B52" s="2946" t="s">
        <v>2939</v>
      </c>
      <c r="C52" s="2945">
        <v>26660</v>
      </c>
      <c r="D52" s="2945">
        <v>22350</v>
      </c>
      <c r="E52" s="2945">
        <v>22920</v>
      </c>
      <c r="F52" s="2945"/>
      <c r="G52" s="2958">
        <v>15640</v>
      </c>
      <c r="N52" s="2945" t="s">
        <v>3061</v>
      </c>
    </row>
    <row r="53" spans="1:17" ht="14.25" customHeight="1">
      <c r="A53" s="2945" t="s">
        <v>296</v>
      </c>
      <c r="B53" s="2946" t="s">
        <v>2944</v>
      </c>
      <c r="C53" s="2945">
        <v>23580</v>
      </c>
      <c r="D53" s="2945"/>
      <c r="E53" s="2945">
        <v>24280</v>
      </c>
      <c r="F53" s="2945"/>
      <c r="G53" s="2958"/>
      <c r="N53" s="2945" t="s">
        <v>3062</v>
      </c>
    </row>
    <row r="54" spans="1:17" ht="14.25" customHeight="1" thickBot="1">
      <c r="A54" s="2959" t="s">
        <v>296</v>
      </c>
      <c r="B54" s="2951" t="s">
        <v>2947</v>
      </c>
      <c r="C54" s="2952">
        <v>22460</v>
      </c>
      <c r="D54" s="2952"/>
      <c r="E54" s="2952"/>
      <c r="F54" s="2952"/>
      <c r="G54" s="2960"/>
      <c r="N54" s="2945" t="s">
        <v>3063</v>
      </c>
    </row>
    <row r="55" spans="1:17" ht="14.25" customHeight="1">
      <c r="A55" s="2950" t="s">
        <v>110</v>
      </c>
      <c r="B55" s="2941" t="s">
        <v>3064</v>
      </c>
      <c r="C55" s="2945">
        <v>21970</v>
      </c>
      <c r="D55" s="2945">
        <v>20370</v>
      </c>
      <c r="E55" s="2945">
        <v>20180</v>
      </c>
      <c r="F55" s="2945">
        <v>5730</v>
      </c>
      <c r="G55" s="2945">
        <v>13820</v>
      </c>
      <c r="N55" s="2945" t="s">
        <v>3065</v>
      </c>
    </row>
    <row r="56" spans="1:17" ht="14.25" customHeight="1">
      <c r="A56" s="2945" t="s">
        <v>110</v>
      </c>
      <c r="B56" s="2945" t="s">
        <v>130</v>
      </c>
      <c r="C56" s="2945">
        <v>20470</v>
      </c>
      <c r="D56" s="2945">
        <v>20700</v>
      </c>
      <c r="E56" s="2945">
        <v>20380</v>
      </c>
      <c r="F56" s="2945">
        <v>4760</v>
      </c>
      <c r="G56" s="2945">
        <v>14050</v>
      </c>
      <c r="N56" s="2945" t="s">
        <v>3066</v>
      </c>
    </row>
    <row r="57" spans="1:17" ht="14.25" customHeight="1">
      <c r="A57" s="2945" t="s">
        <v>110</v>
      </c>
      <c r="B57" s="2945" t="s">
        <v>139</v>
      </c>
      <c r="C57" s="2945">
        <v>20790</v>
      </c>
      <c r="D57" s="2945">
        <v>21370</v>
      </c>
      <c r="E57" s="2945">
        <v>20890</v>
      </c>
      <c r="F57" s="2945">
        <v>4910</v>
      </c>
      <c r="G57" s="2945">
        <v>14510</v>
      </c>
      <c r="N57" s="2945" t="s">
        <v>3067</v>
      </c>
    </row>
    <row r="58" spans="1:17" ht="14.25" customHeight="1">
      <c r="A58" s="2945" t="s">
        <v>110</v>
      </c>
      <c r="B58" s="2945" t="s">
        <v>148</v>
      </c>
      <c r="C58" s="2945">
        <v>21460</v>
      </c>
      <c r="D58" s="2945">
        <v>20920</v>
      </c>
      <c r="E58" s="2945">
        <v>23410</v>
      </c>
      <c r="F58" s="2945">
        <v>5100</v>
      </c>
      <c r="G58" s="2945">
        <v>14200</v>
      </c>
      <c r="N58" s="2945" t="s">
        <v>3068</v>
      </c>
    </row>
    <row r="59" spans="1:17" ht="14.25" customHeight="1">
      <c r="A59" s="2945" t="s">
        <v>110</v>
      </c>
      <c r="B59" s="2945" t="s">
        <v>157</v>
      </c>
      <c r="C59" s="2945">
        <v>21000</v>
      </c>
      <c r="D59" s="2945">
        <v>21550</v>
      </c>
      <c r="E59" s="2945">
        <v>21150</v>
      </c>
      <c r="F59" s="2945">
        <v>5250</v>
      </c>
      <c r="G59" s="2945">
        <v>14630</v>
      </c>
      <c r="N59" s="2945" t="s">
        <v>3069</v>
      </c>
    </row>
    <row r="60" spans="1:17" ht="14.25" customHeight="1">
      <c r="A60" s="2945" t="s">
        <v>110</v>
      </c>
      <c r="B60" s="2945" t="s">
        <v>164</v>
      </c>
      <c r="C60" s="2945">
        <v>21640</v>
      </c>
      <c r="D60" s="2945">
        <v>21260</v>
      </c>
      <c r="E60" s="2945">
        <v>24040</v>
      </c>
      <c r="F60" s="2945">
        <v>4470</v>
      </c>
      <c r="G60" s="2945">
        <v>14430</v>
      </c>
      <c r="N60" s="2945" t="s">
        <v>3070</v>
      </c>
    </row>
    <row r="61" spans="1:17" ht="14.25" customHeight="1">
      <c r="A61" s="2945" t="s">
        <v>110</v>
      </c>
      <c r="B61" s="2945" t="s">
        <v>170</v>
      </c>
      <c r="C61" s="2945">
        <v>21330</v>
      </c>
      <c r="D61" s="2945">
        <v>18640</v>
      </c>
      <c r="E61" s="2945">
        <v>21190</v>
      </c>
      <c r="F61" s="2945">
        <v>4180</v>
      </c>
      <c r="G61" s="2945">
        <v>12650</v>
      </c>
      <c r="N61" s="2945" t="s">
        <v>3071</v>
      </c>
    </row>
    <row r="62" spans="1:17" ht="14.25" customHeight="1">
      <c r="A62" s="2945" t="s">
        <v>110</v>
      </c>
      <c r="B62" s="2945" t="s">
        <v>177</v>
      </c>
      <c r="C62" s="2945">
        <v>18710</v>
      </c>
      <c r="D62" s="2945">
        <v>19400</v>
      </c>
      <c r="E62" s="2945">
        <v>23750</v>
      </c>
      <c r="F62" s="2945">
        <v>4860</v>
      </c>
      <c r="G62" s="2945">
        <v>13170</v>
      </c>
      <c r="N62" s="2945" t="s">
        <v>3072</v>
      </c>
    </row>
    <row r="63" spans="1:17" ht="14.25" customHeight="1">
      <c r="A63" s="2945" t="s">
        <v>110</v>
      </c>
      <c r="B63" s="2945" t="s">
        <v>187</v>
      </c>
      <c r="C63" s="2945">
        <v>19480</v>
      </c>
      <c r="D63" s="2945">
        <v>16830</v>
      </c>
      <c r="E63" s="2945">
        <v>21590</v>
      </c>
      <c r="F63" s="2945">
        <v>4560</v>
      </c>
      <c r="G63" s="2945">
        <v>11420</v>
      </c>
      <c r="N63" s="2945" t="s">
        <v>3073</v>
      </c>
    </row>
    <row r="64" spans="1:17" ht="14.25" customHeight="1" thickBot="1">
      <c r="A64" s="2945" t="s">
        <v>110</v>
      </c>
      <c r="B64" s="2945" t="s">
        <v>196</v>
      </c>
      <c r="C64" s="2945">
        <v>16920</v>
      </c>
      <c r="D64" s="2945">
        <v>19190</v>
      </c>
      <c r="E64" s="2945">
        <v>22200</v>
      </c>
      <c r="F64" s="2945">
        <v>4390</v>
      </c>
      <c r="G64" s="2945">
        <v>13030</v>
      </c>
      <c r="N64" s="2952" t="s">
        <v>3074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2945</v>
      </c>
      <c r="C78" s="2945">
        <v>19820</v>
      </c>
      <c r="D78" s="2945">
        <v>19780</v>
      </c>
      <c r="E78" s="2945">
        <v>18560</v>
      </c>
      <c r="F78" s="2945"/>
      <c r="G78" s="2945">
        <v>13430</v>
      </c>
    </row>
    <row r="79" spans="1:7" s="2779" customFormat="1" ht="14.25" customHeight="1">
      <c r="A79" s="2945" t="s">
        <v>110</v>
      </c>
      <c r="B79" s="2945" t="s">
        <v>2948</v>
      </c>
      <c r="C79" s="2945">
        <v>21660</v>
      </c>
      <c r="D79" s="2945">
        <v>18000</v>
      </c>
      <c r="E79" s="2945">
        <v>22570</v>
      </c>
      <c r="F79" s="2945"/>
      <c r="G79" s="2945">
        <v>12220</v>
      </c>
    </row>
    <row r="80" spans="1:7" s="2779" customFormat="1" ht="14.25" customHeight="1">
      <c r="A80" s="2945" t="s">
        <v>110</v>
      </c>
      <c r="B80" s="2945" t="s">
        <v>2952</v>
      </c>
      <c r="C80" s="2945">
        <v>19850</v>
      </c>
      <c r="D80" s="2945"/>
      <c r="E80" s="2945">
        <v>21700</v>
      </c>
      <c r="F80" s="2945"/>
      <c r="G80" s="2945"/>
    </row>
    <row r="81" spans="1:7" s="2779" customFormat="1" ht="14.25" customHeight="1">
      <c r="A81" s="2945" t="s">
        <v>110</v>
      </c>
      <c r="B81" s="2945" t="s">
        <v>2957</v>
      </c>
      <c r="C81" s="2945">
        <v>18080</v>
      </c>
      <c r="D81" s="2945"/>
      <c r="E81" s="2945">
        <v>20900</v>
      </c>
      <c r="F81" s="2945"/>
      <c r="G81" s="2945"/>
    </row>
    <row r="82" spans="1:7" s="2779" customFormat="1" ht="14.25" customHeight="1">
      <c r="A82" s="2945" t="s">
        <v>110</v>
      </c>
      <c r="B82" s="2945" t="s">
        <v>2964</v>
      </c>
      <c r="C82" s="2945"/>
      <c r="D82" s="2945"/>
      <c r="E82" s="2945">
        <v>20840</v>
      </c>
      <c r="F82" s="2945"/>
      <c r="G82" s="2945"/>
    </row>
    <row r="83" spans="1:7" s="2779" customFormat="1" ht="14.25" customHeight="1">
      <c r="A83" s="2945" t="s">
        <v>110</v>
      </c>
      <c r="B83" s="2945" t="s">
        <v>3075</v>
      </c>
      <c r="C83" s="2945"/>
      <c r="D83" s="2945"/>
      <c r="E83" s="2945"/>
      <c r="F83" s="2945">
        <v>4770</v>
      </c>
      <c r="G83" s="2945"/>
    </row>
    <row r="84" spans="1:7" s="2779" customFormat="1" ht="14.25" customHeight="1">
      <c r="A84" s="2945" t="s">
        <v>110</v>
      </c>
      <c r="B84" s="2945" t="s">
        <v>3076</v>
      </c>
      <c r="C84" s="2945"/>
      <c r="D84" s="2945"/>
      <c r="E84" s="2945"/>
      <c r="F84" s="2945">
        <v>4600</v>
      </c>
      <c r="G84" s="2945"/>
    </row>
    <row r="85" spans="1:7" s="2779" customFormat="1" ht="14.25" customHeight="1">
      <c r="A85" s="2945" t="s">
        <v>110</v>
      </c>
      <c r="B85" s="2945" t="s">
        <v>3077</v>
      </c>
      <c r="C85" s="2945"/>
      <c r="D85" s="2945"/>
      <c r="E85" s="2945"/>
      <c r="F85" s="2945">
        <v>4680</v>
      </c>
      <c r="G85" s="2945"/>
    </row>
    <row r="86" spans="1:7" s="2779" customFormat="1" ht="14.25" customHeight="1" thickBot="1">
      <c r="A86" s="2953" t="s">
        <v>110</v>
      </c>
      <c r="B86" s="2955" t="s">
        <v>3078</v>
      </c>
      <c r="C86" s="2956">
        <v>16610</v>
      </c>
      <c r="D86" s="2956">
        <v>16540</v>
      </c>
      <c r="E86" s="2956">
        <v>18850</v>
      </c>
      <c r="F86" s="2956"/>
      <c r="G86" s="2956">
        <v>11220</v>
      </c>
    </row>
    <row r="87" spans="1:7" s="2779" customFormat="1" ht="14.25" customHeight="1">
      <c r="A87" s="2950" t="s">
        <v>303</v>
      </c>
      <c r="B87" s="2941" t="s">
        <v>3079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2958</v>
      </c>
      <c r="C113" s="2945">
        <v>15520</v>
      </c>
      <c r="D113" s="2945">
        <v>15450</v>
      </c>
      <c r="E113" s="2945"/>
      <c r="F113" s="2945"/>
      <c r="G113" s="2958">
        <v>10210</v>
      </c>
    </row>
    <row r="114" spans="1:7" s="2779" customFormat="1" ht="14.25" customHeight="1">
      <c r="A114" s="2945" t="s">
        <v>303</v>
      </c>
      <c r="B114" s="2945" t="s">
        <v>2965</v>
      </c>
      <c r="C114" s="2945">
        <v>13110</v>
      </c>
      <c r="D114" s="2945">
        <v>13050</v>
      </c>
      <c r="E114" s="2945"/>
      <c r="F114" s="2945"/>
      <c r="G114" s="2958">
        <v>8620</v>
      </c>
    </row>
    <row r="115" spans="1:7" s="2779" customFormat="1" ht="14.25" customHeight="1">
      <c r="A115" s="2945" t="s">
        <v>303</v>
      </c>
      <c r="B115" s="2945" t="s">
        <v>2971</v>
      </c>
      <c r="C115" s="2945">
        <v>12460</v>
      </c>
      <c r="D115" s="2945">
        <v>12390</v>
      </c>
      <c r="E115" s="2945"/>
      <c r="F115" s="2945"/>
      <c r="G115" s="2958">
        <v>8190</v>
      </c>
    </row>
    <row r="116" spans="1:7" s="2779" customFormat="1" ht="14.25" customHeight="1">
      <c r="A116" s="2945" t="s">
        <v>303</v>
      </c>
      <c r="B116" s="2945" t="s">
        <v>2978</v>
      </c>
      <c r="C116" s="2945">
        <v>13580</v>
      </c>
      <c r="D116" s="2945">
        <v>13520</v>
      </c>
      <c r="E116" s="2945"/>
      <c r="F116" s="2945"/>
      <c r="G116" s="2958">
        <v>8930</v>
      </c>
    </row>
    <row r="117" spans="1:7" s="2779" customFormat="1" ht="14.25" customHeight="1">
      <c r="A117" s="2945" t="s">
        <v>303</v>
      </c>
      <c r="B117" s="2945" t="s">
        <v>2985</v>
      </c>
      <c r="C117" s="2945">
        <v>17120</v>
      </c>
      <c r="D117" s="2945">
        <v>17040</v>
      </c>
      <c r="E117" s="2945"/>
      <c r="F117" s="2945"/>
      <c r="G117" s="2958">
        <v>11260</v>
      </c>
    </row>
    <row r="118" spans="1:7" s="2779" customFormat="1" ht="14.25" customHeight="1">
      <c r="A118" s="2945" t="s">
        <v>303</v>
      </c>
      <c r="B118" s="2945" t="s">
        <v>2990</v>
      </c>
      <c r="C118" s="2945">
        <v>14860</v>
      </c>
      <c r="D118" s="2945">
        <v>14790</v>
      </c>
      <c r="E118" s="2945"/>
      <c r="F118" s="2945"/>
      <c r="G118" s="2958">
        <v>9780</v>
      </c>
    </row>
    <row r="119" spans="1:7" s="2779" customFormat="1" ht="14.25" customHeight="1">
      <c r="A119" s="2945" t="s">
        <v>303</v>
      </c>
      <c r="B119" s="2945" t="s">
        <v>2994</v>
      </c>
      <c r="C119" s="2945">
        <v>16470</v>
      </c>
      <c r="D119" s="2945">
        <v>16400</v>
      </c>
      <c r="E119" s="2945"/>
      <c r="F119" s="2945"/>
      <c r="G119" s="2958">
        <v>10840</v>
      </c>
    </row>
    <row r="120" spans="1:7" s="2779" customFormat="1" ht="14.25" customHeight="1">
      <c r="A120" s="2945" t="s">
        <v>303</v>
      </c>
      <c r="B120" s="2945" t="s">
        <v>3080</v>
      </c>
      <c r="C120" s="2945"/>
      <c r="D120" s="2945"/>
      <c r="E120" s="2945"/>
      <c r="F120" s="2945">
        <v>4160</v>
      </c>
      <c r="G120" s="2958"/>
    </row>
    <row r="121" spans="1:7" s="2779" customFormat="1" ht="14.25" customHeight="1">
      <c r="A121" s="2945" t="s">
        <v>303</v>
      </c>
      <c r="B121" s="2945" t="s">
        <v>3081</v>
      </c>
      <c r="C121" s="2945"/>
      <c r="D121" s="2945"/>
      <c r="E121" s="2945"/>
      <c r="F121" s="2945">
        <v>3880</v>
      </c>
      <c r="G121" s="2958"/>
    </row>
    <row r="122" spans="1:7" s="2779" customFormat="1" ht="14.25" customHeight="1">
      <c r="A122" s="2945" t="s">
        <v>303</v>
      </c>
      <c r="B122" s="2945" t="s">
        <v>3082</v>
      </c>
      <c r="C122" s="2945">
        <v>13750</v>
      </c>
      <c r="D122" s="2945">
        <v>13680</v>
      </c>
      <c r="E122" s="2945">
        <v>16460</v>
      </c>
      <c r="F122" s="2945">
        <v>2880</v>
      </c>
      <c r="G122" s="2958">
        <v>9040</v>
      </c>
    </row>
    <row r="123" spans="1:7" s="2779" customFormat="1" ht="14.25" customHeight="1">
      <c r="A123" s="2945" t="s">
        <v>303</v>
      </c>
      <c r="B123" s="2945" t="s">
        <v>3013</v>
      </c>
      <c r="C123" s="2945">
        <v>13590</v>
      </c>
      <c r="D123" s="2945">
        <v>13520</v>
      </c>
      <c r="E123" s="2945">
        <v>16290</v>
      </c>
      <c r="F123" s="2945">
        <v>2790</v>
      </c>
      <c r="G123" s="2958">
        <v>8930</v>
      </c>
    </row>
    <row r="124" spans="1:7" s="2779" customFormat="1" ht="14.25" customHeight="1">
      <c r="A124" s="2945" t="s">
        <v>303</v>
      </c>
      <c r="B124" s="2945" t="s">
        <v>3018</v>
      </c>
      <c r="C124" s="2945">
        <v>13400</v>
      </c>
      <c r="D124" s="2945">
        <v>13320</v>
      </c>
      <c r="E124" s="2945">
        <v>16100</v>
      </c>
      <c r="F124" s="2945">
        <v>2320</v>
      </c>
      <c r="G124" s="2958">
        <v>8800</v>
      </c>
    </row>
    <row r="125" spans="1:7" s="2779" customFormat="1" ht="14.25" customHeight="1">
      <c r="A125" s="2945" t="s">
        <v>303</v>
      </c>
      <c r="B125" s="2945" t="s">
        <v>3023</v>
      </c>
      <c r="C125" s="2945">
        <v>12860</v>
      </c>
      <c r="D125" s="2945">
        <v>12790</v>
      </c>
      <c r="E125" s="2945">
        <v>15370</v>
      </c>
      <c r="F125" s="2945">
        <v>2280</v>
      </c>
      <c r="G125" s="2958">
        <v>8450</v>
      </c>
    </row>
    <row r="126" spans="1:7" s="2779" customFormat="1" ht="14.25" customHeight="1" thickBot="1">
      <c r="A126" s="2959" t="s">
        <v>303</v>
      </c>
      <c r="B126" s="2952" t="s">
        <v>3028</v>
      </c>
      <c r="C126" s="2952">
        <v>12960</v>
      </c>
      <c r="D126" s="2952">
        <v>12890</v>
      </c>
      <c r="E126" s="2952">
        <v>15530</v>
      </c>
      <c r="F126" s="2952">
        <v>2910</v>
      </c>
      <c r="G126" s="2960">
        <v>8520</v>
      </c>
    </row>
    <row r="127" spans="1:7" s="2779" customFormat="1" ht="14.25" customHeight="1">
      <c r="A127" s="2950" t="s">
        <v>29</v>
      </c>
      <c r="B127" s="2941" t="s">
        <v>3083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3084</v>
      </c>
      <c r="C148" s="2945">
        <v>10370</v>
      </c>
      <c r="D148" s="2945">
        <v>10310</v>
      </c>
      <c r="E148" s="2945">
        <v>12970</v>
      </c>
      <c r="F148" s="2945"/>
      <c r="G148" s="2945">
        <v>6630</v>
      </c>
    </row>
    <row r="149" spans="1:7" s="2779" customFormat="1" ht="14.25" customHeight="1">
      <c r="A149" s="2945" t="s">
        <v>29</v>
      </c>
      <c r="B149" s="2945" t="s">
        <v>3085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2959</v>
      </c>
      <c r="C153" s="2945">
        <v>10880</v>
      </c>
      <c r="D153" s="2945">
        <v>10820</v>
      </c>
      <c r="E153" s="2945">
        <v>13660</v>
      </c>
      <c r="F153" s="2945">
        <v>2260</v>
      </c>
      <c r="G153" s="2945">
        <v>6970</v>
      </c>
    </row>
    <row r="154" spans="1:7" s="2779" customFormat="1" ht="14.25" customHeight="1">
      <c r="A154" s="2945" t="s">
        <v>29</v>
      </c>
      <c r="B154" s="2945" t="s">
        <v>3086</v>
      </c>
      <c r="C154" s="2945">
        <v>11220</v>
      </c>
      <c r="D154" s="2945">
        <v>11160</v>
      </c>
      <c r="E154" s="2945">
        <v>14130</v>
      </c>
      <c r="F154" s="2945">
        <v>2230</v>
      </c>
      <c r="G154" s="2945">
        <v>7180</v>
      </c>
    </row>
    <row r="155" spans="1:7" s="2779" customFormat="1" ht="14.25" customHeight="1">
      <c r="A155" s="2945" t="s">
        <v>29</v>
      </c>
      <c r="B155" s="2945" t="s">
        <v>2972</v>
      </c>
      <c r="C155" s="2945">
        <v>10430</v>
      </c>
      <c r="D155" s="2945">
        <v>10380</v>
      </c>
      <c r="E155" s="2945">
        <v>13140</v>
      </c>
      <c r="F155" s="2945">
        <v>2080</v>
      </c>
      <c r="G155" s="2945">
        <v>6650</v>
      </c>
    </row>
    <row r="156" spans="1:7" s="2779" customFormat="1" ht="14.25" customHeight="1">
      <c r="A156" s="2945" t="s">
        <v>29</v>
      </c>
      <c r="B156" s="2945" t="s">
        <v>3087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3088</v>
      </c>
      <c r="C160" s="2945">
        <v>11180</v>
      </c>
      <c r="D160" s="2945">
        <v>11140</v>
      </c>
      <c r="E160" s="2945">
        <v>14050</v>
      </c>
      <c r="F160" s="2945">
        <v>2270</v>
      </c>
      <c r="G160" s="2945">
        <v>7170</v>
      </c>
    </row>
    <row r="161" spans="1:7" s="2779" customFormat="1" ht="14.25" customHeight="1">
      <c r="A161" s="2945" t="s">
        <v>29</v>
      </c>
      <c r="B161" s="2945" t="s">
        <v>3004</v>
      </c>
      <c r="C161" s="2945">
        <v>11160</v>
      </c>
      <c r="D161" s="2945">
        <v>11120</v>
      </c>
      <c r="E161" s="2945">
        <v>14020</v>
      </c>
      <c r="F161" s="2945">
        <v>2150</v>
      </c>
      <c r="G161" s="2945">
        <v>7160</v>
      </c>
    </row>
    <row r="162" spans="1:7" s="2779" customFormat="1" ht="14.25" customHeight="1">
      <c r="A162" s="2945" t="s">
        <v>29</v>
      </c>
      <c r="B162" s="2945" t="s">
        <v>3009</v>
      </c>
      <c r="C162" s="2945">
        <v>9620</v>
      </c>
      <c r="D162" s="2945">
        <v>9570</v>
      </c>
      <c r="E162" s="2945">
        <v>12320</v>
      </c>
      <c r="F162" s="2945">
        <v>2010</v>
      </c>
      <c r="G162" s="2945">
        <v>6160</v>
      </c>
    </row>
    <row r="163" spans="1:7" s="2779" customFormat="1" ht="14.25" customHeight="1">
      <c r="A163" s="2945" t="s">
        <v>29</v>
      </c>
      <c r="B163" s="2945" t="s">
        <v>3014</v>
      </c>
      <c r="C163" s="2945">
        <v>9320</v>
      </c>
      <c r="D163" s="2945">
        <v>9270</v>
      </c>
      <c r="E163" s="2945">
        <v>11790</v>
      </c>
      <c r="F163" s="2945">
        <v>1920</v>
      </c>
      <c r="G163" s="2945">
        <v>5960</v>
      </c>
    </row>
    <row r="164" spans="1:7" s="2779" customFormat="1" ht="14.25" customHeight="1">
      <c r="A164" s="2945" t="s">
        <v>29</v>
      </c>
      <c r="B164" s="2945" t="s">
        <v>3019</v>
      </c>
      <c r="C164" s="2945"/>
      <c r="D164" s="2945"/>
      <c r="E164" s="2945"/>
      <c r="F164" s="2945">
        <v>1980</v>
      </c>
      <c r="G164" s="2945"/>
    </row>
    <row r="165" spans="1:7" s="2779" customFormat="1" ht="14.25" customHeight="1">
      <c r="A165" s="2945" t="s">
        <v>29</v>
      </c>
      <c r="B165" s="2945" t="s">
        <v>3089</v>
      </c>
      <c r="C165" s="2945">
        <v>11060</v>
      </c>
      <c r="D165" s="2945">
        <v>11030</v>
      </c>
      <c r="E165" s="2945">
        <v>13850</v>
      </c>
      <c r="F165" s="2945">
        <v>2170</v>
      </c>
      <c r="G165" s="2945">
        <v>7090</v>
      </c>
    </row>
    <row r="166" spans="1:7" s="2779" customFormat="1" ht="14.25" customHeight="1">
      <c r="A166" s="2945" t="s">
        <v>29</v>
      </c>
      <c r="B166" s="2945" t="s">
        <v>3029</v>
      </c>
      <c r="C166" s="2945">
        <v>11050</v>
      </c>
      <c r="D166" s="2945">
        <v>11010</v>
      </c>
      <c r="E166" s="2945">
        <v>13920</v>
      </c>
      <c r="F166" s="2945">
        <v>2140</v>
      </c>
      <c r="G166" s="2945">
        <v>7080</v>
      </c>
    </row>
    <row r="167" spans="1:7" s="2779" customFormat="1" ht="14.25" customHeight="1">
      <c r="A167" s="2945" t="s">
        <v>29</v>
      </c>
      <c r="B167" s="2945" t="s">
        <v>3033</v>
      </c>
      <c r="C167" s="2945">
        <v>10930</v>
      </c>
      <c r="D167" s="2945">
        <v>10890</v>
      </c>
      <c r="E167" s="2945">
        <v>13790</v>
      </c>
      <c r="F167" s="2945">
        <v>2010</v>
      </c>
      <c r="G167" s="2945">
        <v>7000</v>
      </c>
    </row>
    <row r="168" spans="1:7" s="2779" customFormat="1" ht="14.25" customHeight="1">
      <c r="A168" s="2945" t="s">
        <v>29</v>
      </c>
      <c r="B168" s="2945" t="s">
        <v>3038</v>
      </c>
      <c r="C168" s="2945">
        <v>9420</v>
      </c>
      <c r="D168" s="2945">
        <v>9380</v>
      </c>
      <c r="E168" s="2945">
        <v>11970</v>
      </c>
      <c r="F168" s="2945"/>
      <c r="G168" s="2945">
        <v>6040</v>
      </c>
    </row>
    <row r="169" spans="1:7" s="2779" customFormat="1" ht="14.25" customHeight="1">
      <c r="A169" s="2945" t="s">
        <v>29</v>
      </c>
      <c r="B169" s="2945" t="s">
        <v>3090</v>
      </c>
      <c r="C169" s="2945"/>
      <c r="D169" s="2945"/>
      <c r="E169" s="2945"/>
      <c r="F169" s="2945">
        <v>2880</v>
      </c>
      <c r="G169" s="2945"/>
    </row>
    <row r="170" spans="1:7" s="2779" customFormat="1" ht="14.25" customHeight="1">
      <c r="A170" s="2945" t="s">
        <v>29</v>
      </c>
      <c r="B170" s="2945" t="s">
        <v>3046</v>
      </c>
      <c r="C170" s="2945"/>
      <c r="D170" s="2945"/>
      <c r="E170" s="2945"/>
      <c r="F170" s="2945">
        <v>2880</v>
      </c>
      <c r="G170" s="2945"/>
    </row>
    <row r="171" spans="1:7" s="2779" customFormat="1" ht="14.25" customHeight="1">
      <c r="A171" s="2945" t="s">
        <v>29</v>
      </c>
      <c r="B171" s="2945" t="s">
        <v>3049</v>
      </c>
      <c r="C171" s="2945"/>
      <c r="D171" s="2945"/>
      <c r="E171" s="2945"/>
      <c r="F171" s="2945">
        <v>2880</v>
      </c>
      <c r="G171" s="2945"/>
    </row>
    <row r="172" spans="1:7" s="2779" customFormat="1" ht="14.25" customHeight="1">
      <c r="A172" s="2945" t="s">
        <v>29</v>
      </c>
      <c r="B172" s="2945" t="s">
        <v>3051</v>
      </c>
      <c r="C172" s="2945"/>
      <c r="D172" s="2945"/>
      <c r="E172" s="2945"/>
      <c r="F172" s="2945">
        <v>2880</v>
      </c>
      <c r="G172" s="2945"/>
    </row>
    <row r="173" spans="1:7" s="2779" customFormat="1" ht="14.25" customHeight="1">
      <c r="A173" s="2945" t="s">
        <v>29</v>
      </c>
      <c r="B173" s="2945" t="s">
        <v>3053</v>
      </c>
      <c r="C173" s="2945"/>
      <c r="D173" s="2945"/>
      <c r="E173" s="2945"/>
      <c r="F173" s="2945">
        <v>2150</v>
      </c>
      <c r="G173" s="2945"/>
    </row>
    <row r="174" spans="1:7" s="2779" customFormat="1" ht="14.25" customHeight="1">
      <c r="A174" s="2945" t="s">
        <v>29</v>
      </c>
      <c r="B174" s="2945" t="s">
        <v>3055</v>
      </c>
      <c r="C174" s="2945"/>
      <c r="D174" s="2945"/>
      <c r="E174" s="2945"/>
      <c r="F174" s="2945">
        <v>2030</v>
      </c>
      <c r="G174" s="2945"/>
    </row>
    <row r="175" spans="1:7" s="2779" customFormat="1" ht="14.25" customHeight="1">
      <c r="A175" s="2945" t="s">
        <v>29</v>
      </c>
      <c r="B175" s="2945" t="s">
        <v>3057</v>
      </c>
      <c r="C175" s="2945"/>
      <c r="D175" s="2945"/>
      <c r="E175" s="2945"/>
      <c r="F175" s="2945">
        <v>2780</v>
      </c>
      <c r="G175" s="2945"/>
    </row>
    <row r="176" spans="1:7" s="2779" customFormat="1" ht="14.25" customHeight="1">
      <c r="A176" s="2945" t="s">
        <v>29</v>
      </c>
      <c r="B176" s="2945" t="s">
        <v>3059</v>
      </c>
      <c r="C176" s="2945"/>
      <c r="D176" s="2945"/>
      <c r="E176" s="2945"/>
      <c r="F176" s="2945">
        <v>2780</v>
      </c>
      <c r="G176" s="2945"/>
    </row>
    <row r="177" spans="1:7" s="2779" customFormat="1" ht="14.25" customHeight="1">
      <c r="A177" s="2945" t="s">
        <v>29</v>
      </c>
      <c r="B177" s="2945" t="s">
        <v>3091</v>
      </c>
      <c r="C177" s="2945"/>
      <c r="D177" s="2945"/>
      <c r="E177" s="2945"/>
      <c r="F177" s="2945">
        <v>2780</v>
      </c>
      <c r="G177" s="2945"/>
    </row>
    <row r="178" spans="1:7" s="2779" customFormat="1" ht="14.25" customHeight="1">
      <c r="A178" s="2945" t="s">
        <v>29</v>
      </c>
      <c r="B178" s="2945" t="s">
        <v>3092</v>
      </c>
      <c r="C178" s="2945"/>
      <c r="D178" s="2945"/>
      <c r="E178" s="2945"/>
      <c r="F178" s="2945">
        <v>2060</v>
      </c>
      <c r="G178" s="2945"/>
    </row>
    <row r="179" spans="1:7" s="2779" customFormat="1" ht="14.25" customHeight="1">
      <c r="A179" s="2945" t="s">
        <v>29</v>
      </c>
      <c r="B179" s="2945" t="s">
        <v>3093</v>
      </c>
      <c r="C179" s="2945"/>
      <c r="D179" s="2945"/>
      <c r="E179" s="2945"/>
      <c r="F179" s="2945">
        <v>2120</v>
      </c>
      <c r="G179" s="2945"/>
    </row>
    <row r="180" spans="1:7" s="2779" customFormat="1" ht="14.25" customHeight="1">
      <c r="A180" s="2945" t="s">
        <v>29</v>
      </c>
      <c r="B180" s="2945" t="s">
        <v>3065</v>
      </c>
      <c r="C180" s="2945"/>
      <c r="D180" s="2945"/>
      <c r="E180" s="2945"/>
      <c r="F180" s="2945">
        <v>2340</v>
      </c>
      <c r="G180" s="2945"/>
    </row>
    <row r="181" spans="1:7" s="2779" customFormat="1" ht="14.25" customHeight="1">
      <c r="A181" s="2945" t="s">
        <v>29</v>
      </c>
      <c r="B181" s="2945" t="s">
        <v>3066</v>
      </c>
      <c r="C181" s="2945"/>
      <c r="D181" s="2945"/>
      <c r="E181" s="2945"/>
      <c r="F181" s="2945">
        <v>2340</v>
      </c>
      <c r="G181" s="2945"/>
    </row>
    <row r="182" spans="1:7" s="2779" customFormat="1" ht="14.25" customHeight="1">
      <c r="A182" s="2945" t="s">
        <v>29</v>
      </c>
      <c r="B182" s="2945" t="s">
        <v>3067</v>
      </c>
      <c r="C182" s="2945"/>
      <c r="D182" s="2945"/>
      <c r="E182" s="2945"/>
      <c r="F182" s="2945">
        <v>2340</v>
      </c>
      <c r="G182" s="2945"/>
    </row>
    <row r="183" spans="1:7" s="2779" customFormat="1" ht="14.25" customHeight="1">
      <c r="A183" s="2945" t="s">
        <v>29</v>
      </c>
      <c r="B183" s="2945" t="s">
        <v>3068</v>
      </c>
      <c r="C183" s="2945"/>
      <c r="D183" s="2945"/>
      <c r="E183" s="2945"/>
      <c r="F183" s="2945">
        <v>2340</v>
      </c>
      <c r="G183" s="2945"/>
    </row>
    <row r="184" spans="1:7" s="2779" customFormat="1" ht="14.25" customHeight="1">
      <c r="A184" s="2945" t="s">
        <v>29</v>
      </c>
      <c r="B184" s="2945" t="s">
        <v>3069</v>
      </c>
      <c r="C184" s="2945"/>
      <c r="D184" s="2945"/>
      <c r="E184" s="2945"/>
      <c r="F184" s="2945">
        <v>2340</v>
      </c>
      <c r="G184" s="2945"/>
    </row>
    <row r="185" spans="1:7" s="2779" customFormat="1" ht="14.25" customHeight="1">
      <c r="A185" s="2945" t="s">
        <v>29</v>
      </c>
      <c r="B185" s="2945" t="s">
        <v>3070</v>
      </c>
      <c r="C185" s="2945"/>
      <c r="D185" s="2945"/>
      <c r="E185" s="2945"/>
      <c r="F185" s="2945">
        <v>2530</v>
      </c>
      <c r="G185" s="2945"/>
    </row>
    <row r="186" spans="1:7" s="2779" customFormat="1" ht="14.25" customHeight="1">
      <c r="A186" s="2945" t="s">
        <v>29</v>
      </c>
      <c r="B186" s="2945" t="s">
        <v>3071</v>
      </c>
      <c r="C186" s="2945"/>
      <c r="D186" s="2945"/>
      <c r="E186" s="2945"/>
      <c r="F186" s="2945">
        <v>2550</v>
      </c>
      <c r="G186" s="2945"/>
    </row>
    <row r="187" spans="1:7" s="2779" customFormat="1" ht="14.25" customHeight="1">
      <c r="A187" s="2945" t="s">
        <v>29</v>
      </c>
      <c r="B187" s="2945" t="s">
        <v>3072</v>
      </c>
      <c r="C187" s="2945"/>
      <c r="D187" s="2945"/>
      <c r="E187" s="2945"/>
      <c r="F187" s="2945">
        <v>2070</v>
      </c>
      <c r="G187" s="2945"/>
    </row>
    <row r="188" spans="1:7" s="2779" customFormat="1" ht="14.25" customHeight="1">
      <c r="A188" s="2945" t="s">
        <v>29</v>
      </c>
      <c r="B188" s="2945" t="s">
        <v>3073</v>
      </c>
      <c r="C188" s="2945"/>
      <c r="D188" s="2945"/>
      <c r="E188" s="2945"/>
      <c r="F188" s="2945">
        <v>2340</v>
      </c>
      <c r="G188" s="2945"/>
    </row>
    <row r="189" spans="1:7" s="2779" customFormat="1" ht="14.25" customHeight="1" thickBot="1">
      <c r="A189" s="2953" t="s">
        <v>29</v>
      </c>
      <c r="B189" s="2956" t="s">
        <v>3074</v>
      </c>
      <c r="C189" s="2956"/>
      <c r="D189" s="2956"/>
      <c r="E189" s="2956"/>
      <c r="F189" s="2956">
        <v>2050</v>
      </c>
      <c r="G189" s="2956"/>
    </row>
    <row r="190" spans="1:7" s="2779" customFormat="1" ht="14.25" customHeight="1">
      <c r="A190" s="2950" t="s">
        <v>304</v>
      </c>
      <c r="B190" s="2941" t="s">
        <v>3094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3095</v>
      </c>
      <c r="C199" s="2945">
        <v>8690</v>
      </c>
      <c r="D199" s="2945">
        <v>8630</v>
      </c>
      <c r="E199" s="2945">
        <v>11350</v>
      </c>
      <c r="F199" s="2945">
        <v>1600</v>
      </c>
      <c r="G199" s="2958">
        <v>5450</v>
      </c>
    </row>
    <row r="200" spans="1:7" s="2779" customFormat="1" ht="14.25" customHeight="1">
      <c r="A200" s="2945" t="s">
        <v>304</v>
      </c>
      <c r="B200" s="2945" t="s">
        <v>2906</v>
      </c>
      <c r="C200" s="2945"/>
      <c r="D200" s="2945"/>
      <c r="E200" s="2945"/>
      <c r="F200" s="2945">
        <v>1510</v>
      </c>
      <c r="G200" s="2958"/>
    </row>
    <row r="201" spans="1:7" s="2779" customFormat="1" ht="14.25" customHeight="1">
      <c r="A201" s="2945" t="s">
        <v>304</v>
      </c>
      <c r="B201" s="2945" t="s">
        <v>3096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3097</v>
      </c>
      <c r="C203" s="2945">
        <v>8130</v>
      </c>
      <c r="D203" s="2945">
        <v>8070</v>
      </c>
      <c r="E203" s="2945">
        <v>10820</v>
      </c>
      <c r="F203" s="2945">
        <v>1690</v>
      </c>
      <c r="G203" s="2958">
        <v>5100</v>
      </c>
    </row>
    <row r="204" spans="1:7" s="2779" customFormat="1" ht="14.25" customHeight="1">
      <c r="A204" s="2945" t="s">
        <v>304</v>
      </c>
      <c r="B204" s="2945" t="s">
        <v>2917</v>
      </c>
      <c r="C204" s="2945">
        <v>8350</v>
      </c>
      <c r="D204" s="2945">
        <v>8290</v>
      </c>
      <c r="E204" s="2945">
        <v>11080</v>
      </c>
      <c r="F204" s="2945">
        <v>1450</v>
      </c>
      <c r="G204" s="2958">
        <v>5240</v>
      </c>
    </row>
    <row r="205" spans="1:7" s="2779" customFormat="1" ht="14.25" customHeight="1">
      <c r="A205" s="2945" t="s">
        <v>304</v>
      </c>
      <c r="B205" s="2945" t="s">
        <v>2919</v>
      </c>
      <c r="C205" s="2945">
        <v>7190</v>
      </c>
      <c r="D205" s="2945">
        <v>7130</v>
      </c>
      <c r="E205" s="2945">
        <v>9490</v>
      </c>
      <c r="F205" s="2945">
        <v>1470</v>
      </c>
      <c r="G205" s="2958">
        <v>4510</v>
      </c>
    </row>
    <row r="206" spans="1:7" s="2779" customFormat="1" ht="14.25" customHeight="1">
      <c r="A206" s="2945" t="s">
        <v>304</v>
      </c>
      <c r="B206" s="2945" t="s">
        <v>2922</v>
      </c>
      <c r="C206" s="2945">
        <v>7000</v>
      </c>
      <c r="D206" s="2945">
        <v>6950</v>
      </c>
      <c r="E206" s="2945">
        <v>9170</v>
      </c>
      <c r="F206" s="2945">
        <v>1400</v>
      </c>
      <c r="G206" s="2958">
        <v>4380</v>
      </c>
    </row>
    <row r="207" spans="1:7" s="2779" customFormat="1" ht="14.25" customHeight="1">
      <c r="A207" s="2945" t="s">
        <v>304</v>
      </c>
      <c r="B207" s="2945" t="s">
        <v>2924</v>
      </c>
      <c r="C207" s="2945">
        <v>6950</v>
      </c>
      <c r="D207" s="2945">
        <v>6900</v>
      </c>
      <c r="E207" s="2945">
        <v>9110</v>
      </c>
      <c r="F207" s="2945">
        <v>1790</v>
      </c>
      <c r="G207" s="2958">
        <v>4360</v>
      </c>
    </row>
    <row r="208" spans="1:7" s="2779" customFormat="1" ht="14.25" customHeight="1">
      <c r="A208" s="2945" t="s">
        <v>304</v>
      </c>
      <c r="B208" s="2945" t="s">
        <v>3098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2934</v>
      </c>
      <c r="C210" s="2945">
        <v>8710</v>
      </c>
      <c r="D210" s="2945">
        <v>8660</v>
      </c>
      <c r="E210" s="2945">
        <v>11440</v>
      </c>
      <c r="F210" s="2945">
        <v>1740</v>
      </c>
      <c r="G210" s="2958">
        <v>5470</v>
      </c>
    </row>
    <row r="211" spans="1:7" s="2779" customFormat="1" ht="14.25" customHeight="1">
      <c r="A211" s="2945" t="s">
        <v>304</v>
      </c>
      <c r="B211" s="2945" t="s">
        <v>3099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3100</v>
      </c>
      <c r="C214" s="2945">
        <v>8090</v>
      </c>
      <c r="D214" s="2945">
        <v>8030</v>
      </c>
      <c r="E214" s="2945">
        <v>10780</v>
      </c>
      <c r="F214" s="2945">
        <v>1570</v>
      </c>
      <c r="G214" s="2958">
        <v>5070</v>
      </c>
    </row>
    <row r="215" spans="1:7" s="2779" customFormat="1" ht="14.25" customHeight="1">
      <c r="A215" s="2945" t="s">
        <v>304</v>
      </c>
      <c r="B215" s="2945" t="s">
        <v>3101</v>
      </c>
      <c r="C215" s="2945">
        <v>7950</v>
      </c>
      <c r="D215" s="2945">
        <v>7900</v>
      </c>
      <c r="E215" s="2945">
        <v>10560</v>
      </c>
      <c r="F215" s="2945">
        <v>1630</v>
      </c>
      <c r="G215" s="2958">
        <v>4990</v>
      </c>
    </row>
    <row r="216" spans="1:7" s="2779" customFormat="1" ht="14.25" customHeight="1">
      <c r="A216" s="2945" t="s">
        <v>304</v>
      </c>
      <c r="B216" s="2945" t="s">
        <v>3102</v>
      </c>
      <c r="C216" s="2945">
        <v>8490</v>
      </c>
      <c r="D216" s="2945">
        <v>8440</v>
      </c>
      <c r="E216" s="2945">
        <v>11260</v>
      </c>
      <c r="F216" s="2945">
        <v>1690</v>
      </c>
      <c r="G216" s="2958">
        <v>5330</v>
      </c>
    </row>
    <row r="217" spans="1:7" s="2779" customFormat="1" ht="14.25" customHeight="1">
      <c r="A217" s="2945" t="s">
        <v>304</v>
      </c>
      <c r="B217" s="2945" t="s">
        <v>2967</v>
      </c>
      <c r="C217" s="2945">
        <v>8200</v>
      </c>
      <c r="D217" s="2945">
        <v>8150</v>
      </c>
      <c r="E217" s="2945">
        <v>10910</v>
      </c>
      <c r="F217" s="2945">
        <v>1670</v>
      </c>
      <c r="G217" s="2958">
        <v>5150</v>
      </c>
    </row>
    <row r="218" spans="1:7" s="2779" customFormat="1" ht="14.25" customHeight="1">
      <c r="A218" s="2945" t="s">
        <v>304</v>
      </c>
      <c r="B218" s="2945" t="s">
        <v>3103</v>
      </c>
      <c r="C218" s="2945"/>
      <c r="D218" s="2945"/>
      <c r="E218" s="2945"/>
      <c r="F218" s="2945">
        <v>2040</v>
      </c>
      <c r="G218" s="2958"/>
    </row>
    <row r="219" spans="1:7" s="2779" customFormat="1" ht="14.25" customHeight="1">
      <c r="A219" s="2945" t="s">
        <v>304</v>
      </c>
      <c r="B219" s="2945" t="s">
        <v>3104</v>
      </c>
      <c r="C219" s="2945"/>
      <c r="D219" s="2945"/>
      <c r="E219" s="2945"/>
      <c r="F219" s="2945">
        <v>2040</v>
      </c>
      <c r="G219" s="2958"/>
    </row>
    <row r="220" spans="1:7" s="2779" customFormat="1" ht="14.25" customHeight="1">
      <c r="A220" s="2945" t="s">
        <v>304</v>
      </c>
      <c r="B220" s="2945" t="s">
        <v>3105</v>
      </c>
      <c r="C220" s="2945"/>
      <c r="D220" s="2945"/>
      <c r="E220" s="2945"/>
      <c r="F220" s="2945">
        <v>2040</v>
      </c>
      <c r="G220" s="2958"/>
    </row>
    <row r="221" spans="1:7" s="2779" customFormat="1" ht="14.25" customHeight="1">
      <c r="A221" s="2945" t="s">
        <v>304</v>
      </c>
      <c r="B221" s="2945" t="s">
        <v>3106</v>
      </c>
      <c r="C221" s="2945"/>
      <c r="D221" s="2945"/>
      <c r="E221" s="2945"/>
      <c r="F221" s="2945">
        <v>2040</v>
      </c>
      <c r="G221" s="2958"/>
    </row>
    <row r="222" spans="1:7" s="2779" customFormat="1" ht="14.25" customHeight="1">
      <c r="A222" s="2945" t="s">
        <v>304</v>
      </c>
      <c r="B222" s="2945" t="s">
        <v>3107</v>
      </c>
      <c r="C222" s="2945"/>
      <c r="D222" s="2945"/>
      <c r="E222" s="2945"/>
      <c r="F222" s="2945">
        <v>2040</v>
      </c>
      <c r="G222" s="2958"/>
    </row>
    <row r="223" spans="1:7" s="2779" customFormat="1" ht="14.25" customHeight="1">
      <c r="A223" s="2945" t="s">
        <v>304</v>
      </c>
      <c r="B223" s="2945" t="s">
        <v>3108</v>
      </c>
      <c r="C223" s="2945"/>
      <c r="D223" s="2945"/>
      <c r="E223" s="2945"/>
      <c r="F223" s="2945">
        <v>1930</v>
      </c>
      <c r="G223" s="2958"/>
    </row>
    <row r="224" spans="1:7" s="2779" customFormat="1" ht="14.25" customHeight="1">
      <c r="A224" s="2945" t="s">
        <v>304</v>
      </c>
      <c r="B224" s="2945" t="s">
        <v>3109</v>
      </c>
      <c r="C224" s="2945"/>
      <c r="D224" s="2945"/>
      <c r="E224" s="2945"/>
      <c r="F224" s="2945">
        <v>1930</v>
      </c>
      <c r="G224" s="2958"/>
    </row>
    <row r="225" spans="1:7" s="2779" customFormat="1" ht="14.25" customHeight="1">
      <c r="A225" s="2945" t="s">
        <v>304</v>
      </c>
      <c r="B225" s="2945" t="s">
        <v>3110</v>
      </c>
      <c r="C225" s="2945"/>
      <c r="D225" s="2945"/>
      <c r="E225" s="2945"/>
      <c r="F225" s="2945">
        <v>1930</v>
      </c>
      <c r="G225" s="2958"/>
    </row>
    <row r="226" spans="1:7" s="2779" customFormat="1" ht="14.25" customHeight="1">
      <c r="A226" s="2945" t="s">
        <v>304</v>
      </c>
      <c r="B226" s="2945" t="s">
        <v>3111</v>
      </c>
      <c r="C226" s="2945"/>
      <c r="D226" s="2945"/>
      <c r="E226" s="2945"/>
      <c r="F226" s="2945">
        <v>1700</v>
      </c>
      <c r="G226" s="2958"/>
    </row>
    <row r="227" spans="1:7" s="2779" customFormat="1" ht="14.25" customHeight="1">
      <c r="A227" s="2945" t="s">
        <v>304</v>
      </c>
      <c r="B227" s="2945" t="s">
        <v>3112</v>
      </c>
      <c r="C227" s="2945"/>
      <c r="D227" s="2945"/>
      <c r="E227" s="2945"/>
      <c r="F227" s="2945">
        <v>1520</v>
      </c>
      <c r="G227" s="2958"/>
    </row>
    <row r="228" spans="1:7" s="2779" customFormat="1" ht="14.25" customHeight="1">
      <c r="A228" s="2945" t="s">
        <v>304</v>
      </c>
      <c r="B228" s="2945" t="s">
        <v>3113</v>
      </c>
      <c r="C228" s="2945"/>
      <c r="D228" s="2945"/>
      <c r="E228" s="2945"/>
      <c r="F228" s="2945">
        <v>1520</v>
      </c>
      <c r="G228" s="2958"/>
    </row>
    <row r="229" spans="1:7" s="2779" customFormat="1" ht="14.25" customHeight="1">
      <c r="A229" s="2945" t="s">
        <v>304</v>
      </c>
      <c r="B229" s="2945" t="s">
        <v>3030</v>
      </c>
      <c r="C229" s="2945"/>
      <c r="D229" s="2945"/>
      <c r="E229" s="2945"/>
      <c r="F229" s="2945">
        <v>1520</v>
      </c>
      <c r="G229" s="2958"/>
    </row>
    <row r="230" spans="1:7" s="2779" customFormat="1" ht="14.25" customHeight="1">
      <c r="A230" s="2945" t="s">
        <v>304</v>
      </c>
      <c r="B230" s="2945" t="s">
        <v>3114</v>
      </c>
      <c r="C230" s="2945"/>
      <c r="D230" s="2945"/>
      <c r="E230" s="2945"/>
      <c r="F230" s="2945">
        <v>1820</v>
      </c>
      <c r="G230" s="2958"/>
    </row>
    <row r="231" spans="1:7" s="2779" customFormat="1" ht="14.25" customHeight="1">
      <c r="A231" s="2945" t="s">
        <v>304</v>
      </c>
      <c r="B231" s="2945" t="s">
        <v>3115</v>
      </c>
      <c r="C231" s="2945"/>
      <c r="D231" s="2945"/>
      <c r="E231" s="2945"/>
      <c r="F231" s="2945">
        <v>1760</v>
      </c>
      <c r="G231" s="2958"/>
    </row>
    <row r="232" spans="1:7" s="2779" customFormat="1" ht="14.25" customHeight="1">
      <c r="A232" s="2945" t="s">
        <v>304</v>
      </c>
      <c r="B232" s="2945" t="s">
        <v>3116</v>
      </c>
      <c r="C232" s="2945"/>
      <c r="D232" s="2945"/>
      <c r="E232" s="2945"/>
      <c r="F232" s="2945">
        <v>1840</v>
      </c>
      <c r="G232" s="2958"/>
    </row>
    <row r="233" spans="1:7" s="2779" customFormat="1" ht="14.25" customHeight="1" thickBot="1">
      <c r="A233" s="2959" t="s">
        <v>304</v>
      </c>
      <c r="B233" s="2952" t="s">
        <v>3047</v>
      </c>
      <c r="C233" s="2952"/>
      <c r="D233" s="2952"/>
      <c r="E233" s="2952"/>
      <c r="F233" s="2952">
        <v>1770</v>
      </c>
      <c r="G233" s="2960"/>
    </row>
    <row r="234" spans="1:7" s="2779" customFormat="1" ht="14.25" customHeight="1">
      <c r="A234" s="2950" t="s">
        <v>305</v>
      </c>
      <c r="B234" s="2941" t="s">
        <v>3117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2888</v>
      </c>
      <c r="C238" s="2945">
        <v>6920</v>
      </c>
      <c r="D238" s="2945">
        <v>6890</v>
      </c>
      <c r="E238" s="2945">
        <v>8640</v>
      </c>
      <c r="F238" s="2945">
        <v>1310</v>
      </c>
      <c r="G238" s="2945">
        <v>4230</v>
      </c>
    </row>
    <row r="239" spans="1:7" s="2779" customFormat="1" ht="14.25" customHeight="1">
      <c r="A239" s="2945" t="s">
        <v>305</v>
      </c>
      <c r="B239" s="2945" t="s">
        <v>3118</v>
      </c>
      <c r="C239" s="2945">
        <v>6780</v>
      </c>
      <c r="D239" s="2945">
        <v>6750</v>
      </c>
      <c r="E239" s="2945">
        <v>8440</v>
      </c>
      <c r="F239" s="2945">
        <v>1160</v>
      </c>
      <c r="G239" s="2945">
        <v>4140</v>
      </c>
    </row>
    <row r="240" spans="1:7" s="2779" customFormat="1" ht="14.25" customHeight="1">
      <c r="A240" s="2945" t="s">
        <v>305</v>
      </c>
      <c r="B240" s="2945" t="s">
        <v>3119</v>
      </c>
      <c r="C240" s="2945">
        <v>5420</v>
      </c>
      <c r="D240" s="2945">
        <v>5380</v>
      </c>
      <c r="E240" s="2945">
        <v>6640</v>
      </c>
      <c r="F240" s="2945">
        <v>1020</v>
      </c>
      <c r="G240" s="2945">
        <v>3300</v>
      </c>
    </row>
    <row r="241" spans="1:7" s="2779" customFormat="1" ht="14.25" customHeight="1">
      <c r="A241" s="2945" t="s">
        <v>305</v>
      </c>
      <c r="B241" s="2945" t="s">
        <v>3120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3121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3122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3123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2950</v>
      </c>
      <c r="C258" s="2945">
        <v>6190</v>
      </c>
      <c r="D258" s="2945">
        <v>6160</v>
      </c>
      <c r="E258" s="2945">
        <v>7680</v>
      </c>
      <c r="F258" s="2945">
        <v>1170</v>
      </c>
      <c r="G258" s="2945">
        <v>3780</v>
      </c>
    </row>
    <row r="259" spans="1:7" s="2779" customFormat="1" ht="14.25" customHeight="1">
      <c r="A259" s="2945" t="s">
        <v>305</v>
      </c>
      <c r="B259" s="2945" t="s">
        <v>3126</v>
      </c>
      <c r="C259" s="2945">
        <v>7610</v>
      </c>
      <c r="D259" s="2945">
        <v>7570</v>
      </c>
      <c r="E259" s="2945">
        <v>9350</v>
      </c>
      <c r="F259" s="2945">
        <v>1350</v>
      </c>
      <c r="G259" s="2945">
        <v>4650</v>
      </c>
    </row>
    <row r="260" spans="1:7" s="2779" customFormat="1" ht="14.25" customHeight="1">
      <c r="A260" s="2945" t="s">
        <v>305</v>
      </c>
      <c r="B260" s="2945" t="s">
        <v>3127</v>
      </c>
      <c r="C260" s="2945">
        <v>6920</v>
      </c>
      <c r="D260" s="2945">
        <v>6880</v>
      </c>
      <c r="E260" s="2945">
        <v>8380</v>
      </c>
      <c r="F260" s="2945">
        <v>1160</v>
      </c>
      <c r="G260" s="2945">
        <v>4220</v>
      </c>
    </row>
    <row r="261" spans="1:7" s="2779" customFormat="1" ht="14.25" customHeight="1">
      <c r="A261" s="2945" t="s">
        <v>305</v>
      </c>
      <c r="B261" s="2945" t="s">
        <v>3128</v>
      </c>
      <c r="C261" s="2945">
        <v>6850</v>
      </c>
      <c r="D261" s="2945">
        <v>6810</v>
      </c>
      <c r="E261" s="2945">
        <v>8290</v>
      </c>
      <c r="F261" s="2945">
        <v>1130</v>
      </c>
      <c r="G261" s="2945">
        <v>4180</v>
      </c>
    </row>
    <row r="262" spans="1:7" s="2779" customFormat="1" ht="14.25" customHeight="1">
      <c r="A262" s="2945" t="s">
        <v>305</v>
      </c>
      <c r="B262" s="2945" t="s">
        <v>3129</v>
      </c>
      <c r="C262" s="2945">
        <v>5860</v>
      </c>
      <c r="D262" s="2945">
        <v>5820</v>
      </c>
      <c r="E262" s="2945">
        <v>7640</v>
      </c>
      <c r="F262" s="2945">
        <v>1070</v>
      </c>
      <c r="G262" s="2945">
        <v>3570</v>
      </c>
    </row>
    <row r="263" spans="1:7" s="2779" customFormat="1" ht="14.25" customHeight="1">
      <c r="A263" s="2945" t="s">
        <v>305</v>
      </c>
      <c r="B263" s="2945" t="s">
        <v>3130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3131</v>
      </c>
      <c r="C265" s="2945"/>
      <c r="D265" s="2945"/>
      <c r="E265" s="2945"/>
      <c r="F265" s="2945">
        <v>1500</v>
      </c>
      <c r="G265" s="2945"/>
    </row>
    <row r="266" spans="1:7" s="2779" customFormat="1" ht="14.25" customHeight="1">
      <c r="A266" s="2945" t="s">
        <v>305</v>
      </c>
      <c r="B266" s="2945" t="s">
        <v>3132</v>
      </c>
      <c r="C266" s="2945"/>
      <c r="D266" s="2945"/>
      <c r="E266" s="2945"/>
      <c r="F266" s="2945">
        <v>1500</v>
      </c>
      <c r="G266" s="2945"/>
    </row>
    <row r="267" spans="1:7" s="2779" customFormat="1" ht="14.25" customHeight="1">
      <c r="A267" s="2945" t="s">
        <v>305</v>
      </c>
      <c r="B267" s="2945" t="s">
        <v>3133</v>
      </c>
      <c r="C267" s="2945"/>
      <c r="D267" s="2945"/>
      <c r="E267" s="2945"/>
      <c r="F267" s="2945">
        <v>1500</v>
      </c>
      <c r="G267" s="2945"/>
    </row>
    <row r="268" spans="1:7" s="2779" customFormat="1" ht="14.25" customHeight="1">
      <c r="A268" s="2945" t="s">
        <v>305</v>
      </c>
      <c r="B268" s="2945" t="s">
        <v>3134</v>
      </c>
      <c r="C268" s="2945"/>
      <c r="D268" s="2945"/>
      <c r="E268" s="2945"/>
      <c r="F268" s="2945">
        <v>1290</v>
      </c>
      <c r="G268" s="2945"/>
    </row>
    <row r="269" spans="1:7" s="2779" customFormat="1" ht="14.25" customHeight="1">
      <c r="A269" s="2945" t="s">
        <v>305</v>
      </c>
      <c r="B269" s="2945" t="s">
        <v>3135</v>
      </c>
      <c r="C269" s="2945"/>
      <c r="D269" s="2945"/>
      <c r="E269" s="2945"/>
      <c r="F269" s="2945">
        <v>1150</v>
      </c>
      <c r="G269" s="2945"/>
    </row>
    <row r="270" spans="1:7" s="2779" customFormat="1" ht="14.25" customHeight="1">
      <c r="A270" s="2945" t="s">
        <v>305</v>
      </c>
      <c r="B270" s="2945" t="s">
        <v>3136</v>
      </c>
      <c r="C270" s="2945"/>
      <c r="D270" s="2945"/>
      <c r="E270" s="2945"/>
      <c r="F270" s="2945">
        <v>1380</v>
      </c>
      <c r="G270" s="2945"/>
    </row>
    <row r="271" spans="1:7" s="2779" customFormat="1" ht="14.25" customHeight="1">
      <c r="A271" s="2945" t="s">
        <v>305</v>
      </c>
      <c r="B271" s="2945" t="s">
        <v>3137</v>
      </c>
      <c r="C271" s="2945"/>
      <c r="D271" s="2945"/>
      <c r="E271" s="2945"/>
      <c r="F271" s="2945">
        <v>1460</v>
      </c>
      <c r="G271" s="2945"/>
    </row>
    <row r="272" spans="1:7" s="2779" customFormat="1" ht="14.25" customHeight="1">
      <c r="A272" s="2945" t="s">
        <v>305</v>
      </c>
      <c r="B272" s="2945" t="s">
        <v>3138</v>
      </c>
      <c r="C272" s="2945"/>
      <c r="D272" s="2945"/>
      <c r="E272" s="2945"/>
      <c r="F272" s="2945">
        <v>1460</v>
      </c>
      <c r="G272" s="2945"/>
    </row>
    <row r="273" spans="1:7" s="2779" customFormat="1" ht="14.25" customHeight="1">
      <c r="A273" s="2945" t="s">
        <v>305</v>
      </c>
      <c r="B273" s="2945" t="s">
        <v>3031</v>
      </c>
      <c r="C273" s="2945"/>
      <c r="D273" s="2945"/>
      <c r="E273" s="2945"/>
      <c r="F273" s="2945">
        <v>1490</v>
      </c>
      <c r="G273" s="2945"/>
    </row>
    <row r="274" spans="1:7" s="2779" customFormat="1" ht="14.25" customHeight="1">
      <c r="A274" s="2945" t="s">
        <v>305</v>
      </c>
      <c r="B274" s="2945" t="s">
        <v>3139</v>
      </c>
      <c r="C274" s="2945"/>
      <c r="D274" s="2945"/>
      <c r="E274" s="2945"/>
      <c r="F274" s="2945">
        <v>1490</v>
      </c>
      <c r="G274" s="2945"/>
    </row>
    <row r="275" spans="1:7" s="2779" customFormat="1" ht="14.25" customHeight="1">
      <c r="A275" s="2945" t="s">
        <v>305</v>
      </c>
      <c r="B275" s="2945" t="s">
        <v>3140</v>
      </c>
      <c r="C275" s="2945"/>
      <c r="D275" s="2945"/>
      <c r="E275" s="2945"/>
      <c r="F275" s="2945">
        <v>1220</v>
      </c>
      <c r="G275" s="2945"/>
    </row>
    <row r="276" spans="1:7" s="2779" customFormat="1" ht="14.25" customHeight="1" thickBot="1">
      <c r="A276" s="2953" t="s">
        <v>305</v>
      </c>
      <c r="B276" s="2955" t="s">
        <v>3141</v>
      </c>
      <c r="C276" s="2956"/>
      <c r="D276" s="2956"/>
      <c r="E276" s="2956"/>
      <c r="F276" s="2956">
        <v>1380</v>
      </c>
      <c r="G276" s="2956"/>
    </row>
    <row r="277" spans="1:7" s="2779" customFormat="1" ht="14.25" customHeight="1">
      <c r="A277" s="2950" t="s">
        <v>306</v>
      </c>
      <c r="B277" s="2941" t="s">
        <v>3142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3143</v>
      </c>
      <c r="C279" s="2945">
        <v>4760</v>
      </c>
      <c r="D279" s="2945">
        <v>4720</v>
      </c>
      <c r="E279" s="2945">
        <v>5540</v>
      </c>
      <c r="F279" s="2945">
        <v>810</v>
      </c>
      <c r="G279" s="2958">
        <v>2850</v>
      </c>
    </row>
    <row r="280" spans="1:7" s="2779" customFormat="1" ht="14.25" customHeight="1">
      <c r="A280" s="2945" t="s">
        <v>306</v>
      </c>
      <c r="B280" s="2945" t="s">
        <v>3144</v>
      </c>
      <c r="C280" s="2945">
        <v>4010</v>
      </c>
      <c r="D280" s="2945">
        <v>3950</v>
      </c>
      <c r="E280" s="2945">
        <v>4710</v>
      </c>
      <c r="F280" s="2945">
        <v>800</v>
      </c>
      <c r="G280" s="2958">
        <v>2390</v>
      </c>
    </row>
    <row r="281" spans="1:7" s="2779" customFormat="1" ht="14.25" customHeight="1">
      <c r="A281" s="2945" t="s">
        <v>306</v>
      </c>
      <c r="B281" s="2945" t="s">
        <v>3145</v>
      </c>
      <c r="C281" s="2945">
        <v>4480</v>
      </c>
      <c r="D281" s="2945">
        <v>4420</v>
      </c>
      <c r="E281" s="2945">
        <v>5230</v>
      </c>
      <c r="F281" s="2945">
        <v>870</v>
      </c>
      <c r="G281" s="2958">
        <v>2660</v>
      </c>
    </row>
    <row r="282" spans="1:7" s="2779" customFormat="1" ht="14.25" customHeight="1">
      <c r="A282" s="2945" t="s">
        <v>306</v>
      </c>
      <c r="B282" s="2945" t="s">
        <v>3146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2923</v>
      </c>
      <c r="C293" s="2945">
        <v>5320</v>
      </c>
      <c r="D293" s="2945">
        <v>5270</v>
      </c>
      <c r="E293" s="2945">
        <v>6160</v>
      </c>
      <c r="F293" s="2945">
        <v>990</v>
      </c>
      <c r="G293" s="2958">
        <v>3170</v>
      </c>
    </row>
    <row r="294" spans="1:7" s="2779" customFormat="1" ht="14.25" customHeight="1">
      <c r="A294" s="2945" t="s">
        <v>306</v>
      </c>
      <c r="B294" s="2945" t="s">
        <v>3149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2942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3150</v>
      </c>
      <c r="C302" s="2945">
        <v>5520</v>
      </c>
      <c r="D302" s="2945">
        <v>5470</v>
      </c>
      <c r="E302" s="2945">
        <v>6410</v>
      </c>
      <c r="F302" s="2945">
        <v>950</v>
      </c>
      <c r="G302" s="2958">
        <v>3300</v>
      </c>
    </row>
    <row r="303" spans="1:7" s="2779" customFormat="1" ht="14.25" customHeight="1">
      <c r="A303" s="2945" t="s">
        <v>306</v>
      </c>
      <c r="B303" s="2945" t="s">
        <v>2962</v>
      </c>
      <c r="C303" s="2945">
        <v>5630</v>
      </c>
      <c r="D303" s="2945">
        <v>5590</v>
      </c>
      <c r="E303" s="2945">
        <v>6550</v>
      </c>
      <c r="F303" s="2945">
        <v>1010</v>
      </c>
      <c r="G303" s="2958">
        <v>3370</v>
      </c>
    </row>
    <row r="304" spans="1:7" s="2779" customFormat="1" ht="14.25" customHeight="1">
      <c r="A304" s="2945" t="s">
        <v>306</v>
      </c>
      <c r="B304" s="2945" t="s">
        <v>2969</v>
      </c>
      <c r="C304" s="2945">
        <v>5680</v>
      </c>
      <c r="D304" s="2945">
        <v>5620</v>
      </c>
      <c r="E304" s="2945">
        <v>6620</v>
      </c>
      <c r="F304" s="2945">
        <v>1050</v>
      </c>
      <c r="G304" s="2958">
        <v>3390</v>
      </c>
    </row>
    <row r="305" spans="1:7" s="2779" customFormat="1" ht="14.25" customHeight="1">
      <c r="A305" s="2945" t="s">
        <v>306</v>
      </c>
      <c r="B305" s="2945" t="s">
        <v>2975</v>
      </c>
      <c r="C305" s="2945">
        <v>5590</v>
      </c>
      <c r="D305" s="2945">
        <v>5530</v>
      </c>
      <c r="E305" s="2945">
        <v>6460</v>
      </c>
      <c r="F305" s="2945">
        <v>900</v>
      </c>
      <c r="G305" s="2958">
        <v>3340</v>
      </c>
    </row>
    <row r="306" spans="1:7" s="2779" customFormat="1" ht="14.25" customHeight="1">
      <c r="A306" s="2945" t="s">
        <v>306</v>
      </c>
      <c r="B306" s="2945" t="s">
        <v>3151</v>
      </c>
      <c r="C306" s="2945">
        <v>5560</v>
      </c>
      <c r="D306" s="2945">
        <v>5510</v>
      </c>
      <c r="E306" s="2945">
        <v>6440</v>
      </c>
      <c r="F306" s="2945">
        <v>900</v>
      </c>
      <c r="G306" s="2958">
        <v>3320</v>
      </c>
    </row>
    <row r="307" spans="1:7" s="2779" customFormat="1" ht="14.25" customHeight="1">
      <c r="A307" s="2945" t="s">
        <v>306</v>
      </c>
      <c r="B307" s="2945" t="s">
        <v>2987</v>
      </c>
      <c r="C307" s="2945">
        <v>5650</v>
      </c>
      <c r="D307" s="2945">
        <v>5600</v>
      </c>
      <c r="E307" s="2945">
        <v>6590</v>
      </c>
      <c r="F307" s="2945">
        <v>930</v>
      </c>
      <c r="G307" s="2958">
        <v>3380</v>
      </c>
    </row>
    <row r="308" spans="1:7" s="2779" customFormat="1" ht="14.25" customHeight="1">
      <c r="A308" s="2945" t="s">
        <v>306</v>
      </c>
      <c r="B308" s="2945" t="s">
        <v>3152</v>
      </c>
      <c r="C308" s="2945">
        <v>5620</v>
      </c>
      <c r="D308" s="2945">
        <v>5580</v>
      </c>
      <c r="E308" s="2945">
        <v>6540</v>
      </c>
      <c r="F308" s="2945">
        <v>910</v>
      </c>
      <c r="G308" s="2958">
        <v>3370</v>
      </c>
    </row>
    <row r="309" spans="1:7" s="2779" customFormat="1" ht="14.25" customHeight="1">
      <c r="A309" s="2945" t="s">
        <v>306</v>
      </c>
      <c r="B309" s="2945" t="s">
        <v>3153</v>
      </c>
      <c r="C309" s="2945">
        <v>5060</v>
      </c>
      <c r="D309" s="2945">
        <v>5020</v>
      </c>
      <c r="E309" s="2945">
        <v>6370</v>
      </c>
      <c r="F309" s="2945">
        <v>800</v>
      </c>
      <c r="G309" s="2958">
        <v>3020</v>
      </c>
    </row>
    <row r="310" spans="1:7" s="2779" customFormat="1" ht="14.25" customHeight="1">
      <c r="A310" s="2945" t="s">
        <v>306</v>
      </c>
      <c r="B310" s="2945" t="s">
        <v>3002</v>
      </c>
      <c r="C310" s="2945">
        <v>5150</v>
      </c>
      <c r="D310" s="2945">
        <v>5110</v>
      </c>
      <c r="E310" s="2945">
        <v>6500</v>
      </c>
      <c r="F310" s="2945">
        <v>880</v>
      </c>
      <c r="G310" s="2958">
        <v>3080</v>
      </c>
    </row>
    <row r="311" spans="1:7" s="2779" customFormat="1" ht="14.25" customHeight="1">
      <c r="A311" s="2945" t="s">
        <v>306</v>
      </c>
      <c r="B311" s="2945" t="s">
        <v>3154</v>
      </c>
      <c r="C311" s="2945">
        <v>4750</v>
      </c>
      <c r="D311" s="2945">
        <v>4710</v>
      </c>
      <c r="E311" s="2945">
        <v>5510</v>
      </c>
      <c r="F311" s="2945">
        <v>880</v>
      </c>
      <c r="G311" s="2958">
        <v>2840</v>
      </c>
    </row>
    <row r="312" spans="1:7" s="2779" customFormat="1" ht="14.25" customHeight="1">
      <c r="A312" s="2945" t="s">
        <v>306</v>
      </c>
      <c r="B312" s="2945" t="s">
        <v>3012</v>
      </c>
      <c r="C312" s="2945">
        <v>4690</v>
      </c>
      <c r="D312" s="2945">
        <v>4640</v>
      </c>
      <c r="E312" s="2945">
        <v>5420</v>
      </c>
      <c r="F312" s="2945">
        <v>800</v>
      </c>
      <c r="G312" s="2958">
        <v>2800</v>
      </c>
    </row>
    <row r="313" spans="1:7" s="2779" customFormat="1" ht="14.25" customHeight="1">
      <c r="A313" s="2945" t="s">
        <v>306</v>
      </c>
      <c r="B313" s="2945" t="s">
        <v>3017</v>
      </c>
      <c r="C313" s="2945">
        <v>4810</v>
      </c>
      <c r="D313" s="2945">
        <v>4760</v>
      </c>
      <c r="E313" s="2945">
        <v>5550</v>
      </c>
      <c r="F313" s="2945">
        <v>920</v>
      </c>
      <c r="G313" s="2958">
        <v>2870</v>
      </c>
    </row>
    <row r="314" spans="1:7" s="2779" customFormat="1" ht="14.25" customHeight="1">
      <c r="A314" s="2945" t="s">
        <v>306</v>
      </c>
      <c r="B314" s="2945" t="s">
        <v>3155</v>
      </c>
      <c r="C314" s="2945"/>
      <c r="D314" s="2945"/>
      <c r="E314" s="2945"/>
      <c r="F314" s="2945">
        <v>1020</v>
      </c>
      <c r="G314" s="2958"/>
    </row>
    <row r="315" spans="1:7" s="2779" customFormat="1" ht="14.25" customHeight="1">
      <c r="A315" s="2945" t="s">
        <v>306</v>
      </c>
      <c r="B315" s="2945" t="s">
        <v>3156</v>
      </c>
      <c r="C315" s="2945"/>
      <c r="D315" s="2945"/>
      <c r="E315" s="2945"/>
      <c r="F315" s="2945">
        <v>1050</v>
      </c>
      <c r="G315" s="2958"/>
    </row>
    <row r="316" spans="1:7" s="2779" customFormat="1" ht="14.25" customHeight="1">
      <c r="A316" s="2945" t="s">
        <v>306</v>
      </c>
      <c r="B316" s="2945" t="s">
        <v>3032</v>
      </c>
      <c r="C316" s="2945"/>
      <c r="D316" s="2945"/>
      <c r="E316" s="2945"/>
      <c r="F316" s="2945">
        <v>900</v>
      </c>
      <c r="G316" s="2958"/>
    </row>
    <row r="317" spans="1:7" s="2779" customFormat="1" ht="14.25" customHeight="1">
      <c r="A317" s="2945" t="s">
        <v>306</v>
      </c>
      <c r="B317" s="2945" t="s">
        <v>3157</v>
      </c>
      <c r="C317" s="2945"/>
      <c r="D317" s="2945"/>
      <c r="E317" s="2945"/>
      <c r="F317" s="2945">
        <v>920</v>
      </c>
      <c r="G317" s="2958"/>
    </row>
    <row r="318" spans="1:7" s="2779" customFormat="1" ht="14.25" customHeight="1">
      <c r="A318" s="2945" t="s">
        <v>306</v>
      </c>
      <c r="B318" s="2945" t="s">
        <v>3158</v>
      </c>
      <c r="C318" s="2945"/>
      <c r="D318" s="2945"/>
      <c r="E318" s="2945"/>
      <c r="F318" s="2945">
        <v>1080</v>
      </c>
      <c r="G318" s="2958"/>
    </row>
    <row r="319" spans="1:7" s="2779" customFormat="1" ht="14.25" customHeight="1">
      <c r="A319" s="2945" t="s">
        <v>306</v>
      </c>
      <c r="B319" s="2945" t="s">
        <v>3045</v>
      </c>
      <c r="C319" s="2945"/>
      <c r="D319" s="2945"/>
      <c r="E319" s="2945"/>
      <c r="F319" s="2945">
        <v>1020</v>
      </c>
      <c r="G319" s="2958"/>
    </row>
    <row r="320" spans="1:7" s="2779" customFormat="1" ht="14.25" customHeight="1">
      <c r="A320" s="2945" t="s">
        <v>306</v>
      </c>
      <c r="B320" s="2945" t="s">
        <v>3048</v>
      </c>
      <c r="C320" s="2945"/>
      <c r="D320" s="2945"/>
      <c r="E320" s="2945"/>
      <c r="F320" s="2945">
        <v>1050</v>
      </c>
      <c r="G320" s="2958"/>
    </row>
    <row r="321" spans="1:7" s="2779" customFormat="1" ht="14.25" customHeight="1">
      <c r="A321" s="2945" t="s">
        <v>306</v>
      </c>
      <c r="B321" s="2945" t="s">
        <v>3050</v>
      </c>
      <c r="C321" s="2945"/>
      <c r="D321" s="2945"/>
      <c r="E321" s="2945"/>
      <c r="F321" s="2945">
        <v>960</v>
      </c>
      <c r="G321" s="2958"/>
    </row>
    <row r="322" spans="1:7" s="2779" customFormat="1" ht="14.25" customHeight="1">
      <c r="A322" s="2945" t="s">
        <v>306</v>
      </c>
      <c r="B322" s="2945" t="s">
        <v>3052</v>
      </c>
      <c r="C322" s="2945"/>
      <c r="D322" s="2945"/>
      <c r="E322" s="2945"/>
      <c r="F322" s="2945">
        <v>960</v>
      </c>
      <c r="G322" s="2958"/>
    </row>
    <row r="323" spans="1:7" s="2779" customFormat="1" ht="14.25" customHeight="1">
      <c r="A323" s="2945" t="s">
        <v>306</v>
      </c>
      <c r="B323" s="2945" t="s">
        <v>3054</v>
      </c>
      <c r="C323" s="2945"/>
      <c r="D323" s="2945"/>
      <c r="E323" s="2945"/>
      <c r="F323" s="2945">
        <v>880</v>
      </c>
      <c r="G323" s="2958"/>
    </row>
    <row r="324" spans="1:7" s="2779" customFormat="1" ht="14.25" customHeight="1">
      <c r="A324" s="2945" t="s">
        <v>306</v>
      </c>
      <c r="B324" s="2945" t="s">
        <v>3056</v>
      </c>
      <c r="C324" s="2945"/>
      <c r="D324" s="2945"/>
      <c r="E324" s="2945"/>
      <c r="F324" s="2945">
        <v>930</v>
      </c>
      <c r="G324" s="2958"/>
    </row>
    <row r="325" spans="1:7" s="2779" customFormat="1" ht="14.25" customHeight="1">
      <c r="A325" s="2945" t="s">
        <v>306</v>
      </c>
      <c r="B325" s="2946" t="s">
        <v>3058</v>
      </c>
      <c r="C325" s="2945"/>
      <c r="D325" s="2945"/>
      <c r="E325" s="2945"/>
      <c r="F325" s="2945">
        <v>900</v>
      </c>
      <c r="G325" s="2958"/>
    </row>
    <row r="326" spans="1:7" s="2779" customFormat="1" ht="14.25" customHeight="1" thickBot="1">
      <c r="A326" s="2959" t="s">
        <v>306</v>
      </c>
      <c r="B326" s="2952" t="s">
        <v>3060</v>
      </c>
      <c r="C326" s="2952"/>
      <c r="D326" s="2952"/>
      <c r="E326" s="2952"/>
      <c r="F326" s="2952">
        <v>790</v>
      </c>
      <c r="G326" s="2960"/>
    </row>
    <row r="327" spans="1:7" s="2779" customFormat="1" ht="14.25" customHeight="1">
      <c r="A327" s="2950" t="s">
        <v>307</v>
      </c>
      <c r="B327" s="2941" t="s">
        <v>3159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3160</v>
      </c>
      <c r="C329" s="2945">
        <v>2730</v>
      </c>
      <c r="D329" s="2945">
        <v>2690</v>
      </c>
      <c r="E329" s="2945">
        <v>3100</v>
      </c>
      <c r="F329" s="2945">
        <v>660</v>
      </c>
      <c r="G329" s="2945">
        <v>1610</v>
      </c>
    </row>
    <row r="330" spans="1:7" s="2779" customFormat="1" ht="14.25" customHeight="1">
      <c r="A330" s="2945" t="s">
        <v>307</v>
      </c>
      <c r="B330" s="2945" t="s">
        <v>3161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2894</v>
      </c>
      <c r="C332" s="2945">
        <v>3520</v>
      </c>
      <c r="D332" s="2945">
        <v>3480</v>
      </c>
      <c r="E332" s="2945">
        <v>3830</v>
      </c>
      <c r="F332" s="2945">
        <v>720</v>
      </c>
      <c r="G332" s="2945">
        <v>2090</v>
      </c>
    </row>
    <row r="333" spans="1:7" s="2779" customFormat="1" ht="14.25" customHeight="1">
      <c r="A333" s="2945" t="s">
        <v>307</v>
      </c>
      <c r="B333" s="2945" t="s">
        <v>3162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2904</v>
      </c>
      <c r="C336" s="2945">
        <v>3570</v>
      </c>
      <c r="D336" s="2945">
        <v>3530</v>
      </c>
      <c r="E336" s="2945">
        <v>3880</v>
      </c>
      <c r="F336" s="2945">
        <v>770</v>
      </c>
      <c r="G336" s="2945">
        <v>2110</v>
      </c>
    </row>
    <row r="337" spans="1:10" s="2779" customFormat="1" ht="14.25" customHeight="1">
      <c r="A337" s="2945" t="s">
        <v>307</v>
      </c>
      <c r="B337" s="2945" t="s">
        <v>3163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2929</v>
      </c>
      <c r="C345" s="2945">
        <v>3190</v>
      </c>
      <c r="D345" s="2945">
        <v>3140</v>
      </c>
      <c r="E345" s="2945">
        <v>3450</v>
      </c>
      <c r="F345" s="2945">
        <v>720</v>
      </c>
      <c r="G345" s="2945">
        <v>1880</v>
      </c>
      <c r="J345" s="2779"/>
    </row>
    <row r="346" spans="1:10">
      <c r="A346" s="2945" t="s">
        <v>307</v>
      </c>
      <c r="B346" s="2945" t="s">
        <v>3166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2938</v>
      </c>
      <c r="C348" s="2945">
        <v>4000</v>
      </c>
      <c r="D348" s="2945">
        <v>3950</v>
      </c>
      <c r="E348" s="2945">
        <v>4430</v>
      </c>
      <c r="F348" s="2945">
        <v>760</v>
      </c>
      <c r="G348" s="2945">
        <v>2360</v>
      </c>
      <c r="J348" s="2779"/>
    </row>
    <row r="349" spans="1:10">
      <c r="A349" s="2945" t="s">
        <v>307</v>
      </c>
      <c r="B349" s="2945" t="s">
        <v>2943</v>
      </c>
      <c r="C349" s="2945">
        <v>3820</v>
      </c>
      <c r="D349" s="2945">
        <v>3780</v>
      </c>
      <c r="E349" s="2945">
        <v>4170</v>
      </c>
      <c r="F349" s="2945">
        <v>710</v>
      </c>
      <c r="G349" s="2945">
        <v>2260</v>
      </c>
      <c r="J349" s="2779"/>
    </row>
    <row r="350" spans="1:10">
      <c r="A350" s="2945" t="s">
        <v>307</v>
      </c>
      <c r="B350" s="2945" t="s">
        <v>3167</v>
      </c>
      <c r="C350" s="2945">
        <v>3760</v>
      </c>
      <c r="D350" s="2945">
        <v>3730</v>
      </c>
      <c r="E350" s="2945">
        <v>4100</v>
      </c>
      <c r="F350" s="2945">
        <v>800</v>
      </c>
      <c r="G350" s="2945">
        <v>2230</v>
      </c>
      <c r="J350" s="2779"/>
    </row>
    <row r="351" spans="1:10">
      <c r="A351" s="2945" t="s">
        <v>307</v>
      </c>
      <c r="B351" s="2945" t="s">
        <v>2951</v>
      </c>
      <c r="C351" s="2945">
        <v>3610</v>
      </c>
      <c r="D351" s="2945">
        <v>3580</v>
      </c>
      <c r="E351" s="2945">
        <v>3930</v>
      </c>
      <c r="F351" s="2945">
        <v>700</v>
      </c>
      <c r="G351" s="2945">
        <v>2140</v>
      </c>
      <c r="J351" s="2779"/>
    </row>
    <row r="352" spans="1:10">
      <c r="A352" s="2945" t="s">
        <v>307</v>
      </c>
      <c r="B352" s="2945" t="s">
        <v>2956</v>
      </c>
      <c r="C352" s="2945">
        <v>3670</v>
      </c>
      <c r="D352" s="2945">
        <v>3630</v>
      </c>
      <c r="E352" s="2945">
        <v>4000</v>
      </c>
      <c r="F352" s="2945">
        <v>750</v>
      </c>
      <c r="G352" s="2945">
        <v>2180</v>
      </c>
    </row>
    <row r="353" spans="1:7" s="2780" customFormat="1">
      <c r="A353" s="2945" t="s">
        <v>307</v>
      </c>
      <c r="B353" s="2945" t="s">
        <v>3168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2976</v>
      </c>
      <c r="C355" s="2945">
        <v>3650</v>
      </c>
      <c r="D355" s="2945">
        <v>3610</v>
      </c>
      <c r="E355" s="2945">
        <v>4200</v>
      </c>
      <c r="F355" s="2945">
        <v>640</v>
      </c>
      <c r="G355" s="2945">
        <v>2160</v>
      </c>
    </row>
    <row r="356" spans="1:7" s="2780" customFormat="1">
      <c r="A356" s="2945" t="s">
        <v>307</v>
      </c>
      <c r="B356" s="2945" t="s">
        <v>2983</v>
      </c>
      <c r="C356" s="2945">
        <v>3260</v>
      </c>
      <c r="D356" s="2945">
        <v>3230</v>
      </c>
      <c r="E356" s="2945">
        <v>3740</v>
      </c>
      <c r="F356" s="2945">
        <v>600</v>
      </c>
      <c r="G356" s="2945">
        <v>1930</v>
      </c>
    </row>
    <row r="357" spans="1:7" s="2780" customFormat="1" ht="12" thickBot="1">
      <c r="A357" s="2953" t="s">
        <v>307</v>
      </c>
      <c r="B357" s="2956" t="s">
        <v>3169</v>
      </c>
      <c r="C357" s="2956">
        <v>3690</v>
      </c>
      <c r="D357" s="2956">
        <v>3650</v>
      </c>
      <c r="E357" s="2956">
        <v>4020</v>
      </c>
      <c r="F357" s="2956">
        <v>700</v>
      </c>
      <c r="G357" s="2956">
        <v>2190</v>
      </c>
    </row>
    <row r="358" spans="1:7" s="2780" customFormat="1">
      <c r="A358" s="2950" t="s">
        <v>3170</v>
      </c>
      <c r="B358" s="2941" t="s">
        <v>3171</v>
      </c>
      <c r="C358" s="2941">
        <v>2080</v>
      </c>
      <c r="D358" s="2941">
        <v>2040</v>
      </c>
      <c r="E358" s="2941">
        <v>2010</v>
      </c>
      <c r="F358" s="2941">
        <v>530</v>
      </c>
      <c r="G358" s="2957">
        <v>1230</v>
      </c>
    </row>
    <row r="359" spans="1:7" s="2780" customFormat="1">
      <c r="A359" s="2945" t="s">
        <v>3170</v>
      </c>
      <c r="B359" s="2945" t="s">
        <v>3172</v>
      </c>
      <c r="C359" s="2945">
        <v>1850</v>
      </c>
      <c r="D359" s="2945">
        <v>1820</v>
      </c>
      <c r="E359" s="2945">
        <v>1780</v>
      </c>
      <c r="F359" s="2945">
        <v>520</v>
      </c>
      <c r="G359" s="2958">
        <v>1100</v>
      </c>
    </row>
    <row r="360" spans="1:7" s="2780" customFormat="1">
      <c r="A360" s="2945" t="s">
        <v>3170</v>
      </c>
      <c r="B360" s="2945" t="s">
        <v>3173</v>
      </c>
      <c r="C360" s="2945">
        <v>2020</v>
      </c>
      <c r="D360" s="2945">
        <v>1990</v>
      </c>
      <c r="E360" s="2945">
        <v>1950</v>
      </c>
      <c r="F360" s="2945">
        <v>500</v>
      </c>
      <c r="G360" s="2958">
        <v>1200</v>
      </c>
    </row>
    <row r="361" spans="1:7" s="2780" customFormat="1">
      <c r="A361" s="2945" t="s">
        <v>3170</v>
      </c>
      <c r="B361" s="2945" t="s">
        <v>153</v>
      </c>
      <c r="C361" s="2945">
        <v>2260</v>
      </c>
      <c r="D361" s="2945">
        <v>2220</v>
      </c>
      <c r="E361" s="2945">
        <v>2180</v>
      </c>
      <c r="F361" s="2945">
        <v>580</v>
      </c>
      <c r="G361" s="2958">
        <v>1340</v>
      </c>
    </row>
    <row r="362" spans="1:7" s="2780" customFormat="1">
      <c r="A362" s="2945" t="s">
        <v>3170</v>
      </c>
      <c r="B362" s="2945" t="s">
        <v>3174</v>
      </c>
      <c r="C362" s="2945">
        <v>2650</v>
      </c>
      <c r="D362" s="2945">
        <v>2610</v>
      </c>
      <c r="E362" s="2945">
        <v>2570</v>
      </c>
      <c r="F362" s="2945">
        <v>630</v>
      </c>
      <c r="G362" s="2958">
        <v>1570</v>
      </c>
    </row>
    <row r="363" spans="1:7" s="2780" customFormat="1">
      <c r="A363" s="2945" t="s">
        <v>3170</v>
      </c>
      <c r="B363" s="2945" t="s">
        <v>2895</v>
      </c>
      <c r="C363" s="2945">
        <v>2390</v>
      </c>
      <c r="D363" s="2945">
        <v>2360</v>
      </c>
      <c r="E363" s="2945">
        <v>2320</v>
      </c>
      <c r="F363" s="2945">
        <v>600</v>
      </c>
      <c r="G363" s="2958">
        <v>1420</v>
      </c>
    </row>
    <row r="364" spans="1:7" s="2780" customFormat="1">
      <c r="A364" s="2945" t="s">
        <v>3170</v>
      </c>
      <c r="B364" s="2945" t="s">
        <v>3175</v>
      </c>
      <c r="C364" s="2945">
        <v>2050</v>
      </c>
      <c r="D364" s="2945">
        <v>2030</v>
      </c>
      <c r="E364" s="2945">
        <v>1990</v>
      </c>
      <c r="F364" s="2945">
        <v>550</v>
      </c>
      <c r="G364" s="2958">
        <v>1220</v>
      </c>
    </row>
    <row r="365" spans="1:7" s="2780" customFormat="1">
      <c r="A365" s="2945" t="s">
        <v>3170</v>
      </c>
      <c r="B365" s="2945" t="s">
        <v>200</v>
      </c>
      <c r="C365" s="2945">
        <v>2140</v>
      </c>
      <c r="D365" s="2945">
        <v>2100</v>
      </c>
      <c r="E365" s="2945">
        <v>2060</v>
      </c>
      <c r="F365" s="2945">
        <v>540</v>
      </c>
      <c r="G365" s="2958">
        <v>1270</v>
      </c>
    </row>
    <row r="366" spans="1:7" s="2780" customFormat="1">
      <c r="A366" s="2945" t="s">
        <v>3170</v>
      </c>
      <c r="B366" s="2945" t="s">
        <v>2902</v>
      </c>
      <c r="C366" s="2945">
        <v>2410</v>
      </c>
      <c r="D366" s="2945">
        <v>2370</v>
      </c>
      <c r="E366" s="2945">
        <v>2330</v>
      </c>
      <c r="F366" s="2945">
        <v>570</v>
      </c>
      <c r="G366" s="2958">
        <v>1440</v>
      </c>
    </row>
    <row r="367" spans="1:7" s="2780" customFormat="1">
      <c r="A367" s="2945" t="s">
        <v>3170</v>
      </c>
      <c r="B367" s="2945" t="s">
        <v>3176</v>
      </c>
      <c r="C367" s="2945">
        <v>2300</v>
      </c>
      <c r="D367" s="2945">
        <v>2260</v>
      </c>
      <c r="E367" s="2945">
        <v>2220</v>
      </c>
      <c r="F367" s="2945">
        <v>560</v>
      </c>
      <c r="G367" s="2958">
        <v>1370</v>
      </c>
    </row>
    <row r="368" spans="1:7" s="2780" customFormat="1">
      <c r="A368" s="2945" t="s">
        <v>3170</v>
      </c>
      <c r="B368" s="2945" t="s">
        <v>3177</v>
      </c>
      <c r="C368" s="2945">
        <v>2430</v>
      </c>
      <c r="D368" s="2945">
        <v>2390</v>
      </c>
      <c r="E368" s="2945">
        <v>2350</v>
      </c>
      <c r="F368" s="2945">
        <v>570</v>
      </c>
      <c r="G368" s="2958">
        <v>1450</v>
      </c>
    </row>
    <row r="369" spans="1:7" s="2780" customFormat="1">
      <c r="A369" s="2945" t="s">
        <v>3170</v>
      </c>
      <c r="B369" s="2945" t="s">
        <v>214</v>
      </c>
      <c r="C369" s="2945">
        <v>2320</v>
      </c>
      <c r="D369" s="2945">
        <v>2290</v>
      </c>
      <c r="E369" s="2945">
        <v>2250</v>
      </c>
      <c r="F369" s="2945">
        <v>550</v>
      </c>
      <c r="G369" s="2958">
        <v>1380</v>
      </c>
    </row>
    <row r="370" spans="1:7" s="2780" customFormat="1">
      <c r="A370" s="2945" t="s">
        <v>3170</v>
      </c>
      <c r="B370" s="2945" t="s">
        <v>221</v>
      </c>
      <c r="C370" s="2945">
        <v>2190</v>
      </c>
      <c r="D370" s="2945">
        <v>2170</v>
      </c>
      <c r="E370" s="2945">
        <v>2130</v>
      </c>
      <c r="F370" s="2945">
        <v>530</v>
      </c>
      <c r="G370" s="2958">
        <v>1310</v>
      </c>
    </row>
    <row r="371" spans="1:7" s="2780" customFormat="1">
      <c r="A371" s="2945" t="s">
        <v>3170</v>
      </c>
      <c r="B371" s="2945" t="s">
        <v>229</v>
      </c>
      <c r="C371" s="2945">
        <v>2460</v>
      </c>
      <c r="D371" s="2945">
        <v>2420</v>
      </c>
      <c r="E371" s="2945">
        <v>2370</v>
      </c>
      <c r="F371" s="2945">
        <v>560</v>
      </c>
      <c r="G371" s="2958">
        <v>1470</v>
      </c>
    </row>
    <row r="372" spans="1:7" s="2780" customFormat="1">
      <c r="A372" s="2945" t="s">
        <v>3170</v>
      </c>
      <c r="B372" s="2945" t="s">
        <v>3178</v>
      </c>
      <c r="C372" s="2945">
        <v>2250</v>
      </c>
      <c r="D372" s="2945">
        <v>2210</v>
      </c>
      <c r="E372" s="2945">
        <v>2180</v>
      </c>
      <c r="F372" s="2945">
        <v>550</v>
      </c>
      <c r="G372" s="2958">
        <v>1340</v>
      </c>
    </row>
    <row r="373" spans="1:7" s="2780" customFormat="1">
      <c r="A373" s="2945" t="s">
        <v>3170</v>
      </c>
      <c r="B373" s="2945" t="s">
        <v>258</v>
      </c>
      <c r="C373" s="2945">
        <v>2210</v>
      </c>
      <c r="D373" s="2945">
        <v>2190</v>
      </c>
      <c r="E373" s="2945">
        <v>2150</v>
      </c>
      <c r="F373" s="2945">
        <v>530</v>
      </c>
      <c r="G373" s="2958">
        <v>1320</v>
      </c>
    </row>
    <row r="374" spans="1:7" s="2780" customFormat="1">
      <c r="A374" s="2945" t="s">
        <v>3170</v>
      </c>
      <c r="B374" s="2945" t="s">
        <v>266</v>
      </c>
      <c r="C374" s="2945">
        <v>2320</v>
      </c>
      <c r="D374" s="2945">
        <v>2280</v>
      </c>
      <c r="E374" s="2945">
        <v>2230</v>
      </c>
      <c r="F374" s="2945">
        <v>580</v>
      </c>
      <c r="G374" s="2958">
        <v>1380</v>
      </c>
    </row>
    <row r="375" spans="1:7" s="2780" customFormat="1">
      <c r="A375" s="2945" t="s">
        <v>3170</v>
      </c>
      <c r="B375" s="2945" t="s">
        <v>3179</v>
      </c>
      <c r="C375" s="2945">
        <v>2090</v>
      </c>
      <c r="D375" s="2945">
        <v>2050</v>
      </c>
      <c r="E375" s="2945">
        <v>2020</v>
      </c>
      <c r="F375" s="2945">
        <v>520</v>
      </c>
      <c r="G375" s="2958">
        <v>1240</v>
      </c>
    </row>
    <row r="376" spans="1:7" s="2780" customFormat="1">
      <c r="A376" s="2945" t="s">
        <v>3170</v>
      </c>
      <c r="B376" s="2945" t="s">
        <v>277</v>
      </c>
      <c r="C376" s="2945">
        <v>2010</v>
      </c>
      <c r="D376" s="2945">
        <v>1980</v>
      </c>
      <c r="E376" s="2945">
        <v>1940</v>
      </c>
      <c r="F376" s="2945">
        <v>540</v>
      </c>
      <c r="G376" s="2958">
        <v>1190</v>
      </c>
    </row>
    <row r="377" spans="1:7" s="2780" customFormat="1" ht="12" thickBot="1">
      <c r="A377" s="2953" t="s">
        <v>3170</v>
      </c>
      <c r="B377" s="2956" t="s">
        <v>2932</v>
      </c>
      <c r="C377" s="2956">
        <v>1930</v>
      </c>
      <c r="D377" s="2956">
        <v>1890</v>
      </c>
      <c r="E377" s="2956">
        <v>1860</v>
      </c>
      <c r="F377" s="2956">
        <v>530</v>
      </c>
      <c r="G377" s="2961">
        <v>1150</v>
      </c>
    </row>
    <row r="378" spans="1:7" s="2780" customFormat="1">
      <c r="A378" s="2962" t="s">
        <v>3180</v>
      </c>
      <c r="B378" s="2941" t="s">
        <v>3181</v>
      </c>
      <c r="C378" s="2941">
        <v>1520</v>
      </c>
      <c r="D378" s="2941">
        <v>1490</v>
      </c>
      <c r="E378" s="2941">
        <v>1460</v>
      </c>
      <c r="F378" s="2941">
        <v>460</v>
      </c>
      <c r="G378" s="2957">
        <v>940</v>
      </c>
    </row>
    <row r="379" spans="1:7" s="2780" customFormat="1">
      <c r="A379" s="2963" t="s">
        <v>3180</v>
      </c>
      <c r="B379" s="2945" t="s">
        <v>3182</v>
      </c>
      <c r="C379" s="2945">
        <v>1500</v>
      </c>
      <c r="D379" s="2945">
        <v>1470</v>
      </c>
      <c r="E379" s="2945">
        <v>1430</v>
      </c>
      <c r="F379" s="2945">
        <v>460</v>
      </c>
      <c r="G379" s="2958">
        <v>920</v>
      </c>
    </row>
    <row r="380" spans="1:7" s="2780" customFormat="1">
      <c r="A380" s="2963" t="s">
        <v>3180</v>
      </c>
      <c r="B380" s="2945" t="s">
        <v>3183</v>
      </c>
      <c r="C380" s="2945">
        <v>1620</v>
      </c>
      <c r="D380" s="2945">
        <v>1590</v>
      </c>
      <c r="E380" s="2945">
        <v>1560</v>
      </c>
      <c r="F380" s="2945">
        <v>480</v>
      </c>
      <c r="G380" s="2958">
        <v>1000</v>
      </c>
    </row>
    <row r="381" spans="1:7" s="2780" customFormat="1">
      <c r="A381" s="2963" t="s">
        <v>3180</v>
      </c>
      <c r="B381" s="2945" t="s">
        <v>3184</v>
      </c>
      <c r="C381" s="2945">
        <v>1460</v>
      </c>
      <c r="D381" s="2945">
        <v>1430</v>
      </c>
      <c r="E381" s="2945">
        <v>1390</v>
      </c>
      <c r="F381" s="2945">
        <v>450</v>
      </c>
      <c r="G381" s="2958">
        <v>900</v>
      </c>
    </row>
    <row r="382" spans="1:7" s="2780" customFormat="1">
      <c r="A382" s="2963" t="s">
        <v>3180</v>
      </c>
      <c r="B382" s="2945" t="s">
        <v>3185</v>
      </c>
      <c r="C382" s="2945">
        <v>1310</v>
      </c>
      <c r="D382" s="2945">
        <v>1280</v>
      </c>
      <c r="E382" s="2945">
        <v>1250</v>
      </c>
      <c r="F382" s="2945">
        <v>440</v>
      </c>
      <c r="G382" s="2958">
        <v>800</v>
      </c>
    </row>
    <row r="383" spans="1:7" s="2780" customFormat="1">
      <c r="A383" s="2963" t="s">
        <v>3180</v>
      </c>
      <c r="B383" s="2945" t="s">
        <v>3186</v>
      </c>
      <c r="C383" s="2945">
        <v>1260</v>
      </c>
      <c r="D383" s="2945">
        <v>1230</v>
      </c>
      <c r="E383" s="2945">
        <v>1200</v>
      </c>
      <c r="F383" s="2945">
        <v>420</v>
      </c>
      <c r="G383" s="2958">
        <v>770</v>
      </c>
    </row>
    <row r="384" spans="1:7" s="2780" customFormat="1" ht="12" thickBot="1">
      <c r="A384" s="2964" t="s">
        <v>3180</v>
      </c>
      <c r="B384" s="2952" t="s">
        <v>3187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674" t="s">
        <v>3188</v>
      </c>
      <c r="B1" s="3674"/>
    </row>
    <row r="2" spans="1:7" ht="14.25" thickBot="1">
      <c r="A2" s="2966"/>
      <c r="B2" s="2966"/>
    </row>
    <row r="3" spans="1:7" ht="14.25" thickBot="1">
      <c r="A3" s="2966"/>
      <c r="B3" s="2966"/>
      <c r="C3" s="2967" t="s">
        <v>2814</v>
      </c>
      <c r="D3" s="2967" t="s">
        <v>2874</v>
      </c>
      <c r="E3" s="2967" t="s">
        <v>2816</v>
      </c>
      <c r="F3" s="2967" t="s">
        <v>2875</v>
      </c>
      <c r="G3" s="2967" t="s">
        <v>2634</v>
      </c>
    </row>
    <row r="4" spans="1:7" ht="14.25" thickBot="1">
      <c r="A4" s="2968" t="s">
        <v>2873</v>
      </c>
      <c r="B4" s="2969" t="s">
        <v>2879</v>
      </c>
      <c r="C4" s="2967"/>
      <c r="D4" s="2967"/>
      <c r="E4" s="2967"/>
      <c r="F4" s="2967"/>
      <c r="G4" s="2967"/>
    </row>
    <row r="5" spans="1:7">
      <c r="A5" s="2970" t="s">
        <v>2847</v>
      </c>
      <c r="B5" s="2971" t="s">
        <v>2861</v>
      </c>
      <c r="C5" s="2972">
        <v>9.8000000000000004E-2</v>
      </c>
      <c r="D5" s="2972">
        <v>8.6999999999999994E-2</v>
      </c>
      <c r="E5" s="2972">
        <v>8.6999999999999994E-2</v>
      </c>
      <c r="F5" s="2972">
        <v>9.8000000000000004E-2</v>
      </c>
      <c r="G5" s="2973">
        <v>9.5000000000000001E-2</v>
      </c>
    </row>
    <row r="6" spans="1:7">
      <c r="A6" s="2974" t="s">
        <v>144</v>
      </c>
      <c r="B6" s="2975" t="s">
        <v>2876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2862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2912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2930</v>
      </c>
      <c r="C29" s="2984"/>
      <c r="D29" s="2980">
        <v>5.1999999999999998E-2</v>
      </c>
      <c r="E29" s="2980">
        <v>7.0000000000000007E-2</v>
      </c>
      <c r="F29" s="2984"/>
      <c r="G29" s="2982">
        <v>7.0999999999999994E-2</v>
      </c>
    </row>
    <row r="30" spans="1:7">
      <c r="A30" s="2985" t="s">
        <v>296</v>
      </c>
      <c r="B30" s="2971" t="s">
        <v>2863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2933</v>
      </c>
      <c r="C50" s="2976">
        <v>9.8000000000000004E-2</v>
      </c>
      <c r="D50" s="2976">
        <v>7.2999999999999995E-2</v>
      </c>
      <c r="E50" s="2976">
        <v>7.0999999999999994E-2</v>
      </c>
      <c r="F50" s="2987"/>
      <c r="G50" s="2977">
        <v>7.2999999999999995E-2</v>
      </c>
    </row>
    <row r="51" spans="1:7">
      <c r="A51" s="2986" t="s">
        <v>296</v>
      </c>
      <c r="B51" s="2975" t="s">
        <v>2935</v>
      </c>
      <c r="C51" s="2976">
        <v>9.9000000000000005E-2</v>
      </c>
      <c r="D51" s="2976">
        <v>8.5000000000000006E-2</v>
      </c>
      <c r="E51" s="2976">
        <v>6.3E-2</v>
      </c>
      <c r="F51" s="2987"/>
      <c r="G51" s="2977">
        <v>9.6000000000000002E-2</v>
      </c>
    </row>
    <row r="52" spans="1:7">
      <c r="A52" s="2986" t="s">
        <v>296</v>
      </c>
      <c r="B52" s="2975" t="s">
        <v>2939</v>
      </c>
      <c r="C52" s="2976">
        <v>7.3999999999999996E-2</v>
      </c>
      <c r="D52" s="2976">
        <v>9.6000000000000002E-2</v>
      </c>
      <c r="E52" s="2976">
        <v>0.05</v>
      </c>
      <c r="F52" s="2987"/>
      <c r="G52" s="2977">
        <v>9.8000000000000004E-2</v>
      </c>
    </row>
    <row r="53" spans="1:7">
      <c r="A53" s="2986" t="s">
        <v>296</v>
      </c>
      <c r="B53" s="2975" t="s">
        <v>2944</v>
      </c>
      <c r="C53" s="2976">
        <v>8.5999999999999993E-2</v>
      </c>
      <c r="D53" s="2987"/>
      <c r="E53" s="2976">
        <v>9.1999999999999998E-2</v>
      </c>
      <c r="F53" s="2987"/>
      <c r="G53" s="2988"/>
    </row>
    <row r="54" spans="1:7" ht="14.25" thickBot="1">
      <c r="A54" s="2989" t="s">
        <v>296</v>
      </c>
      <c r="B54" s="2979" t="s">
        <v>2947</v>
      </c>
      <c r="C54" s="2980">
        <v>9.6000000000000002E-2</v>
      </c>
      <c r="D54" s="2981"/>
      <c r="E54" s="2990"/>
      <c r="F54" s="2981"/>
      <c r="G54" s="2991"/>
    </row>
    <row r="55" spans="1:7">
      <c r="A55" s="2985" t="s">
        <v>110</v>
      </c>
      <c r="B55" s="2971" t="s">
        <v>2864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2945</v>
      </c>
      <c r="C78" s="2976">
        <v>0.1</v>
      </c>
      <c r="D78" s="2976">
        <v>8.5000000000000006E-2</v>
      </c>
      <c r="E78" s="2976">
        <v>9.6000000000000002E-2</v>
      </c>
      <c r="F78" s="2987"/>
      <c r="G78" s="2977">
        <v>9.6000000000000002E-2</v>
      </c>
    </row>
    <row r="79" spans="1:7">
      <c r="A79" s="2986" t="s">
        <v>110</v>
      </c>
      <c r="B79" s="2975" t="s">
        <v>2948</v>
      </c>
      <c r="C79" s="2976">
        <v>0.05</v>
      </c>
      <c r="D79" s="2976">
        <v>9.6000000000000002E-2</v>
      </c>
      <c r="E79" s="2976">
        <v>9.5000000000000001E-2</v>
      </c>
      <c r="F79" s="2987"/>
      <c r="G79" s="2977">
        <v>9.8000000000000004E-2</v>
      </c>
    </row>
    <row r="80" spans="1:7">
      <c r="A80" s="2986" t="s">
        <v>110</v>
      </c>
      <c r="B80" s="2975" t="s">
        <v>2952</v>
      </c>
      <c r="C80" s="2976">
        <v>8.5999999999999993E-2</v>
      </c>
      <c r="D80" s="2992"/>
      <c r="E80" s="2976">
        <v>0.1</v>
      </c>
      <c r="F80" s="2987"/>
      <c r="G80" s="2988"/>
    </row>
    <row r="81" spans="1:7">
      <c r="A81" s="2986" t="s">
        <v>110</v>
      </c>
      <c r="B81" s="2975" t="s">
        <v>2957</v>
      </c>
      <c r="C81" s="2976">
        <v>9.6000000000000002E-2</v>
      </c>
      <c r="D81" s="2987"/>
      <c r="E81" s="2976">
        <v>9.8000000000000004E-2</v>
      </c>
      <c r="F81" s="2987"/>
      <c r="G81" s="2988"/>
    </row>
    <row r="82" spans="1:7">
      <c r="A82" s="2986" t="s">
        <v>110</v>
      </c>
      <c r="B82" s="2975" t="s">
        <v>2964</v>
      </c>
      <c r="C82" s="2992"/>
      <c r="D82" s="2987"/>
      <c r="E82" s="2976">
        <v>7.6999999999999999E-2</v>
      </c>
      <c r="F82" s="2987"/>
      <c r="G82" s="2988"/>
    </row>
    <row r="83" spans="1:7">
      <c r="A83" s="2986" t="s">
        <v>110</v>
      </c>
      <c r="B83" s="2975" t="s">
        <v>2970</v>
      </c>
      <c r="C83" s="2987"/>
      <c r="D83" s="2987"/>
      <c r="E83" s="2987"/>
      <c r="F83" s="2976">
        <v>0.1</v>
      </c>
      <c r="G83" s="2993"/>
    </row>
    <row r="84" spans="1:7">
      <c r="A84" s="2986" t="s">
        <v>110</v>
      </c>
      <c r="B84" s="2975" t="s">
        <v>2977</v>
      </c>
      <c r="C84" s="2987"/>
      <c r="D84" s="2987"/>
      <c r="E84" s="2987"/>
      <c r="F84" s="2976">
        <v>0.1</v>
      </c>
      <c r="G84" s="2993"/>
    </row>
    <row r="85" spans="1:7">
      <c r="A85" s="2986" t="s">
        <v>110</v>
      </c>
      <c r="B85" s="2975" t="s">
        <v>2984</v>
      </c>
      <c r="C85" s="2987"/>
      <c r="D85" s="2987"/>
      <c r="E85" s="2987"/>
      <c r="F85" s="2976">
        <v>0.1</v>
      </c>
      <c r="G85" s="2993"/>
    </row>
    <row r="86" spans="1:7" ht="14.25" thickBot="1">
      <c r="A86" s="2989" t="s">
        <v>110</v>
      </c>
      <c r="B86" s="2979" t="s">
        <v>2989</v>
      </c>
      <c r="C86" s="2980">
        <v>9.8000000000000004E-2</v>
      </c>
      <c r="D86" s="2980">
        <v>9.8000000000000004E-2</v>
      </c>
      <c r="E86" s="2980">
        <v>9.6000000000000002E-2</v>
      </c>
      <c r="F86" s="2990"/>
      <c r="G86" s="2982">
        <v>0.1</v>
      </c>
    </row>
    <row r="87" spans="1:7">
      <c r="A87" s="2985" t="s">
        <v>303</v>
      </c>
      <c r="B87" s="2971" t="s">
        <v>2865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2958</v>
      </c>
      <c r="C113" s="2976">
        <v>0.1</v>
      </c>
      <c r="D113" s="2976">
        <v>0.1</v>
      </c>
      <c r="E113" s="2987"/>
      <c r="F113" s="2987"/>
      <c r="G113" s="2977">
        <v>0.1</v>
      </c>
    </row>
    <row r="114" spans="1:7">
      <c r="A114" s="2986" t="s">
        <v>303</v>
      </c>
      <c r="B114" s="2975" t="s">
        <v>2965</v>
      </c>
      <c r="C114" s="2976">
        <v>9.7000000000000003E-2</v>
      </c>
      <c r="D114" s="2976">
        <v>9.7000000000000003E-2</v>
      </c>
      <c r="E114" s="2987"/>
      <c r="F114" s="2987"/>
      <c r="G114" s="2977">
        <v>9.9000000000000005E-2</v>
      </c>
    </row>
    <row r="115" spans="1:7">
      <c r="A115" s="2986" t="s">
        <v>303</v>
      </c>
      <c r="B115" s="2975" t="s">
        <v>2971</v>
      </c>
      <c r="C115" s="2976">
        <v>0.1</v>
      </c>
      <c r="D115" s="2976">
        <v>0.1</v>
      </c>
      <c r="E115" s="2987"/>
      <c r="F115" s="2987"/>
      <c r="G115" s="2977">
        <v>0.1</v>
      </c>
    </row>
    <row r="116" spans="1:7">
      <c r="A116" s="2986" t="s">
        <v>303</v>
      </c>
      <c r="B116" s="2975" t="s">
        <v>2978</v>
      </c>
      <c r="C116" s="2976">
        <v>0.1</v>
      </c>
      <c r="D116" s="2976">
        <v>0.1</v>
      </c>
      <c r="E116" s="2987"/>
      <c r="F116" s="2987"/>
      <c r="G116" s="2977">
        <v>0.1</v>
      </c>
    </row>
    <row r="117" spans="1:7">
      <c r="A117" s="2986" t="s">
        <v>303</v>
      </c>
      <c r="B117" s="2975" t="s">
        <v>2985</v>
      </c>
      <c r="C117" s="2976">
        <v>9.7000000000000003E-2</v>
      </c>
      <c r="D117" s="2976">
        <v>9.7000000000000003E-2</v>
      </c>
      <c r="E117" s="2987"/>
      <c r="F117" s="2987"/>
      <c r="G117" s="2977">
        <v>9.7000000000000003E-2</v>
      </c>
    </row>
    <row r="118" spans="1:7">
      <c r="A118" s="2986" t="s">
        <v>303</v>
      </c>
      <c r="B118" s="2975" t="s">
        <v>2990</v>
      </c>
      <c r="C118" s="2976">
        <v>0.1</v>
      </c>
      <c r="D118" s="2976">
        <v>0.1</v>
      </c>
      <c r="E118" s="2987"/>
      <c r="F118" s="2987"/>
      <c r="G118" s="2977">
        <v>0.1</v>
      </c>
    </row>
    <row r="119" spans="1:7">
      <c r="A119" s="2986" t="s">
        <v>303</v>
      </c>
      <c r="B119" s="2975" t="s">
        <v>2994</v>
      </c>
      <c r="C119" s="2976">
        <v>5.0999999999999997E-2</v>
      </c>
      <c r="D119" s="2976">
        <v>5.1999999999999998E-2</v>
      </c>
      <c r="E119" s="2987"/>
      <c r="F119" s="2992"/>
      <c r="G119" s="2977">
        <v>0.06</v>
      </c>
    </row>
    <row r="120" spans="1:7">
      <c r="A120" s="2986" t="s">
        <v>303</v>
      </c>
      <c r="B120" s="2975" t="s">
        <v>2998</v>
      </c>
      <c r="C120" s="2987"/>
      <c r="D120" s="2987"/>
      <c r="E120" s="2987"/>
      <c r="F120" s="2976">
        <v>0.1</v>
      </c>
      <c r="G120" s="2993"/>
    </row>
    <row r="121" spans="1:7">
      <c r="A121" s="2986" t="s">
        <v>303</v>
      </c>
      <c r="B121" s="2975" t="s">
        <v>3003</v>
      </c>
      <c r="C121" s="2987"/>
      <c r="D121" s="2987"/>
      <c r="E121" s="2987"/>
      <c r="F121" s="2976">
        <v>0.1</v>
      </c>
      <c r="G121" s="2993"/>
    </row>
    <row r="122" spans="1:7">
      <c r="A122" s="2986" t="s">
        <v>303</v>
      </c>
      <c r="B122" s="2975" t="s">
        <v>3008</v>
      </c>
      <c r="C122" s="2976">
        <v>0.1</v>
      </c>
      <c r="D122" s="2976">
        <v>0.1</v>
      </c>
      <c r="E122" s="2976">
        <v>9.8000000000000004E-2</v>
      </c>
      <c r="F122" s="2976">
        <v>0.1</v>
      </c>
      <c r="G122" s="2977">
        <v>0.1</v>
      </c>
    </row>
    <row r="123" spans="1:7">
      <c r="A123" s="2986" t="s">
        <v>303</v>
      </c>
      <c r="B123" s="2975" t="s">
        <v>3013</v>
      </c>
      <c r="C123" s="2976">
        <v>0.1</v>
      </c>
      <c r="D123" s="2976">
        <v>0.1</v>
      </c>
      <c r="E123" s="2976">
        <v>9.8000000000000004E-2</v>
      </c>
      <c r="F123" s="2976">
        <v>0.1</v>
      </c>
      <c r="G123" s="2977">
        <v>0.1</v>
      </c>
    </row>
    <row r="124" spans="1:7">
      <c r="A124" s="2986" t="s">
        <v>303</v>
      </c>
      <c r="B124" s="2975" t="s">
        <v>3018</v>
      </c>
      <c r="C124" s="2976">
        <v>0.1</v>
      </c>
      <c r="D124" s="2976">
        <v>0.1</v>
      </c>
      <c r="E124" s="2976">
        <v>9.8000000000000004E-2</v>
      </c>
      <c r="F124" s="2992"/>
      <c r="G124" s="2977">
        <v>0.1</v>
      </c>
    </row>
    <row r="125" spans="1:7">
      <c r="A125" s="2986" t="s">
        <v>303</v>
      </c>
      <c r="B125" s="2975" t="s">
        <v>3023</v>
      </c>
      <c r="C125" s="2976">
        <v>9.8000000000000004E-2</v>
      </c>
      <c r="D125" s="2976">
        <v>9.8000000000000004E-2</v>
      </c>
      <c r="E125" s="2976">
        <v>9.6000000000000002E-2</v>
      </c>
      <c r="F125" s="2992"/>
      <c r="G125" s="2977">
        <v>0.1</v>
      </c>
    </row>
    <row r="126" spans="1:7" ht="14.25" thickBot="1">
      <c r="A126" s="2989" t="s">
        <v>303</v>
      </c>
      <c r="B126" s="2979" t="s">
        <v>3189</v>
      </c>
      <c r="C126" s="2980">
        <v>0.1</v>
      </c>
      <c r="D126" s="2980">
        <v>0.1</v>
      </c>
      <c r="E126" s="2980">
        <v>9.8000000000000004E-2</v>
      </c>
      <c r="F126" s="2980">
        <v>0.1</v>
      </c>
      <c r="G126" s="2982">
        <v>0.1</v>
      </c>
    </row>
    <row r="127" spans="1:7">
      <c r="A127" s="2985" t="s">
        <v>29</v>
      </c>
      <c r="B127" s="2971" t="s">
        <v>2866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2936</v>
      </c>
      <c r="C148" s="2976">
        <v>0.13</v>
      </c>
      <c r="D148" s="2976">
        <v>0.13</v>
      </c>
      <c r="E148" s="2976">
        <v>0.13</v>
      </c>
      <c r="F148" s="2987"/>
      <c r="G148" s="2977">
        <v>0.13</v>
      </c>
    </row>
    <row r="149" spans="1:7">
      <c r="A149" s="2986" t="s">
        <v>29</v>
      </c>
      <c r="B149" s="2975" t="s">
        <v>2940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2959</v>
      </c>
      <c r="C153" s="2976">
        <v>0.13</v>
      </c>
      <c r="D153" s="2976">
        <v>0.13</v>
      </c>
      <c r="E153" s="2976">
        <v>0.13</v>
      </c>
      <c r="F153" s="2976">
        <v>0.13</v>
      </c>
      <c r="G153" s="2977">
        <v>0.13</v>
      </c>
    </row>
    <row r="154" spans="1:7">
      <c r="A154" s="2986" t="s">
        <v>29</v>
      </c>
      <c r="B154" s="2975" t="s">
        <v>2966</v>
      </c>
      <c r="C154" s="2976">
        <v>0.121</v>
      </c>
      <c r="D154" s="2976">
        <v>0.121</v>
      </c>
      <c r="E154" s="2976">
        <v>0.105</v>
      </c>
      <c r="F154" s="2976">
        <v>0.121</v>
      </c>
      <c r="G154" s="2977">
        <v>0.123</v>
      </c>
    </row>
    <row r="155" spans="1:7">
      <c r="A155" s="2986" t="s">
        <v>29</v>
      </c>
      <c r="B155" s="2975" t="s">
        <v>2972</v>
      </c>
      <c r="C155" s="2976">
        <v>0.1</v>
      </c>
      <c r="D155" s="2976">
        <v>0.1</v>
      </c>
      <c r="E155" s="2976">
        <v>0.1</v>
      </c>
      <c r="F155" s="2976">
        <v>0.1</v>
      </c>
      <c r="G155" s="2977">
        <v>0.1</v>
      </c>
    </row>
    <row r="156" spans="1:7">
      <c r="A156" s="2986" t="s">
        <v>29</v>
      </c>
      <c r="B156" s="2975" t="s">
        <v>2979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2999</v>
      </c>
      <c r="C160" s="2976">
        <v>0.13</v>
      </c>
      <c r="D160" s="2976">
        <v>0.13</v>
      </c>
      <c r="E160" s="2976">
        <v>0.124</v>
      </c>
      <c r="F160" s="2976">
        <v>0.126</v>
      </c>
      <c r="G160" s="2977">
        <v>0.13</v>
      </c>
    </row>
    <row r="161" spans="1:7">
      <c r="A161" s="2986" t="s">
        <v>29</v>
      </c>
      <c r="B161" s="2975" t="s">
        <v>3004</v>
      </c>
      <c r="C161" s="2976">
        <v>0.13</v>
      </c>
      <c r="D161" s="2976">
        <v>0.13</v>
      </c>
      <c r="E161" s="2976">
        <v>0.124</v>
      </c>
      <c r="F161" s="2976">
        <v>0.127</v>
      </c>
      <c r="G161" s="2977">
        <v>0.13</v>
      </c>
    </row>
    <row r="162" spans="1:7">
      <c r="A162" s="2986" t="s">
        <v>29</v>
      </c>
      <c r="B162" s="2975" t="s">
        <v>3009</v>
      </c>
      <c r="C162" s="2976">
        <v>0.1</v>
      </c>
      <c r="D162" s="2976">
        <v>0.1</v>
      </c>
      <c r="E162" s="2976">
        <v>0.1</v>
      </c>
      <c r="F162" s="2976">
        <v>0.121</v>
      </c>
      <c r="G162" s="2977">
        <v>0.105</v>
      </c>
    </row>
    <row r="163" spans="1:7">
      <c r="A163" s="2986" t="s">
        <v>29</v>
      </c>
      <c r="B163" s="2975" t="s">
        <v>3014</v>
      </c>
      <c r="C163" s="2976">
        <v>0.1</v>
      </c>
      <c r="D163" s="2976">
        <v>0.1</v>
      </c>
      <c r="E163" s="2976">
        <v>0.1</v>
      </c>
      <c r="F163" s="2976">
        <v>0.1</v>
      </c>
      <c r="G163" s="2977">
        <v>0.1</v>
      </c>
    </row>
    <row r="164" spans="1:7">
      <c r="A164" s="2986" t="s">
        <v>29</v>
      </c>
      <c r="B164" s="2975" t="s">
        <v>3019</v>
      </c>
      <c r="C164" s="2992"/>
      <c r="D164" s="2992"/>
      <c r="E164" s="2992"/>
      <c r="F164" s="2976">
        <v>0.1</v>
      </c>
      <c r="G164" s="2988"/>
    </row>
    <row r="165" spans="1:7">
      <c r="A165" s="2986" t="s">
        <v>29</v>
      </c>
      <c r="B165" s="2975" t="s">
        <v>3190</v>
      </c>
      <c r="C165" s="2976">
        <v>0.126</v>
      </c>
      <c r="D165" s="2976">
        <v>0.126</v>
      </c>
      <c r="E165" s="2976">
        <v>0.11899999999999999</v>
      </c>
      <c r="F165" s="2976">
        <v>0.13</v>
      </c>
      <c r="G165" s="2977">
        <v>0.128</v>
      </c>
    </row>
    <row r="166" spans="1:7">
      <c r="A166" s="2986" t="s">
        <v>29</v>
      </c>
      <c r="B166" s="2975" t="s">
        <v>3029</v>
      </c>
      <c r="C166" s="2976">
        <v>0.129</v>
      </c>
      <c r="D166" s="2976">
        <v>0.129</v>
      </c>
      <c r="E166" s="2976">
        <v>0.123</v>
      </c>
      <c r="F166" s="2976">
        <v>0.128</v>
      </c>
      <c r="G166" s="2977">
        <v>0.13</v>
      </c>
    </row>
    <row r="167" spans="1:7">
      <c r="A167" s="2986" t="s">
        <v>29</v>
      </c>
      <c r="B167" s="2975" t="s">
        <v>3033</v>
      </c>
      <c r="C167" s="2976">
        <v>0.125</v>
      </c>
      <c r="D167" s="2976">
        <v>0.125</v>
      </c>
      <c r="E167" s="2976">
        <v>0.11700000000000001</v>
      </c>
      <c r="F167" s="2976">
        <v>0.13</v>
      </c>
      <c r="G167" s="2977">
        <v>0.126</v>
      </c>
    </row>
    <row r="168" spans="1:7">
      <c r="A168" s="2986" t="s">
        <v>29</v>
      </c>
      <c r="B168" s="2975" t="s">
        <v>3038</v>
      </c>
      <c r="C168" s="2976">
        <v>0.128</v>
      </c>
      <c r="D168" s="2976">
        <v>0.128</v>
      </c>
      <c r="E168" s="2976">
        <v>0.123</v>
      </c>
      <c r="F168" s="2987"/>
      <c r="G168" s="2977">
        <v>0.13</v>
      </c>
    </row>
    <row r="169" spans="1:7">
      <c r="A169" s="2986" t="s">
        <v>29</v>
      </c>
      <c r="B169" s="2975" t="s">
        <v>3191</v>
      </c>
      <c r="C169" s="2992"/>
      <c r="D169" s="2992"/>
      <c r="E169" s="2992"/>
      <c r="F169" s="2976">
        <v>0.05</v>
      </c>
      <c r="G169" s="2988"/>
    </row>
    <row r="170" spans="1:7">
      <c r="A170" s="2986" t="s">
        <v>29</v>
      </c>
      <c r="B170" s="2975" t="s">
        <v>3192</v>
      </c>
      <c r="C170" s="2992"/>
      <c r="D170" s="2992"/>
      <c r="E170" s="2992"/>
      <c r="F170" s="2976">
        <v>0.05</v>
      </c>
      <c r="G170" s="2988"/>
    </row>
    <row r="171" spans="1:7">
      <c r="A171" s="2986" t="s">
        <v>29</v>
      </c>
      <c r="B171" s="2975" t="s">
        <v>3193</v>
      </c>
      <c r="C171" s="2992"/>
      <c r="D171" s="2992"/>
      <c r="E171" s="2992"/>
      <c r="F171" s="2976">
        <v>0.05</v>
      </c>
      <c r="G171" s="2993"/>
    </row>
    <row r="172" spans="1:7">
      <c r="A172" s="2986" t="s">
        <v>29</v>
      </c>
      <c r="B172" s="2975" t="s">
        <v>3194</v>
      </c>
      <c r="C172" s="2992"/>
      <c r="D172" s="2992"/>
      <c r="E172" s="2992"/>
      <c r="F172" s="2976">
        <v>0.05</v>
      </c>
      <c r="G172" s="2993"/>
    </row>
    <row r="173" spans="1:7">
      <c r="A173" s="2986" t="s">
        <v>29</v>
      </c>
      <c r="B173" s="2975" t="s">
        <v>3195</v>
      </c>
      <c r="C173" s="2992"/>
      <c r="D173" s="2992"/>
      <c r="E173" s="2992"/>
      <c r="F173" s="2976">
        <v>0.05</v>
      </c>
      <c r="G173" s="2988"/>
    </row>
    <row r="174" spans="1:7">
      <c r="A174" s="2986" t="s">
        <v>29</v>
      </c>
      <c r="B174" s="2975" t="s">
        <v>3196</v>
      </c>
      <c r="C174" s="2992"/>
      <c r="D174" s="2992"/>
      <c r="E174" s="2992"/>
      <c r="F174" s="2976">
        <v>0.05</v>
      </c>
      <c r="G174" s="2988"/>
    </row>
    <row r="175" spans="1:7">
      <c r="A175" s="2986" t="s">
        <v>29</v>
      </c>
      <c r="B175" s="2975" t="s">
        <v>3197</v>
      </c>
      <c r="C175" s="2992"/>
      <c r="D175" s="2992"/>
      <c r="E175" s="2992"/>
      <c r="F175" s="2976">
        <v>0.05</v>
      </c>
      <c r="G175" s="2988"/>
    </row>
    <row r="176" spans="1:7">
      <c r="A176" s="2986" t="s">
        <v>29</v>
      </c>
      <c r="B176" s="2975" t="s">
        <v>3198</v>
      </c>
      <c r="C176" s="2992"/>
      <c r="D176" s="2992"/>
      <c r="E176" s="2992"/>
      <c r="F176" s="2976">
        <v>0.05</v>
      </c>
      <c r="G176" s="2988"/>
    </row>
    <row r="177" spans="1:7">
      <c r="A177" s="2986" t="s">
        <v>29</v>
      </c>
      <c r="B177" s="2975" t="s">
        <v>3199</v>
      </c>
      <c r="C177" s="2987"/>
      <c r="D177" s="2987"/>
      <c r="E177" s="2987"/>
      <c r="F177" s="2976">
        <v>0.05</v>
      </c>
      <c r="G177" s="2993"/>
    </row>
    <row r="178" spans="1:7">
      <c r="A178" s="2986" t="s">
        <v>29</v>
      </c>
      <c r="B178" s="2975" t="s">
        <v>3200</v>
      </c>
      <c r="C178" s="2987"/>
      <c r="D178" s="2987"/>
      <c r="E178" s="2987"/>
      <c r="F178" s="2976">
        <v>0.05</v>
      </c>
      <c r="G178" s="2993"/>
    </row>
    <row r="179" spans="1:7">
      <c r="A179" s="2986" t="s">
        <v>29</v>
      </c>
      <c r="B179" s="2975" t="s">
        <v>3201</v>
      </c>
      <c r="C179" s="2987"/>
      <c r="D179" s="2987"/>
      <c r="E179" s="2987"/>
      <c r="F179" s="2976">
        <v>0.05</v>
      </c>
      <c r="G179" s="2993"/>
    </row>
    <row r="180" spans="1:7">
      <c r="A180" s="2986" t="s">
        <v>29</v>
      </c>
      <c r="B180" s="2975" t="s">
        <v>3202</v>
      </c>
      <c r="C180" s="2987"/>
      <c r="D180" s="2987"/>
      <c r="E180" s="2987"/>
      <c r="F180" s="2976">
        <v>0.05</v>
      </c>
      <c r="G180" s="2993"/>
    </row>
    <row r="181" spans="1:7">
      <c r="A181" s="2986" t="s">
        <v>29</v>
      </c>
      <c r="B181" s="2975" t="s">
        <v>3203</v>
      </c>
      <c r="C181" s="2987"/>
      <c r="D181" s="2987"/>
      <c r="E181" s="2987"/>
      <c r="F181" s="2976">
        <v>0.05</v>
      </c>
      <c r="G181" s="2993"/>
    </row>
    <row r="182" spans="1:7">
      <c r="A182" s="2986" t="s">
        <v>29</v>
      </c>
      <c r="B182" s="2975" t="s">
        <v>3204</v>
      </c>
      <c r="C182" s="2987"/>
      <c r="D182" s="2987"/>
      <c r="E182" s="2987"/>
      <c r="F182" s="2976">
        <v>0.05</v>
      </c>
      <c r="G182" s="2993"/>
    </row>
    <row r="183" spans="1:7">
      <c r="A183" s="2986" t="s">
        <v>29</v>
      </c>
      <c r="B183" s="2975" t="s">
        <v>3205</v>
      </c>
      <c r="C183" s="2987"/>
      <c r="D183" s="2987"/>
      <c r="E183" s="2987"/>
      <c r="F183" s="2976">
        <v>0.05</v>
      </c>
      <c r="G183" s="2993"/>
    </row>
    <row r="184" spans="1:7">
      <c r="A184" s="2986" t="s">
        <v>29</v>
      </c>
      <c r="B184" s="2975" t="s">
        <v>3206</v>
      </c>
      <c r="C184" s="2987"/>
      <c r="D184" s="2987"/>
      <c r="E184" s="2987"/>
      <c r="F184" s="2976">
        <v>0.05</v>
      </c>
      <c r="G184" s="2993"/>
    </row>
    <row r="185" spans="1:7">
      <c r="A185" s="2986" t="s">
        <v>29</v>
      </c>
      <c r="B185" s="2975" t="s">
        <v>3207</v>
      </c>
      <c r="C185" s="2987"/>
      <c r="D185" s="2987"/>
      <c r="E185" s="2987"/>
      <c r="F185" s="2976">
        <v>0.05</v>
      </c>
      <c r="G185" s="2993"/>
    </row>
    <row r="186" spans="1:7">
      <c r="A186" s="2986" t="s">
        <v>29</v>
      </c>
      <c r="B186" s="2975" t="s">
        <v>3208</v>
      </c>
      <c r="C186" s="2987"/>
      <c r="D186" s="2987"/>
      <c r="E186" s="2987"/>
      <c r="F186" s="2976">
        <v>0.05</v>
      </c>
      <c r="G186" s="2993"/>
    </row>
    <row r="187" spans="1:7">
      <c r="A187" s="2986" t="s">
        <v>29</v>
      </c>
      <c r="B187" s="2975" t="s">
        <v>3209</v>
      </c>
      <c r="C187" s="2987"/>
      <c r="D187" s="2987"/>
      <c r="E187" s="2987"/>
      <c r="F187" s="2976">
        <v>0.05</v>
      </c>
      <c r="G187" s="2993"/>
    </row>
    <row r="188" spans="1:7">
      <c r="A188" s="2986" t="s">
        <v>29</v>
      </c>
      <c r="B188" s="2975" t="s">
        <v>3210</v>
      </c>
      <c r="C188" s="2987"/>
      <c r="D188" s="2987"/>
      <c r="E188" s="2987"/>
      <c r="F188" s="2976">
        <v>0.05</v>
      </c>
      <c r="G188" s="2993"/>
    </row>
    <row r="189" spans="1:7" ht="14.25" thickBot="1">
      <c r="A189" s="2989" t="s">
        <v>29</v>
      </c>
      <c r="B189" s="2979" t="s">
        <v>3211</v>
      </c>
      <c r="C189" s="2981"/>
      <c r="D189" s="2981"/>
      <c r="E189" s="2981"/>
      <c r="F189" s="2980">
        <v>0.05</v>
      </c>
      <c r="G189" s="2994"/>
    </row>
    <row r="190" spans="1:7">
      <c r="A190" s="2985" t="s">
        <v>304</v>
      </c>
      <c r="B190" s="2971" t="s">
        <v>2867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2903</v>
      </c>
      <c r="C199" s="2976">
        <v>0.13</v>
      </c>
      <c r="D199" s="2976">
        <v>0.13</v>
      </c>
      <c r="E199" s="2976">
        <v>0.13</v>
      </c>
      <c r="F199" s="2976">
        <v>0.13</v>
      </c>
      <c r="G199" s="2977">
        <v>0.13</v>
      </c>
    </row>
    <row r="200" spans="1:7">
      <c r="A200" s="2986" t="s">
        <v>304</v>
      </c>
      <c r="B200" s="2975" t="s">
        <v>2906</v>
      </c>
      <c r="C200" s="2992"/>
      <c r="D200" s="2992"/>
      <c r="E200" s="2992"/>
      <c r="F200" s="2976">
        <v>0.13</v>
      </c>
      <c r="G200" s="2988"/>
    </row>
    <row r="201" spans="1:7">
      <c r="A201" s="2986" t="s">
        <v>304</v>
      </c>
      <c r="B201" s="2975" t="s">
        <v>2911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2914</v>
      </c>
      <c r="C203" s="2976">
        <v>0.129</v>
      </c>
      <c r="D203" s="2976">
        <v>0.129</v>
      </c>
      <c r="E203" s="2976">
        <v>0.13</v>
      </c>
      <c r="F203" s="2976">
        <v>0.13</v>
      </c>
      <c r="G203" s="2977">
        <v>0.13</v>
      </c>
    </row>
    <row r="204" spans="1:7">
      <c r="A204" s="2986" t="s">
        <v>304</v>
      </c>
      <c r="B204" s="2975" t="s">
        <v>2917</v>
      </c>
      <c r="C204" s="2976">
        <v>0.129</v>
      </c>
      <c r="D204" s="2976">
        <v>0.129</v>
      </c>
      <c r="E204" s="2976">
        <v>0.123</v>
      </c>
      <c r="F204" s="2976">
        <v>0.13</v>
      </c>
      <c r="G204" s="2977">
        <v>0.13</v>
      </c>
    </row>
    <row r="205" spans="1:7">
      <c r="A205" s="2986" t="s">
        <v>304</v>
      </c>
      <c r="B205" s="2975" t="s">
        <v>2919</v>
      </c>
      <c r="C205" s="2976">
        <v>0.13</v>
      </c>
      <c r="D205" s="2976">
        <v>0.13</v>
      </c>
      <c r="E205" s="2976">
        <v>0.13</v>
      </c>
      <c r="F205" s="2976">
        <v>0.13</v>
      </c>
      <c r="G205" s="2977">
        <v>0.13</v>
      </c>
    </row>
    <row r="206" spans="1:7">
      <c r="A206" s="2986" t="s">
        <v>304</v>
      </c>
      <c r="B206" s="2975" t="s">
        <v>2922</v>
      </c>
      <c r="C206" s="2976">
        <v>0.13</v>
      </c>
      <c r="D206" s="2976">
        <v>0.13</v>
      </c>
      <c r="E206" s="2976">
        <v>0.13</v>
      </c>
      <c r="F206" s="2976">
        <v>0.128</v>
      </c>
      <c r="G206" s="2977">
        <v>0.13</v>
      </c>
    </row>
    <row r="207" spans="1:7">
      <c r="A207" s="2986" t="s">
        <v>304</v>
      </c>
      <c r="B207" s="2975" t="s">
        <v>2924</v>
      </c>
      <c r="C207" s="2976">
        <v>0.13</v>
      </c>
      <c r="D207" s="2976">
        <v>0.13</v>
      </c>
      <c r="E207" s="2976">
        <v>0.13</v>
      </c>
      <c r="F207" s="2976">
        <v>0.13</v>
      </c>
      <c r="G207" s="2977">
        <v>0.13</v>
      </c>
    </row>
    <row r="208" spans="1:7">
      <c r="A208" s="2986" t="s">
        <v>304</v>
      </c>
      <c r="B208" s="2975" t="s">
        <v>2927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2934</v>
      </c>
      <c r="C210" s="2976">
        <v>0.121</v>
      </c>
      <c r="D210" s="2976">
        <v>0.121</v>
      </c>
      <c r="E210" s="2976">
        <v>0.125</v>
      </c>
      <c r="F210" s="2976">
        <v>0.13</v>
      </c>
      <c r="G210" s="2977">
        <v>0.123</v>
      </c>
    </row>
    <row r="211" spans="1:7">
      <c r="A211" s="2986" t="s">
        <v>304</v>
      </c>
      <c r="B211" s="2975" t="s">
        <v>2937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2949</v>
      </c>
      <c r="C214" s="2976">
        <v>0.128</v>
      </c>
      <c r="D214" s="2976">
        <v>0.128</v>
      </c>
      <c r="E214" s="2976">
        <v>0.13</v>
      </c>
      <c r="F214" s="2976">
        <v>0.13</v>
      </c>
      <c r="G214" s="2977">
        <v>0.13</v>
      </c>
    </row>
    <row r="215" spans="1:7">
      <c r="A215" s="2986" t="s">
        <v>304</v>
      </c>
      <c r="B215" s="2975" t="s">
        <v>2953</v>
      </c>
      <c r="C215" s="2976">
        <v>0.13</v>
      </c>
      <c r="D215" s="2976">
        <v>0.13</v>
      </c>
      <c r="E215" s="2976">
        <v>0.13</v>
      </c>
      <c r="F215" s="2976">
        <v>0.129</v>
      </c>
      <c r="G215" s="2977">
        <v>0.13</v>
      </c>
    </row>
    <row r="216" spans="1:7">
      <c r="A216" s="2986" t="s">
        <v>304</v>
      </c>
      <c r="B216" s="2975" t="s">
        <v>2960</v>
      </c>
      <c r="C216" s="2976">
        <v>0.13</v>
      </c>
      <c r="D216" s="2976">
        <v>0.13</v>
      </c>
      <c r="E216" s="2976">
        <v>0.13</v>
      </c>
      <c r="F216" s="2976">
        <v>0.13</v>
      </c>
      <c r="G216" s="2977">
        <v>0.13</v>
      </c>
    </row>
    <row r="217" spans="1:7">
      <c r="A217" s="2986" t="s">
        <v>304</v>
      </c>
      <c r="B217" s="2975" t="s">
        <v>2967</v>
      </c>
      <c r="C217" s="2976">
        <v>0.129</v>
      </c>
      <c r="D217" s="2976">
        <v>0.129</v>
      </c>
      <c r="E217" s="2976">
        <v>0.13</v>
      </c>
      <c r="F217" s="2976">
        <v>0.13</v>
      </c>
      <c r="G217" s="2977">
        <v>0.13</v>
      </c>
    </row>
    <row r="218" spans="1:7">
      <c r="A218" s="2986" t="s">
        <v>304</v>
      </c>
      <c r="B218" s="2975" t="s">
        <v>2973</v>
      </c>
      <c r="C218" s="2987"/>
      <c r="D218" s="2987"/>
      <c r="E218" s="2987"/>
      <c r="F218" s="2976">
        <v>0.05</v>
      </c>
      <c r="G218" s="2993"/>
    </row>
    <row r="219" spans="1:7">
      <c r="A219" s="2986" t="s">
        <v>304</v>
      </c>
      <c r="B219" s="2975" t="s">
        <v>2980</v>
      </c>
      <c r="C219" s="2987"/>
      <c r="D219" s="2987"/>
      <c r="E219" s="2987"/>
      <c r="F219" s="2976">
        <v>0.05</v>
      </c>
      <c r="G219" s="2993"/>
    </row>
    <row r="220" spans="1:7">
      <c r="A220" s="2986" t="s">
        <v>304</v>
      </c>
      <c r="B220" s="2975" t="s">
        <v>2986</v>
      </c>
      <c r="C220" s="2987"/>
      <c r="D220" s="2987"/>
      <c r="E220" s="2987"/>
      <c r="F220" s="2976">
        <v>0.05</v>
      </c>
      <c r="G220" s="2993"/>
    </row>
    <row r="221" spans="1:7">
      <c r="A221" s="2986" t="s">
        <v>304</v>
      </c>
      <c r="B221" s="2975" t="s">
        <v>2991</v>
      </c>
      <c r="C221" s="2987"/>
      <c r="D221" s="2987"/>
      <c r="E221" s="2987"/>
      <c r="F221" s="2976">
        <v>0.05</v>
      </c>
      <c r="G221" s="2993"/>
    </row>
    <row r="222" spans="1:7">
      <c r="A222" s="2986" t="s">
        <v>304</v>
      </c>
      <c r="B222" s="2975" t="s">
        <v>2995</v>
      </c>
      <c r="C222" s="2987"/>
      <c r="D222" s="2987"/>
      <c r="E222" s="2987"/>
      <c r="F222" s="2976">
        <v>0.05</v>
      </c>
      <c r="G222" s="2993"/>
    </row>
    <row r="223" spans="1:7">
      <c r="A223" s="2986" t="s">
        <v>304</v>
      </c>
      <c r="B223" s="2975" t="s">
        <v>3000</v>
      </c>
      <c r="C223" s="2987"/>
      <c r="D223" s="2987"/>
      <c r="E223" s="2987"/>
      <c r="F223" s="2976">
        <v>0.05</v>
      </c>
      <c r="G223" s="2993"/>
    </row>
    <row r="224" spans="1:7">
      <c r="A224" s="2986" t="s">
        <v>304</v>
      </c>
      <c r="B224" s="2975" t="s">
        <v>3005</v>
      </c>
      <c r="C224" s="2987"/>
      <c r="D224" s="2987"/>
      <c r="E224" s="2987"/>
      <c r="F224" s="2976">
        <v>0.05</v>
      </c>
      <c r="G224" s="2993"/>
    </row>
    <row r="225" spans="1:7">
      <c r="A225" s="2986" t="s">
        <v>304</v>
      </c>
      <c r="B225" s="2975" t="s">
        <v>3010</v>
      </c>
      <c r="C225" s="2987"/>
      <c r="D225" s="2987"/>
      <c r="E225" s="2987"/>
      <c r="F225" s="2976">
        <v>0.05</v>
      </c>
      <c r="G225" s="2993"/>
    </row>
    <row r="226" spans="1:7">
      <c r="A226" s="2986" t="s">
        <v>304</v>
      </c>
      <c r="B226" s="2975" t="s">
        <v>3212</v>
      </c>
      <c r="C226" s="2987"/>
      <c r="D226" s="2987"/>
      <c r="E226" s="2987"/>
      <c r="F226" s="2976">
        <v>0.05</v>
      </c>
      <c r="G226" s="2993"/>
    </row>
    <row r="227" spans="1:7">
      <c r="A227" s="2986" t="s">
        <v>304</v>
      </c>
      <c r="B227" s="2975" t="s">
        <v>3213</v>
      </c>
      <c r="C227" s="2987"/>
      <c r="D227" s="2987"/>
      <c r="E227" s="2987"/>
      <c r="F227" s="2976">
        <v>0.05</v>
      </c>
      <c r="G227" s="2993"/>
    </row>
    <row r="228" spans="1:7">
      <c r="A228" s="2986" t="s">
        <v>304</v>
      </c>
      <c r="B228" s="2975" t="s">
        <v>3214</v>
      </c>
      <c r="C228" s="2987"/>
      <c r="D228" s="2987"/>
      <c r="E228" s="2987"/>
      <c r="F228" s="2976">
        <v>0.05</v>
      </c>
      <c r="G228" s="2993"/>
    </row>
    <row r="229" spans="1:7">
      <c r="A229" s="2986" t="s">
        <v>304</v>
      </c>
      <c r="B229" s="2975" t="s">
        <v>3215</v>
      </c>
      <c r="C229" s="2987"/>
      <c r="D229" s="2987"/>
      <c r="E229" s="2987"/>
      <c r="F229" s="2976">
        <v>0.05</v>
      </c>
      <c r="G229" s="2993"/>
    </row>
    <row r="230" spans="1:7">
      <c r="A230" s="2986" t="s">
        <v>304</v>
      </c>
      <c r="B230" s="2975" t="s">
        <v>3216</v>
      </c>
      <c r="C230" s="2987"/>
      <c r="D230" s="2987"/>
      <c r="E230" s="2987"/>
      <c r="F230" s="2976">
        <v>0.05</v>
      </c>
      <c r="G230" s="2993"/>
    </row>
    <row r="231" spans="1:7">
      <c r="A231" s="2986" t="s">
        <v>304</v>
      </c>
      <c r="B231" s="2975" t="s">
        <v>3217</v>
      </c>
      <c r="C231" s="2987"/>
      <c r="D231" s="2987"/>
      <c r="E231" s="2987"/>
      <c r="F231" s="2976">
        <v>0.05</v>
      </c>
      <c r="G231" s="2993"/>
    </row>
    <row r="232" spans="1:7">
      <c r="A232" s="2986" t="s">
        <v>304</v>
      </c>
      <c r="B232" s="2975" t="s">
        <v>3218</v>
      </c>
      <c r="C232" s="2987"/>
      <c r="D232" s="2987"/>
      <c r="E232" s="2987"/>
      <c r="F232" s="2976">
        <v>0.05</v>
      </c>
      <c r="G232" s="2993"/>
    </row>
    <row r="233" spans="1:7" ht="14.25" thickBot="1">
      <c r="A233" s="2989" t="s">
        <v>304</v>
      </c>
      <c r="B233" s="2979" t="s">
        <v>3219</v>
      </c>
      <c r="C233" s="2981"/>
      <c r="D233" s="2981"/>
      <c r="E233" s="2981"/>
      <c r="F233" s="2980">
        <v>0.05</v>
      </c>
      <c r="G233" s="2994"/>
    </row>
    <row r="234" spans="1:7">
      <c r="A234" s="2985" t="s">
        <v>305</v>
      </c>
      <c r="B234" s="2971" t="s">
        <v>2868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2888</v>
      </c>
      <c r="C238" s="2976">
        <v>0.14899999999999999</v>
      </c>
      <c r="D238" s="2976">
        <v>0.14899999999999999</v>
      </c>
      <c r="E238" s="2976">
        <v>0.15</v>
      </c>
      <c r="F238" s="2976">
        <v>0.15</v>
      </c>
      <c r="G238" s="2977">
        <v>0.15</v>
      </c>
    </row>
    <row r="239" spans="1:7">
      <c r="A239" s="2986" t="s">
        <v>305</v>
      </c>
      <c r="B239" s="2975" t="s">
        <v>2892</v>
      </c>
      <c r="C239" s="2976">
        <v>0.15</v>
      </c>
      <c r="D239" s="2976">
        <v>0.15</v>
      </c>
      <c r="E239" s="2976">
        <v>0.15</v>
      </c>
      <c r="F239" s="2976">
        <v>0.15</v>
      </c>
      <c r="G239" s="2977">
        <v>0.15</v>
      </c>
    </row>
    <row r="240" spans="1:7">
      <c r="A240" s="2986" t="s">
        <v>305</v>
      </c>
      <c r="B240" s="2975" t="s">
        <v>2897</v>
      </c>
      <c r="C240" s="2976">
        <v>0.15</v>
      </c>
      <c r="D240" s="2976">
        <v>0.15</v>
      </c>
      <c r="E240" s="2976">
        <v>0.15</v>
      </c>
      <c r="F240" s="2976">
        <v>0.15</v>
      </c>
      <c r="G240" s="2977">
        <v>0.15</v>
      </c>
    </row>
    <row r="241" spans="1:7">
      <c r="A241" s="2986" t="s">
        <v>305</v>
      </c>
      <c r="B241" s="2975" t="s">
        <v>2901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2920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2941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2950</v>
      </c>
      <c r="C258" s="2976">
        <v>0.14299999999999999</v>
      </c>
      <c r="D258" s="2976">
        <v>0.14299999999999999</v>
      </c>
      <c r="E258" s="2976">
        <v>0.15</v>
      </c>
      <c r="F258" s="2976">
        <v>0.14799999999999999</v>
      </c>
      <c r="G258" s="2977">
        <v>0.14599999999999999</v>
      </c>
    </row>
    <row r="259" spans="1:7">
      <c r="A259" s="2986" t="s">
        <v>305</v>
      </c>
      <c r="B259" s="2975" t="s">
        <v>2954</v>
      </c>
      <c r="C259" s="2976">
        <v>0.14399999999999999</v>
      </c>
      <c r="D259" s="2976">
        <v>0.14399999999999999</v>
      </c>
      <c r="E259" s="2976">
        <v>0.14899999999999999</v>
      </c>
      <c r="F259" s="2976">
        <v>0.14699999999999999</v>
      </c>
      <c r="G259" s="2977">
        <v>0.14599999999999999</v>
      </c>
    </row>
    <row r="260" spans="1:7">
      <c r="A260" s="2986" t="s">
        <v>305</v>
      </c>
      <c r="B260" s="2975" t="s">
        <v>2961</v>
      </c>
      <c r="C260" s="2976">
        <v>0.109</v>
      </c>
      <c r="D260" s="2976">
        <v>0.111</v>
      </c>
      <c r="E260" s="2976">
        <v>0.13100000000000001</v>
      </c>
      <c r="F260" s="2976">
        <v>0.126</v>
      </c>
      <c r="G260" s="2977">
        <v>0.11899999999999999</v>
      </c>
    </row>
    <row r="261" spans="1:7">
      <c r="A261" s="2986" t="s">
        <v>305</v>
      </c>
      <c r="B261" s="2975" t="s">
        <v>2968</v>
      </c>
      <c r="C261" s="2976">
        <v>0.1</v>
      </c>
      <c r="D261" s="2976">
        <v>0.1</v>
      </c>
      <c r="E261" s="2976">
        <v>0.11799999999999999</v>
      </c>
      <c r="F261" s="2976">
        <v>0.108</v>
      </c>
      <c r="G261" s="2977">
        <v>0.107</v>
      </c>
    </row>
    <row r="262" spans="1:7">
      <c r="A262" s="2986" t="s">
        <v>305</v>
      </c>
      <c r="B262" s="2975" t="s">
        <v>2974</v>
      </c>
      <c r="C262" s="2976">
        <v>0.1</v>
      </c>
      <c r="D262" s="2976">
        <v>0.1</v>
      </c>
      <c r="E262" s="2976">
        <v>0.1</v>
      </c>
      <c r="F262" s="2976">
        <v>0.14099999999999999</v>
      </c>
      <c r="G262" s="2977">
        <v>0.1</v>
      </c>
    </row>
    <row r="263" spans="1:7">
      <c r="A263" s="2986" t="s">
        <v>305</v>
      </c>
      <c r="B263" s="2975" t="s">
        <v>2981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2992</v>
      </c>
      <c r="C265" s="2987"/>
      <c r="D265" s="2987"/>
      <c r="E265" s="2987"/>
      <c r="F265" s="2976">
        <v>0.05</v>
      </c>
      <c r="G265" s="2993"/>
    </row>
    <row r="266" spans="1:7">
      <c r="A266" s="2986" t="s">
        <v>305</v>
      </c>
      <c r="B266" s="2975" t="s">
        <v>2996</v>
      </c>
      <c r="C266" s="2987"/>
      <c r="D266" s="2987"/>
      <c r="E266" s="2987"/>
      <c r="F266" s="2976">
        <v>0.05</v>
      </c>
      <c r="G266" s="2993"/>
    </row>
    <row r="267" spans="1:7">
      <c r="A267" s="2986" t="s">
        <v>305</v>
      </c>
      <c r="B267" s="2975" t="s">
        <v>3001</v>
      </c>
      <c r="C267" s="2987"/>
      <c r="D267" s="2987"/>
      <c r="E267" s="2987"/>
      <c r="F267" s="2976">
        <v>0.05</v>
      </c>
      <c r="G267" s="2993"/>
    </row>
    <row r="268" spans="1:7">
      <c r="A268" s="2986" t="s">
        <v>305</v>
      </c>
      <c r="B268" s="2975" t="s">
        <v>3006</v>
      </c>
      <c r="C268" s="2987"/>
      <c r="D268" s="2987"/>
      <c r="E268" s="2987"/>
      <c r="F268" s="2976">
        <v>0.05</v>
      </c>
      <c r="G268" s="2993"/>
    </row>
    <row r="269" spans="1:7">
      <c r="A269" s="2986" t="s">
        <v>305</v>
      </c>
      <c r="B269" s="2975" t="s">
        <v>3011</v>
      </c>
      <c r="C269" s="2987"/>
      <c r="D269" s="2987"/>
      <c r="E269" s="2987"/>
      <c r="F269" s="2976">
        <v>0.05</v>
      </c>
      <c r="G269" s="2993"/>
    </row>
    <row r="270" spans="1:7">
      <c r="A270" s="2986" t="s">
        <v>305</v>
      </c>
      <c r="B270" s="2975" t="s">
        <v>3016</v>
      </c>
      <c r="C270" s="2987"/>
      <c r="D270" s="2987"/>
      <c r="E270" s="2987"/>
      <c r="F270" s="2976">
        <v>0.05</v>
      </c>
      <c r="G270" s="2993"/>
    </row>
    <row r="271" spans="1:7">
      <c r="A271" s="2986" t="s">
        <v>305</v>
      </c>
      <c r="B271" s="2975" t="s">
        <v>3220</v>
      </c>
      <c r="C271" s="2987"/>
      <c r="D271" s="2987"/>
      <c r="E271" s="2987"/>
      <c r="F271" s="2976">
        <v>0.05</v>
      </c>
      <c r="G271" s="2993"/>
    </row>
    <row r="272" spans="1:7">
      <c r="A272" s="2986" t="s">
        <v>305</v>
      </c>
      <c r="B272" s="2975" t="s">
        <v>3221</v>
      </c>
      <c r="C272" s="2987"/>
      <c r="D272" s="2987"/>
      <c r="E272" s="2987"/>
      <c r="F272" s="2976">
        <v>0.05</v>
      </c>
      <c r="G272" s="2993"/>
    </row>
    <row r="273" spans="1:7">
      <c r="A273" s="2986" t="s">
        <v>305</v>
      </c>
      <c r="B273" s="2975" t="s">
        <v>3222</v>
      </c>
      <c r="C273" s="2987"/>
      <c r="D273" s="2987"/>
      <c r="E273" s="2987"/>
      <c r="F273" s="2976">
        <v>0.05</v>
      </c>
      <c r="G273" s="2993"/>
    </row>
    <row r="274" spans="1:7">
      <c r="A274" s="2986" t="s">
        <v>305</v>
      </c>
      <c r="B274" s="2975" t="s">
        <v>3223</v>
      </c>
      <c r="C274" s="2987"/>
      <c r="D274" s="2987"/>
      <c r="E274" s="2987"/>
      <c r="F274" s="2976">
        <v>0.05</v>
      </c>
      <c r="G274" s="2993"/>
    </row>
    <row r="275" spans="1:7">
      <c r="A275" s="2986" t="s">
        <v>305</v>
      </c>
      <c r="B275" s="2975" t="s">
        <v>3224</v>
      </c>
      <c r="C275" s="2987"/>
      <c r="D275" s="2987"/>
      <c r="E275" s="2987"/>
      <c r="F275" s="2976">
        <v>0.05</v>
      </c>
      <c r="G275" s="2993"/>
    </row>
    <row r="276" spans="1:7" ht="14.25" thickBot="1">
      <c r="A276" s="2989" t="s">
        <v>305</v>
      </c>
      <c r="B276" s="2979" t="s">
        <v>3225</v>
      </c>
      <c r="C276" s="2981"/>
      <c r="D276" s="2981"/>
      <c r="E276" s="2981"/>
      <c r="F276" s="2980">
        <v>0.05</v>
      </c>
      <c r="G276" s="2994"/>
    </row>
    <row r="277" spans="1:7">
      <c r="A277" s="2985" t="s">
        <v>306</v>
      </c>
      <c r="B277" s="2971" t="s">
        <v>2869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2881</v>
      </c>
      <c r="C279" s="2976">
        <v>0.15</v>
      </c>
      <c r="D279" s="2976">
        <v>0.15</v>
      </c>
      <c r="E279" s="2976">
        <v>0.15</v>
      </c>
      <c r="F279" s="2976">
        <v>0.15</v>
      </c>
      <c r="G279" s="2977">
        <v>0.15</v>
      </c>
    </row>
    <row r="280" spans="1:7">
      <c r="A280" s="2986" t="s">
        <v>306</v>
      </c>
      <c r="B280" s="2975" t="s">
        <v>2885</v>
      </c>
      <c r="C280" s="2976">
        <v>0.15</v>
      </c>
      <c r="D280" s="2976">
        <v>0.15</v>
      </c>
      <c r="E280" s="2976">
        <v>0.15</v>
      </c>
      <c r="F280" s="2976">
        <v>0.15</v>
      </c>
      <c r="G280" s="2977">
        <v>0.15</v>
      </c>
    </row>
    <row r="281" spans="1:7">
      <c r="A281" s="2986" t="s">
        <v>306</v>
      </c>
      <c r="B281" s="2975" t="s">
        <v>2889</v>
      </c>
      <c r="C281" s="2976">
        <v>0.15</v>
      </c>
      <c r="D281" s="2976">
        <v>0.15</v>
      </c>
      <c r="E281" s="2976">
        <v>0.15</v>
      </c>
      <c r="F281" s="2976">
        <v>0.15</v>
      </c>
      <c r="G281" s="2977">
        <v>0.15</v>
      </c>
    </row>
    <row r="282" spans="1:7">
      <c r="A282" s="2986" t="s">
        <v>306</v>
      </c>
      <c r="B282" s="2975" t="s">
        <v>2893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2913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2923</v>
      </c>
      <c r="C293" s="2976">
        <v>0.15</v>
      </c>
      <c r="D293" s="2976">
        <v>0.15</v>
      </c>
      <c r="E293" s="2976">
        <v>0.15</v>
      </c>
      <c r="F293" s="2976">
        <v>0.14499999999999999</v>
      </c>
      <c r="G293" s="2977">
        <v>0.15</v>
      </c>
    </row>
    <row r="294" spans="1:7">
      <c r="A294" s="2986" t="s">
        <v>306</v>
      </c>
      <c r="B294" s="2975" t="s">
        <v>2925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2942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2955</v>
      </c>
      <c r="C302" s="2976">
        <v>0.15</v>
      </c>
      <c r="D302" s="2976">
        <v>0.15</v>
      </c>
      <c r="E302" s="2976">
        <v>0.15</v>
      </c>
      <c r="F302" s="2976">
        <v>0.14699999999999999</v>
      </c>
      <c r="G302" s="2977">
        <v>0.15</v>
      </c>
    </row>
    <row r="303" spans="1:7">
      <c r="A303" s="2986" t="s">
        <v>306</v>
      </c>
      <c r="B303" s="2975" t="s">
        <v>2962</v>
      </c>
      <c r="C303" s="2976">
        <v>0.15</v>
      </c>
      <c r="D303" s="2976">
        <v>0.15</v>
      </c>
      <c r="E303" s="2976">
        <v>0.15</v>
      </c>
      <c r="F303" s="2976">
        <v>0.14199999999999999</v>
      </c>
      <c r="G303" s="2977">
        <v>0.15</v>
      </c>
    </row>
    <row r="304" spans="1:7">
      <c r="A304" s="2986" t="s">
        <v>306</v>
      </c>
      <c r="B304" s="2975" t="s">
        <v>2969</v>
      </c>
      <c r="C304" s="2976">
        <v>0.15</v>
      </c>
      <c r="D304" s="2976">
        <v>0.15</v>
      </c>
      <c r="E304" s="2976">
        <v>0.15</v>
      </c>
      <c r="F304" s="2976">
        <v>0.14499999999999999</v>
      </c>
      <c r="G304" s="2977">
        <v>0.15</v>
      </c>
    </row>
    <row r="305" spans="1:7">
      <c r="A305" s="2986" t="s">
        <v>306</v>
      </c>
      <c r="B305" s="2975" t="s">
        <v>2975</v>
      </c>
      <c r="C305" s="2976">
        <v>0.15</v>
      </c>
      <c r="D305" s="2976">
        <v>0.15</v>
      </c>
      <c r="E305" s="2976">
        <v>0.15</v>
      </c>
      <c r="F305" s="2976">
        <v>0.111</v>
      </c>
      <c r="G305" s="2977">
        <v>0.15</v>
      </c>
    </row>
    <row r="306" spans="1:7">
      <c r="A306" s="2986" t="s">
        <v>306</v>
      </c>
      <c r="B306" s="2975" t="s">
        <v>2982</v>
      </c>
      <c r="C306" s="2976">
        <v>0.15</v>
      </c>
      <c r="D306" s="2976">
        <v>0.15</v>
      </c>
      <c r="E306" s="2976">
        <v>0.15</v>
      </c>
      <c r="F306" s="2976">
        <v>0.126</v>
      </c>
      <c r="G306" s="2977">
        <v>0.15</v>
      </c>
    </row>
    <row r="307" spans="1:7">
      <c r="A307" s="2986" t="s">
        <v>306</v>
      </c>
      <c r="B307" s="2975" t="s">
        <v>2987</v>
      </c>
      <c r="C307" s="2976">
        <v>0.15</v>
      </c>
      <c r="D307" s="2976">
        <v>0.15</v>
      </c>
      <c r="E307" s="2976">
        <v>0.15</v>
      </c>
      <c r="F307" s="2976">
        <v>0.12</v>
      </c>
      <c r="G307" s="2977">
        <v>0.15</v>
      </c>
    </row>
    <row r="308" spans="1:7">
      <c r="A308" s="2986" t="s">
        <v>306</v>
      </c>
      <c r="B308" s="2975" t="s">
        <v>2993</v>
      </c>
      <c r="C308" s="2976">
        <v>0.15</v>
      </c>
      <c r="D308" s="2976">
        <v>0.15</v>
      </c>
      <c r="E308" s="2976">
        <v>0.15</v>
      </c>
      <c r="F308" s="2976">
        <v>0.13</v>
      </c>
      <c r="G308" s="2977">
        <v>0.15</v>
      </c>
    </row>
    <row r="309" spans="1:7">
      <c r="A309" s="2986" t="s">
        <v>306</v>
      </c>
      <c r="B309" s="2975" t="s">
        <v>2997</v>
      </c>
      <c r="C309" s="2976">
        <v>0.15</v>
      </c>
      <c r="D309" s="2976">
        <v>0.15</v>
      </c>
      <c r="E309" s="2976">
        <v>0.15</v>
      </c>
      <c r="F309" s="2976">
        <v>0.14099999999999999</v>
      </c>
      <c r="G309" s="2977">
        <v>0.15</v>
      </c>
    </row>
    <row r="310" spans="1:7">
      <c r="A310" s="2986" t="s">
        <v>306</v>
      </c>
      <c r="B310" s="2975" t="s">
        <v>3002</v>
      </c>
      <c r="C310" s="2976">
        <v>0.15</v>
      </c>
      <c r="D310" s="2976">
        <v>0.15</v>
      </c>
      <c r="E310" s="2976">
        <v>0.15</v>
      </c>
      <c r="F310" s="2976">
        <v>0.15</v>
      </c>
      <c r="G310" s="2977">
        <v>0.15</v>
      </c>
    </row>
    <row r="311" spans="1:7">
      <c r="A311" s="2986" t="s">
        <v>306</v>
      </c>
      <c r="B311" s="2975" t="s">
        <v>3007</v>
      </c>
      <c r="C311" s="2976">
        <v>0.13200000000000001</v>
      </c>
      <c r="D311" s="2976">
        <v>0.13300000000000001</v>
      </c>
      <c r="E311" s="2976">
        <v>0.14499999999999999</v>
      </c>
      <c r="F311" s="2976">
        <v>0.14199999999999999</v>
      </c>
      <c r="G311" s="2977">
        <v>0.14000000000000001</v>
      </c>
    </row>
    <row r="312" spans="1:7">
      <c r="A312" s="2986" t="s">
        <v>306</v>
      </c>
      <c r="B312" s="2975" t="s">
        <v>3012</v>
      </c>
      <c r="C312" s="2976">
        <v>0.13800000000000001</v>
      </c>
      <c r="D312" s="2976">
        <v>0.14000000000000001</v>
      </c>
      <c r="E312" s="2976">
        <v>0.14599999999999999</v>
      </c>
      <c r="F312" s="2976">
        <v>0.14899999999999999</v>
      </c>
      <c r="G312" s="2977">
        <v>0.14199999999999999</v>
      </c>
    </row>
    <row r="313" spans="1:7">
      <c r="A313" s="2986" t="s">
        <v>306</v>
      </c>
      <c r="B313" s="2975" t="s">
        <v>3017</v>
      </c>
      <c r="C313" s="2976">
        <v>0.125</v>
      </c>
      <c r="D313" s="2976">
        <v>0.127</v>
      </c>
      <c r="E313" s="2976">
        <v>0.14399999999999999</v>
      </c>
      <c r="F313" s="2976">
        <v>0.115</v>
      </c>
      <c r="G313" s="2977">
        <v>0.13600000000000001</v>
      </c>
    </row>
    <row r="314" spans="1:7">
      <c r="A314" s="2986" t="s">
        <v>306</v>
      </c>
      <c r="B314" s="2975" t="s">
        <v>3226</v>
      </c>
      <c r="C314" s="2992"/>
      <c r="D314" s="2992"/>
      <c r="E314" s="2992"/>
      <c r="F314" s="2976">
        <v>0.05</v>
      </c>
      <c r="G314" s="2993"/>
    </row>
    <row r="315" spans="1:7">
      <c r="A315" s="2986" t="s">
        <v>306</v>
      </c>
      <c r="B315" s="2975" t="s">
        <v>3227</v>
      </c>
      <c r="C315" s="2992"/>
      <c r="D315" s="2992"/>
      <c r="E315" s="2992"/>
      <c r="F315" s="2976">
        <v>0.05</v>
      </c>
      <c r="G315" s="2993"/>
    </row>
    <row r="316" spans="1:7">
      <c r="A316" s="2986" t="s">
        <v>306</v>
      </c>
      <c r="B316" s="2975" t="s">
        <v>3228</v>
      </c>
      <c r="C316" s="2987"/>
      <c r="D316" s="2987"/>
      <c r="E316" s="2987"/>
      <c r="F316" s="2976">
        <v>0.05</v>
      </c>
      <c r="G316" s="2993"/>
    </row>
    <row r="317" spans="1:7">
      <c r="A317" s="2986" t="s">
        <v>306</v>
      </c>
      <c r="B317" s="2975" t="s">
        <v>3229</v>
      </c>
      <c r="C317" s="2987"/>
      <c r="D317" s="2987"/>
      <c r="E317" s="2987"/>
      <c r="F317" s="2976">
        <v>0.05</v>
      </c>
      <c r="G317" s="2993"/>
    </row>
    <row r="318" spans="1:7">
      <c r="A318" s="2986" t="s">
        <v>306</v>
      </c>
      <c r="B318" s="2975" t="s">
        <v>3230</v>
      </c>
      <c r="C318" s="2987"/>
      <c r="D318" s="2987"/>
      <c r="E318" s="2987"/>
      <c r="F318" s="2976">
        <v>0.05</v>
      </c>
      <c r="G318" s="2993"/>
    </row>
    <row r="319" spans="1:7">
      <c r="A319" s="2986" t="s">
        <v>306</v>
      </c>
      <c r="B319" s="2975" t="s">
        <v>3231</v>
      </c>
      <c r="C319" s="2987"/>
      <c r="D319" s="2987"/>
      <c r="E319" s="2987"/>
      <c r="F319" s="2976">
        <v>0.05</v>
      </c>
      <c r="G319" s="2993"/>
    </row>
    <row r="320" spans="1:7">
      <c r="A320" s="2986" t="s">
        <v>306</v>
      </c>
      <c r="B320" s="2975" t="s">
        <v>3232</v>
      </c>
      <c r="C320" s="2987"/>
      <c r="D320" s="2987"/>
      <c r="E320" s="2987"/>
      <c r="F320" s="2976">
        <v>0.05</v>
      </c>
      <c r="G320" s="2993"/>
    </row>
    <row r="321" spans="1:7">
      <c r="A321" s="2986" t="s">
        <v>306</v>
      </c>
      <c r="B321" s="2975" t="s">
        <v>3233</v>
      </c>
      <c r="C321" s="2987"/>
      <c r="D321" s="2987"/>
      <c r="E321" s="2987"/>
      <c r="F321" s="2976">
        <v>0.05</v>
      </c>
      <c r="G321" s="2993"/>
    </row>
    <row r="322" spans="1:7">
      <c r="A322" s="2986" t="s">
        <v>306</v>
      </c>
      <c r="B322" s="2975" t="s">
        <v>3234</v>
      </c>
      <c r="C322" s="2987"/>
      <c r="D322" s="2987"/>
      <c r="E322" s="2987"/>
      <c r="F322" s="2976">
        <v>0.05</v>
      </c>
      <c r="G322" s="2993"/>
    </row>
    <row r="323" spans="1:7">
      <c r="A323" s="2986" t="s">
        <v>306</v>
      </c>
      <c r="B323" s="2975" t="s">
        <v>3235</v>
      </c>
      <c r="C323" s="2987"/>
      <c r="D323" s="2987"/>
      <c r="E323" s="2987"/>
      <c r="F323" s="2976">
        <v>0.05</v>
      </c>
      <c r="G323" s="2993"/>
    </row>
    <row r="324" spans="1:7">
      <c r="A324" s="2986" t="s">
        <v>306</v>
      </c>
      <c r="B324" s="2975" t="s">
        <v>3236</v>
      </c>
      <c r="C324" s="2987"/>
      <c r="D324" s="2987"/>
      <c r="E324" s="2987"/>
      <c r="F324" s="2976">
        <v>0.05</v>
      </c>
      <c r="G324" s="2993"/>
    </row>
    <row r="325" spans="1:7">
      <c r="A325" s="2986" t="s">
        <v>306</v>
      </c>
      <c r="B325" s="2975" t="s">
        <v>3237</v>
      </c>
      <c r="C325" s="2987"/>
      <c r="D325" s="2987"/>
      <c r="E325" s="2987"/>
      <c r="F325" s="2976">
        <v>0.05</v>
      </c>
      <c r="G325" s="2993"/>
    </row>
    <row r="326" spans="1:7" ht="14.25" thickBot="1">
      <c r="A326" s="2989" t="s">
        <v>306</v>
      </c>
      <c r="B326" s="2979" t="s">
        <v>3238</v>
      </c>
      <c r="C326" s="2981"/>
      <c r="D326" s="2981"/>
      <c r="E326" s="2981"/>
      <c r="F326" s="2980">
        <v>0.05</v>
      </c>
      <c r="G326" s="2994"/>
    </row>
    <row r="327" spans="1:7">
      <c r="A327" s="2985" t="s">
        <v>307</v>
      </c>
      <c r="B327" s="2971" t="s">
        <v>2870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2882</v>
      </c>
      <c r="C329" s="2976">
        <v>0.15</v>
      </c>
      <c r="D329" s="2976">
        <v>0.15</v>
      </c>
      <c r="E329" s="2976">
        <v>0.15</v>
      </c>
      <c r="F329" s="2976">
        <v>0.15</v>
      </c>
      <c r="G329" s="2977">
        <v>0.15</v>
      </c>
    </row>
    <row r="330" spans="1:7">
      <c r="A330" s="2986" t="s">
        <v>307</v>
      </c>
      <c r="B330" s="2975" t="s">
        <v>2886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2894</v>
      </c>
      <c r="C332" s="2976">
        <v>0.15</v>
      </c>
      <c r="D332" s="2976">
        <v>0.15</v>
      </c>
      <c r="E332" s="2976">
        <v>0.15</v>
      </c>
      <c r="F332" s="2976">
        <v>0.15</v>
      </c>
      <c r="G332" s="2977">
        <v>0.15</v>
      </c>
    </row>
    <row r="333" spans="1:7">
      <c r="A333" s="2986" t="s">
        <v>307</v>
      </c>
      <c r="B333" s="2975" t="s">
        <v>2898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2904</v>
      </c>
      <c r="C336" s="2976">
        <v>0.15</v>
      </c>
      <c r="D336" s="2976">
        <v>0.15</v>
      </c>
      <c r="E336" s="2976">
        <v>0.15</v>
      </c>
      <c r="F336" s="2976">
        <v>0.14199999999999999</v>
      </c>
      <c r="G336" s="2977">
        <v>0.15</v>
      </c>
    </row>
    <row r="337" spans="1:7">
      <c r="A337" s="2986" t="s">
        <v>307</v>
      </c>
      <c r="B337" s="2975" t="s">
        <v>2909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2921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2929</v>
      </c>
      <c r="C345" s="2976">
        <v>0.15</v>
      </c>
      <c r="D345" s="2976">
        <v>0.15</v>
      </c>
      <c r="E345" s="2976">
        <v>0.15</v>
      </c>
      <c r="F345" s="2976">
        <v>0.13800000000000001</v>
      </c>
      <c r="G345" s="2977">
        <v>0.15</v>
      </c>
    </row>
    <row r="346" spans="1:7">
      <c r="A346" s="2986" t="s">
        <v>307</v>
      </c>
      <c r="B346" s="2975" t="s">
        <v>2931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2938</v>
      </c>
      <c r="C348" s="2976">
        <v>0.15</v>
      </c>
      <c r="D348" s="2976">
        <v>0.15</v>
      </c>
      <c r="E348" s="2976">
        <v>0.15</v>
      </c>
      <c r="F348" s="2976">
        <v>0.14399999999999999</v>
      </c>
      <c r="G348" s="2977">
        <v>0.15</v>
      </c>
    </row>
    <row r="349" spans="1:7">
      <c r="A349" s="2986" t="s">
        <v>307</v>
      </c>
      <c r="B349" s="2975" t="s">
        <v>2943</v>
      </c>
      <c r="C349" s="2976">
        <v>0.15</v>
      </c>
      <c r="D349" s="2976">
        <v>0.15</v>
      </c>
      <c r="E349" s="2976">
        <v>0.15</v>
      </c>
      <c r="F349" s="2976">
        <v>0.15</v>
      </c>
      <c r="G349" s="2977">
        <v>0.15</v>
      </c>
    </row>
    <row r="350" spans="1:7">
      <c r="A350" s="2986" t="s">
        <v>307</v>
      </c>
      <c r="B350" s="2975" t="s">
        <v>2946</v>
      </c>
      <c r="C350" s="2976">
        <v>0.15</v>
      </c>
      <c r="D350" s="2976">
        <v>0.15</v>
      </c>
      <c r="E350" s="2976">
        <v>0.15</v>
      </c>
      <c r="F350" s="2976">
        <v>0.14699999999999999</v>
      </c>
      <c r="G350" s="2977">
        <v>0.15</v>
      </c>
    </row>
    <row r="351" spans="1:7">
      <c r="A351" s="2986" t="s">
        <v>307</v>
      </c>
      <c r="B351" s="2975" t="s">
        <v>2951</v>
      </c>
      <c r="C351" s="2976">
        <v>0.15</v>
      </c>
      <c r="D351" s="2976">
        <v>0.15</v>
      </c>
      <c r="E351" s="2976">
        <v>0.15</v>
      </c>
      <c r="F351" s="2976">
        <v>0.13</v>
      </c>
      <c r="G351" s="2977">
        <v>0.15</v>
      </c>
    </row>
    <row r="352" spans="1:7">
      <c r="A352" s="2986" t="s">
        <v>307</v>
      </c>
      <c r="B352" s="2975" t="s">
        <v>2956</v>
      </c>
      <c r="C352" s="2976">
        <v>0.15</v>
      </c>
      <c r="D352" s="2976">
        <v>0.15</v>
      </c>
      <c r="E352" s="2976">
        <v>0.15</v>
      </c>
      <c r="F352" s="2976">
        <v>0.14599999999999999</v>
      </c>
      <c r="G352" s="2977">
        <v>0.15</v>
      </c>
    </row>
    <row r="353" spans="1:7">
      <c r="A353" s="2986" t="s">
        <v>307</v>
      </c>
      <c r="B353" s="2975" t="s">
        <v>2963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2976</v>
      </c>
      <c r="C355" s="2976">
        <v>0.15</v>
      </c>
      <c r="D355" s="2976">
        <v>0.15</v>
      </c>
      <c r="E355" s="2976">
        <v>0.15</v>
      </c>
      <c r="F355" s="2976">
        <v>0.15</v>
      </c>
      <c r="G355" s="2977">
        <v>0.15</v>
      </c>
    </row>
    <row r="356" spans="1:7">
      <c r="A356" s="2986" t="s">
        <v>307</v>
      </c>
      <c r="B356" s="2975" t="s">
        <v>2983</v>
      </c>
      <c r="C356" s="2976">
        <v>0.15</v>
      </c>
      <c r="D356" s="2976">
        <v>0.15</v>
      </c>
      <c r="E356" s="2976">
        <v>0.15</v>
      </c>
      <c r="F356" s="2976">
        <v>0.15</v>
      </c>
      <c r="G356" s="2977">
        <v>0.15</v>
      </c>
    </row>
    <row r="357" spans="1:7" ht="14.25" thickBot="1">
      <c r="A357" s="2989" t="s">
        <v>307</v>
      </c>
      <c r="B357" s="2979" t="s">
        <v>2988</v>
      </c>
      <c r="C357" s="2980">
        <v>0.126</v>
      </c>
      <c r="D357" s="2980">
        <v>0.127</v>
      </c>
      <c r="E357" s="2980">
        <v>0.14299999999999999</v>
      </c>
      <c r="F357" s="2980">
        <v>0.125</v>
      </c>
      <c r="G357" s="2982">
        <v>0.129</v>
      </c>
    </row>
    <row r="358" spans="1:7">
      <c r="A358" s="2985" t="s">
        <v>2857</v>
      </c>
      <c r="B358" s="2971" t="s">
        <v>2871</v>
      </c>
      <c r="C358" s="2972">
        <v>0.15</v>
      </c>
      <c r="D358" s="2972">
        <v>0.15</v>
      </c>
      <c r="E358" s="2972">
        <v>0.15</v>
      </c>
      <c r="F358" s="2972">
        <v>0.15</v>
      </c>
      <c r="G358" s="2973">
        <v>0.15</v>
      </c>
    </row>
    <row r="359" spans="1:7">
      <c r="A359" s="2986" t="s">
        <v>2857</v>
      </c>
      <c r="B359" s="2975" t="s">
        <v>2877</v>
      </c>
      <c r="C359" s="2976">
        <v>0.1</v>
      </c>
      <c r="D359" s="2976">
        <v>0.1</v>
      </c>
      <c r="E359" s="2976">
        <v>0.1</v>
      </c>
      <c r="F359" s="2976">
        <v>0.1</v>
      </c>
      <c r="G359" s="2977">
        <v>0.1</v>
      </c>
    </row>
    <row r="360" spans="1:7">
      <c r="A360" s="2986" t="s">
        <v>2857</v>
      </c>
      <c r="B360" s="2975" t="s">
        <v>2883</v>
      </c>
      <c r="C360" s="2976">
        <v>0.15</v>
      </c>
      <c r="D360" s="2976">
        <v>0.15</v>
      </c>
      <c r="E360" s="2976">
        <v>0.15</v>
      </c>
      <c r="F360" s="2976">
        <v>0.14899999999999999</v>
      </c>
      <c r="G360" s="2977">
        <v>0.15</v>
      </c>
    </row>
    <row r="361" spans="1:7">
      <c r="A361" s="2986" t="s">
        <v>2857</v>
      </c>
      <c r="B361" s="2975" t="s">
        <v>153</v>
      </c>
      <c r="C361" s="2976">
        <v>0.15</v>
      </c>
      <c r="D361" s="2976">
        <v>0.15</v>
      </c>
      <c r="E361" s="2976">
        <v>0.15</v>
      </c>
      <c r="F361" s="2976">
        <v>0.115</v>
      </c>
      <c r="G361" s="2977">
        <v>0.15</v>
      </c>
    </row>
    <row r="362" spans="1:7">
      <c r="A362" s="2986" t="s">
        <v>2857</v>
      </c>
      <c r="B362" s="2975" t="s">
        <v>2890</v>
      </c>
      <c r="C362" s="2976">
        <v>0.15</v>
      </c>
      <c r="D362" s="2976">
        <v>0.15</v>
      </c>
      <c r="E362" s="2976">
        <v>0.15</v>
      </c>
      <c r="F362" s="2976">
        <v>0.106</v>
      </c>
      <c r="G362" s="2977">
        <v>0.15</v>
      </c>
    </row>
    <row r="363" spans="1:7">
      <c r="A363" s="2986" t="s">
        <v>2857</v>
      </c>
      <c r="B363" s="2975" t="s">
        <v>2895</v>
      </c>
      <c r="C363" s="2976">
        <v>0.15</v>
      </c>
      <c r="D363" s="2976">
        <v>0.15</v>
      </c>
      <c r="E363" s="2976">
        <v>0.15</v>
      </c>
      <c r="F363" s="2976">
        <v>0.14699999999999999</v>
      </c>
      <c r="G363" s="2977">
        <v>0.15</v>
      </c>
    </row>
    <row r="364" spans="1:7">
      <c r="A364" s="2986" t="s">
        <v>2857</v>
      </c>
      <c r="B364" s="2975" t="s">
        <v>2899</v>
      </c>
      <c r="C364" s="2976">
        <v>0.15</v>
      </c>
      <c r="D364" s="2976">
        <v>0.15</v>
      </c>
      <c r="E364" s="2976">
        <v>0.15</v>
      </c>
      <c r="F364" s="2976">
        <v>0.14799999999999999</v>
      </c>
      <c r="G364" s="2977">
        <v>0.15</v>
      </c>
    </row>
    <row r="365" spans="1:7">
      <c r="A365" s="2986" t="s">
        <v>2857</v>
      </c>
      <c r="B365" s="2975" t="s">
        <v>200</v>
      </c>
      <c r="C365" s="2976">
        <v>0.15</v>
      </c>
      <c r="D365" s="2976">
        <v>0.15</v>
      </c>
      <c r="E365" s="2976">
        <v>0.15</v>
      </c>
      <c r="F365" s="2976">
        <v>0.15</v>
      </c>
      <c r="G365" s="2977">
        <v>0.15</v>
      </c>
    </row>
    <row r="366" spans="1:7">
      <c r="A366" s="2986" t="s">
        <v>2857</v>
      </c>
      <c r="B366" s="2975" t="s">
        <v>2902</v>
      </c>
      <c r="C366" s="2976">
        <v>0.15</v>
      </c>
      <c r="D366" s="2976">
        <v>0.15</v>
      </c>
      <c r="E366" s="2976">
        <v>0.15</v>
      </c>
      <c r="F366" s="2976">
        <v>0.15</v>
      </c>
      <c r="G366" s="2977">
        <v>0.15</v>
      </c>
    </row>
    <row r="367" spans="1:7">
      <c r="A367" s="2986" t="s">
        <v>2857</v>
      </c>
      <c r="B367" s="2975" t="s">
        <v>2905</v>
      </c>
      <c r="C367" s="2976">
        <v>0.15</v>
      </c>
      <c r="D367" s="2976">
        <v>0.15</v>
      </c>
      <c r="E367" s="2976">
        <v>0.15</v>
      </c>
      <c r="F367" s="2976">
        <v>0.14699999999999999</v>
      </c>
      <c r="G367" s="2977">
        <v>0.15</v>
      </c>
    </row>
    <row r="368" spans="1:7">
      <c r="A368" s="2986" t="s">
        <v>2857</v>
      </c>
      <c r="B368" s="2975" t="s">
        <v>2910</v>
      </c>
      <c r="C368" s="2976">
        <v>0.15</v>
      </c>
      <c r="D368" s="2976">
        <v>0.15</v>
      </c>
      <c r="E368" s="2976">
        <v>0.15</v>
      </c>
      <c r="F368" s="2976">
        <v>0.13600000000000001</v>
      </c>
      <c r="G368" s="2977">
        <v>0.15</v>
      </c>
    </row>
    <row r="369" spans="1:7">
      <c r="A369" s="2986" t="s">
        <v>2857</v>
      </c>
      <c r="B369" s="2975" t="s">
        <v>214</v>
      </c>
      <c r="C369" s="2976">
        <v>0.15</v>
      </c>
      <c r="D369" s="2976">
        <v>0.15</v>
      </c>
      <c r="E369" s="2976">
        <v>0.15</v>
      </c>
      <c r="F369" s="2976">
        <v>0.14399999999999999</v>
      </c>
      <c r="G369" s="2977">
        <v>0.15</v>
      </c>
    </row>
    <row r="370" spans="1:7">
      <c r="A370" s="2986" t="s">
        <v>2857</v>
      </c>
      <c r="B370" s="2975" t="s">
        <v>221</v>
      </c>
      <c r="C370" s="2976">
        <v>0.15</v>
      </c>
      <c r="D370" s="2976">
        <v>0.15</v>
      </c>
      <c r="E370" s="2976">
        <v>0.15</v>
      </c>
      <c r="F370" s="2976">
        <v>0.14599999999999999</v>
      </c>
      <c r="G370" s="2977">
        <v>0.15</v>
      </c>
    </row>
    <row r="371" spans="1:7">
      <c r="A371" s="2986" t="s">
        <v>2857</v>
      </c>
      <c r="B371" s="2975" t="s">
        <v>229</v>
      </c>
      <c r="C371" s="2976">
        <v>0.15</v>
      </c>
      <c r="D371" s="2976">
        <v>0.15</v>
      </c>
      <c r="E371" s="2976">
        <v>0.15</v>
      </c>
      <c r="F371" s="2976">
        <v>0.12</v>
      </c>
      <c r="G371" s="2977">
        <v>0.15</v>
      </c>
    </row>
    <row r="372" spans="1:7">
      <c r="A372" s="2986" t="s">
        <v>2857</v>
      </c>
      <c r="B372" s="2975" t="s">
        <v>2918</v>
      </c>
      <c r="C372" s="2976">
        <v>0.15</v>
      </c>
      <c r="D372" s="2976">
        <v>0.15</v>
      </c>
      <c r="E372" s="2976">
        <v>0.15</v>
      </c>
      <c r="F372" s="2976">
        <v>0.14299999999999999</v>
      </c>
      <c r="G372" s="2977">
        <v>0.15</v>
      </c>
    </row>
    <row r="373" spans="1:7">
      <c r="A373" s="2986" t="s">
        <v>2857</v>
      </c>
      <c r="B373" s="2975" t="s">
        <v>258</v>
      </c>
      <c r="C373" s="2976">
        <v>0.15</v>
      </c>
      <c r="D373" s="2976">
        <v>0.15</v>
      </c>
      <c r="E373" s="2976">
        <v>0.15</v>
      </c>
      <c r="F373" s="2976">
        <v>0.14599999999999999</v>
      </c>
      <c r="G373" s="2977">
        <v>0.15</v>
      </c>
    </row>
    <row r="374" spans="1:7">
      <c r="A374" s="2986" t="s">
        <v>2857</v>
      </c>
      <c r="B374" s="2975" t="s">
        <v>266</v>
      </c>
      <c r="C374" s="2976">
        <v>0.15</v>
      </c>
      <c r="D374" s="2976">
        <v>0.15</v>
      </c>
      <c r="E374" s="2976">
        <v>0.15</v>
      </c>
      <c r="F374" s="2976">
        <v>0.14399999999999999</v>
      </c>
      <c r="G374" s="2977">
        <v>0.15</v>
      </c>
    </row>
    <row r="375" spans="1:7">
      <c r="A375" s="2986" t="s">
        <v>2857</v>
      </c>
      <c r="B375" s="2975" t="s">
        <v>2926</v>
      </c>
      <c r="C375" s="2976">
        <v>0.15</v>
      </c>
      <c r="D375" s="2976">
        <v>0.15</v>
      </c>
      <c r="E375" s="2976">
        <v>0.15</v>
      </c>
      <c r="F375" s="2976">
        <v>0.13</v>
      </c>
      <c r="G375" s="2977">
        <v>0.15</v>
      </c>
    </row>
    <row r="376" spans="1:7">
      <c r="A376" s="2986" t="s">
        <v>2857</v>
      </c>
      <c r="B376" s="2975" t="s">
        <v>277</v>
      </c>
      <c r="C376" s="2976">
        <v>0.15</v>
      </c>
      <c r="D376" s="2976">
        <v>0.15</v>
      </c>
      <c r="E376" s="2976">
        <v>0.15</v>
      </c>
      <c r="F376" s="2976">
        <v>0.14199999999999999</v>
      </c>
      <c r="G376" s="2977">
        <v>0.15</v>
      </c>
    </row>
    <row r="377" spans="1:7" ht="14.25" thickBot="1">
      <c r="A377" s="2989" t="s">
        <v>2857</v>
      </c>
      <c r="B377" s="2979" t="s">
        <v>2932</v>
      </c>
      <c r="C377" s="2980">
        <v>0.15</v>
      </c>
      <c r="D377" s="2980">
        <v>0.15</v>
      </c>
      <c r="E377" s="2980">
        <v>0.15</v>
      </c>
      <c r="F377" s="2980">
        <v>0.14000000000000001</v>
      </c>
      <c r="G377" s="2982">
        <v>0.15</v>
      </c>
    </row>
    <row r="378" spans="1:7">
      <c r="A378" s="2985" t="s">
        <v>2858</v>
      </c>
      <c r="B378" s="2971" t="s">
        <v>2872</v>
      </c>
      <c r="C378" s="2972">
        <v>0.15</v>
      </c>
      <c r="D378" s="2972">
        <v>0.15</v>
      </c>
      <c r="E378" s="2972">
        <v>0.15</v>
      </c>
      <c r="F378" s="2972">
        <v>0.107</v>
      </c>
      <c r="G378" s="2973">
        <v>0.15</v>
      </c>
    </row>
    <row r="379" spans="1:7">
      <c r="A379" s="2986" t="s">
        <v>2858</v>
      </c>
      <c r="B379" s="2975" t="s">
        <v>2878</v>
      </c>
      <c r="C379" s="2976">
        <v>0.15</v>
      </c>
      <c r="D379" s="2976">
        <v>0.15</v>
      </c>
      <c r="E379" s="2976">
        <v>0.15</v>
      </c>
      <c r="F379" s="2976">
        <v>0.115</v>
      </c>
      <c r="G379" s="2977">
        <v>0.14899999999999999</v>
      </c>
    </row>
    <row r="380" spans="1:7">
      <c r="A380" s="2986" t="s">
        <v>2858</v>
      </c>
      <c r="B380" s="2975" t="s">
        <v>2884</v>
      </c>
      <c r="C380" s="2976">
        <v>0.15</v>
      </c>
      <c r="D380" s="2976">
        <v>0.15</v>
      </c>
      <c r="E380" s="2976">
        <v>0.15</v>
      </c>
      <c r="F380" s="2976">
        <v>0.1</v>
      </c>
      <c r="G380" s="2977">
        <v>0.14799999999999999</v>
      </c>
    </row>
    <row r="381" spans="1:7">
      <c r="A381" s="2986" t="s">
        <v>2858</v>
      </c>
      <c r="B381" s="2975" t="s">
        <v>2887</v>
      </c>
      <c r="C381" s="2976">
        <v>0.15</v>
      </c>
      <c r="D381" s="2976">
        <v>0.15</v>
      </c>
      <c r="E381" s="2976">
        <v>0.15</v>
      </c>
      <c r="F381" s="2976">
        <v>0.126</v>
      </c>
      <c r="G381" s="2977">
        <v>0.15</v>
      </c>
    </row>
    <row r="382" spans="1:7">
      <c r="A382" s="2986" t="s">
        <v>2858</v>
      </c>
      <c r="B382" s="2975" t="s">
        <v>2891</v>
      </c>
      <c r="C382" s="2976">
        <v>0.15</v>
      </c>
      <c r="D382" s="2976">
        <v>0.15</v>
      </c>
      <c r="E382" s="2976">
        <v>0.15</v>
      </c>
      <c r="F382" s="2976">
        <v>0.15</v>
      </c>
      <c r="G382" s="2977">
        <v>0.15</v>
      </c>
    </row>
    <row r="383" spans="1:7">
      <c r="A383" s="2986" t="s">
        <v>2858</v>
      </c>
      <c r="B383" s="2975" t="s">
        <v>2896</v>
      </c>
      <c r="C383" s="2976">
        <v>0.15</v>
      </c>
      <c r="D383" s="2976">
        <v>0.15</v>
      </c>
      <c r="E383" s="2976">
        <v>0.15</v>
      </c>
      <c r="F383" s="2976">
        <v>0.14699999999999999</v>
      </c>
      <c r="G383" s="2977">
        <v>0.15</v>
      </c>
    </row>
    <row r="384" spans="1:7" ht="14.25" thickBot="1">
      <c r="A384" s="2996" t="s">
        <v>2858</v>
      </c>
      <c r="B384" s="2997" t="s">
        <v>2900</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5" defaultRowHeight="13.5"/>
  <cols>
    <col min="1" max="16384" width="13.25" style="2811"/>
  </cols>
  <sheetData>
    <row r="1" spans="1:6" ht="14.25">
      <c r="A1" s="3675" t="s">
        <v>3239</v>
      </c>
      <c r="B1" s="3675"/>
      <c r="C1" s="3675"/>
      <c r="D1" s="3675"/>
      <c r="E1" s="3675"/>
      <c r="F1" s="3676"/>
    </row>
    <row r="2" spans="1:6" ht="14.25">
      <c r="A2" s="3000" t="s">
        <v>3240</v>
      </c>
    </row>
    <row r="3" spans="1:6" ht="14.25">
      <c r="A3" s="3000" t="s">
        <v>3241</v>
      </c>
      <c r="F3" s="3001" t="s">
        <v>3242</v>
      </c>
    </row>
    <row r="4" spans="1:6">
      <c r="A4" s="3002" t="s">
        <v>672</v>
      </c>
      <c r="B4" s="3002" t="s">
        <v>673</v>
      </c>
      <c r="C4" s="3002" t="s">
        <v>21</v>
      </c>
      <c r="D4" s="3002" t="s">
        <v>674</v>
      </c>
      <c r="E4" s="3002" t="s">
        <v>3</v>
      </c>
      <c r="F4" s="3002" t="s">
        <v>3243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2935">
        <f>基准地价修正!G23</f>
        <v>45291</v>
      </c>
      <c r="B1" s="2927" t="s">
        <v>2845</v>
      </c>
      <c r="C1" s="2928"/>
      <c r="D1" s="2928"/>
      <c r="E1" s="2928"/>
      <c r="F1" s="2928"/>
      <c r="G1" s="2928"/>
      <c r="H1" s="2928"/>
      <c r="I1" s="2928"/>
      <c r="J1" s="2894"/>
      <c r="K1" s="2928" t="s">
        <v>454</v>
      </c>
      <c r="L1" s="2928"/>
      <c r="M1" s="2928"/>
      <c r="N1" s="2928"/>
      <c r="O1" s="2928"/>
      <c r="P1" s="2928"/>
      <c r="Q1" s="2894"/>
      <c r="R1" s="3677" t="s">
        <v>456</v>
      </c>
      <c r="S1" s="3678"/>
      <c r="T1" s="3678"/>
      <c r="U1" s="3678"/>
      <c r="V1" s="3678"/>
      <c r="W1" s="3678"/>
      <c r="X1" s="2894"/>
      <c r="Y1" s="3677" t="s">
        <v>457</v>
      </c>
      <c r="Z1" s="3678"/>
      <c r="AA1" s="3678"/>
      <c r="AB1" s="3678"/>
      <c r="AC1" s="3678"/>
      <c r="AD1" s="3678"/>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903" t="s">
        <v>3377</v>
      </c>
      <c r="B5" s="2028">
        <v>2023</v>
      </c>
      <c r="C5" s="2039">
        <v>4</v>
      </c>
      <c r="D5" s="2004">
        <v>0</v>
      </c>
      <c r="E5" s="2004">
        <v>0</v>
      </c>
      <c r="F5" s="2004">
        <v>0</v>
      </c>
      <c r="G5" s="2004">
        <v>0</v>
      </c>
      <c r="H5" s="2004">
        <v>0</v>
      </c>
      <c r="I5" s="2005">
        <f t="shared" ref="I5:I16" si="4">F5</f>
        <v>0</v>
      </c>
      <c r="J5" s="2904"/>
      <c r="K5" s="2040">
        <f t="shared" ref="K5:O16" si="5">D5/100</f>
        <v>0</v>
      </c>
      <c r="L5" s="2025">
        <f t="shared" si="5"/>
        <v>0</v>
      </c>
      <c r="M5" s="2025">
        <f t="shared" si="5"/>
        <v>0</v>
      </c>
      <c r="N5" s="2025">
        <f t="shared" si="5"/>
        <v>0</v>
      </c>
      <c r="O5" s="2025">
        <f t="shared" si="5"/>
        <v>0</v>
      </c>
      <c r="P5" s="2025">
        <f>M5</f>
        <v>0</v>
      </c>
      <c r="Q5" s="2904"/>
      <c r="R5" s="2024">
        <f>ROUND(IF(项目基本情况!$B$8="出让",SUMPRODUCT(PRODUCT(1+K5:$K$16)),SUMPRODUCT(PRODUCT(1+K5:$K$15))),4)</f>
        <v>1.0565</v>
      </c>
      <c r="S5" s="2024">
        <f>ROUND(IF(项目基本情况!$B$8="出让",SUMPRODUCT(PRODUCT(1+L5:$L$16)),SUMPRODUCT(PRODUCT(1+L5:$L$15))),4)</f>
        <v>1.0250999999999999</v>
      </c>
      <c r="T5" s="2024">
        <f>ROUND(IF(项目基本情况!$B$8="出让",SUMPRODUCT(PRODUCT(1+M5:$M$16)),SUMPRODUCT(PRODUCT(1+M5:$M$15))),4)</f>
        <v>1.0145</v>
      </c>
      <c r="U5" s="2024">
        <f>ROUND(IF(项目基本情况!$B$8="出让",SUMPRODUCT(PRODUCT(1+N5:$N$16)),SUMPRODUCT(PRODUCT(1+N5:$N$15))),4)</f>
        <v>1.0618000000000001</v>
      </c>
      <c r="V5" s="2024">
        <f>ROUND(IF(项目基本情况!$B$8="出让",SUMPRODUCT(PRODUCT(1+O5:$O$16)),SUMPRODUCT(PRODUCT(1+O5:$O$15))),4)</f>
        <v>1.0502</v>
      </c>
      <c r="W5" s="2024">
        <f>T5</f>
        <v>1.0145</v>
      </c>
      <c r="X5" s="2904"/>
      <c r="Y5" s="2025">
        <f>IF(D5=0,0,ROUND(AVERAGE(D5:D16)/100,4))</f>
        <v>0</v>
      </c>
      <c r="Z5" s="2025">
        <f t="shared" ref="Z5:AC5" si="6">IF(E5=0,0,ROUND(AVERAGE(E5:E16)/100,4))</f>
        <v>0</v>
      </c>
      <c r="AA5" s="2025">
        <f t="shared" si="6"/>
        <v>0</v>
      </c>
      <c r="AB5" s="2025">
        <f t="shared" si="6"/>
        <v>0</v>
      </c>
      <c r="AC5" s="2025">
        <f t="shared" si="6"/>
        <v>0</v>
      </c>
      <c r="AD5" s="2025">
        <f t="shared" ref="AD5:AD15" si="7">AA5</f>
        <v>0</v>
      </c>
    </row>
    <row r="6" spans="1:30" s="2042" customFormat="1" ht="12.75">
      <c r="A6" s="2903" t="s">
        <v>3378</v>
      </c>
      <c r="B6" s="2028">
        <v>2023</v>
      </c>
      <c r="C6" s="2039">
        <v>3</v>
      </c>
      <c r="D6" s="2004">
        <v>0</v>
      </c>
      <c r="E6" s="2004">
        <v>0</v>
      </c>
      <c r="F6" s="2004">
        <v>0</v>
      </c>
      <c r="G6" s="2004">
        <v>0</v>
      </c>
      <c r="H6" s="2004">
        <v>0</v>
      </c>
      <c r="I6" s="2005">
        <f t="shared" si="4"/>
        <v>0</v>
      </c>
      <c r="J6" s="2904"/>
      <c r="K6" s="2040">
        <f t="shared" ref="K6:K8" si="8">D6/100</f>
        <v>0</v>
      </c>
      <c r="L6" s="2025">
        <f t="shared" ref="L6:L8" si="9">E6/100</f>
        <v>0</v>
      </c>
      <c r="M6" s="2025">
        <f t="shared" ref="M6:M8" si="10">F6/100</f>
        <v>0</v>
      </c>
      <c r="N6" s="2025">
        <f t="shared" ref="N6:N8" si="11">G6/100</f>
        <v>0</v>
      </c>
      <c r="O6" s="2025">
        <f t="shared" ref="O6:O8" si="12">H6/100</f>
        <v>0</v>
      </c>
      <c r="P6" s="2025">
        <f t="shared" ref="P6:P8" si="13">M6</f>
        <v>0</v>
      </c>
      <c r="Q6" s="2904"/>
      <c r="R6" s="2024">
        <f>ROUND(IF(项目基本情况!$B$8="出让",SUMPRODUCT(PRODUCT(1+K6:$K$16)),SUMPRODUCT(PRODUCT(1+K6:$K$15))),4)</f>
        <v>1.0565</v>
      </c>
      <c r="S6" s="2024">
        <f>ROUND(IF(项目基本情况!$B$8="出让",SUMPRODUCT(PRODUCT(1+L6:$L$16)),SUMPRODUCT(PRODUCT(1+L6:$L$15))),4)</f>
        <v>1.0250999999999999</v>
      </c>
      <c r="T6" s="2024">
        <f>ROUND(IF(项目基本情况!$B$8="出让",SUMPRODUCT(PRODUCT(1+M6:$M$16)),SUMPRODUCT(PRODUCT(1+M6:$M$15))),4)</f>
        <v>1.0145</v>
      </c>
      <c r="U6" s="2024">
        <f>ROUND(IF(项目基本情况!$B$8="出让",SUMPRODUCT(PRODUCT(1+N6:$N$16)),SUMPRODUCT(PRODUCT(1+N6:$N$15))),4)</f>
        <v>1.0618000000000001</v>
      </c>
      <c r="V6" s="2024">
        <f>ROUND(IF(项目基本情况!$B$8="出让",SUMPRODUCT(PRODUCT(1+O6:$O$16)),SUMPRODUCT(PRODUCT(1+O6:$O$15))),4)</f>
        <v>1.0502</v>
      </c>
      <c r="W6" s="2024">
        <f t="shared" ref="W6:W8" si="14">T6</f>
        <v>1.0145</v>
      </c>
      <c r="X6" s="2904"/>
      <c r="Y6" s="2025"/>
      <c r="Z6" s="2025"/>
      <c r="AA6" s="2025"/>
      <c r="AB6" s="2025"/>
      <c r="AC6" s="2025"/>
      <c r="AD6" s="2025"/>
    </row>
    <row r="7" spans="1:30" s="2042" customFormat="1" ht="12.75">
      <c r="A7" s="2903" t="s">
        <v>3376</v>
      </c>
      <c r="B7" s="2028">
        <v>2023</v>
      </c>
      <c r="C7" s="2039">
        <v>2</v>
      </c>
      <c r="D7" s="2004">
        <v>0</v>
      </c>
      <c r="E7" s="2004">
        <v>0</v>
      </c>
      <c r="F7" s="2004">
        <v>0</v>
      </c>
      <c r="G7" s="2004">
        <v>0</v>
      </c>
      <c r="H7" s="2004">
        <v>0</v>
      </c>
      <c r="I7" s="2005">
        <f t="shared" si="4"/>
        <v>0</v>
      </c>
      <c r="J7" s="2904"/>
      <c r="K7" s="2040">
        <f t="shared" si="8"/>
        <v>0</v>
      </c>
      <c r="L7" s="2025">
        <f t="shared" si="9"/>
        <v>0</v>
      </c>
      <c r="M7" s="2025">
        <f t="shared" si="10"/>
        <v>0</v>
      </c>
      <c r="N7" s="2025">
        <f t="shared" si="11"/>
        <v>0</v>
      </c>
      <c r="O7" s="2025">
        <f t="shared" si="12"/>
        <v>0</v>
      </c>
      <c r="P7" s="2025">
        <f t="shared" si="13"/>
        <v>0</v>
      </c>
      <c r="Q7" s="2904"/>
      <c r="R7" s="2024">
        <f>ROUND(IF(项目基本情况!$B$8="出让",SUMPRODUCT(PRODUCT(1+K7:$K$16)),SUMPRODUCT(PRODUCT(1+K7:$K$15))),4)</f>
        <v>1.0565</v>
      </c>
      <c r="S7" s="2024">
        <f>ROUND(IF(项目基本情况!$B$8="出让",SUMPRODUCT(PRODUCT(1+L7:$L$16)),SUMPRODUCT(PRODUCT(1+L7:$L$15))),4)</f>
        <v>1.0250999999999999</v>
      </c>
      <c r="T7" s="2024">
        <f>ROUND(IF(项目基本情况!$B$8="出让",SUMPRODUCT(PRODUCT(1+M7:$M$16)),SUMPRODUCT(PRODUCT(1+M7:$M$15))),4)</f>
        <v>1.0145</v>
      </c>
      <c r="U7" s="2024">
        <f>ROUND(IF(项目基本情况!$B$8="出让",SUMPRODUCT(PRODUCT(1+N7:$N$16)),SUMPRODUCT(PRODUCT(1+N7:$N$15))),4)</f>
        <v>1.0618000000000001</v>
      </c>
      <c r="V7" s="2024">
        <f>ROUND(IF(项目基本情况!$B$8="出让",SUMPRODUCT(PRODUCT(1+O7:$O$16)),SUMPRODUCT(PRODUCT(1+O7:$O$15))),4)</f>
        <v>1.0502</v>
      </c>
      <c r="W7" s="2024">
        <f t="shared" si="14"/>
        <v>1.0145</v>
      </c>
      <c r="X7" s="2904"/>
      <c r="Y7" s="2025"/>
      <c r="Z7" s="2025"/>
      <c r="AA7" s="2025"/>
      <c r="AB7" s="2025"/>
      <c r="AC7" s="2025"/>
      <c r="AD7" s="2025"/>
    </row>
    <row r="8" spans="1:30" s="2042" customFormat="1" ht="12.75">
      <c r="A8" s="2903" t="s">
        <v>2823</v>
      </c>
      <c r="B8" s="2028">
        <v>2023</v>
      </c>
      <c r="C8" s="2039">
        <v>1</v>
      </c>
      <c r="D8" s="2004">
        <v>0</v>
      </c>
      <c r="E8" s="2004">
        <v>0</v>
      </c>
      <c r="F8" s="2004">
        <v>0</v>
      </c>
      <c r="G8" s="2004">
        <v>0</v>
      </c>
      <c r="H8" s="2004">
        <v>0</v>
      </c>
      <c r="I8" s="2005">
        <f t="shared" si="4"/>
        <v>0</v>
      </c>
      <c r="J8" s="2904"/>
      <c r="K8" s="2040">
        <f t="shared" si="8"/>
        <v>0</v>
      </c>
      <c r="L8" s="2025">
        <f t="shared" si="9"/>
        <v>0</v>
      </c>
      <c r="M8" s="2025">
        <f t="shared" si="10"/>
        <v>0</v>
      </c>
      <c r="N8" s="2025">
        <f t="shared" si="11"/>
        <v>0</v>
      </c>
      <c r="O8" s="2025">
        <f t="shared" si="12"/>
        <v>0</v>
      </c>
      <c r="P8" s="2025">
        <f t="shared" si="13"/>
        <v>0</v>
      </c>
      <c r="Q8" s="2904"/>
      <c r="R8" s="2024">
        <f>ROUND(IF(项目基本情况!$B$8="出让",SUMPRODUCT(PRODUCT(1+K8:$K$16)),SUMPRODUCT(PRODUCT(1+K8:$K$15))),4)</f>
        <v>1.0565</v>
      </c>
      <c r="S8" s="2024">
        <f>ROUND(IF(项目基本情况!$B$8="出让",SUMPRODUCT(PRODUCT(1+L8:$L$16)),SUMPRODUCT(PRODUCT(1+L8:$L$15))),4)</f>
        <v>1.0250999999999999</v>
      </c>
      <c r="T8" s="2024">
        <f>ROUND(IF(项目基本情况!$B$8="出让",SUMPRODUCT(PRODUCT(1+M8:$M$16)),SUMPRODUCT(PRODUCT(1+M8:$M$15))),4)</f>
        <v>1.0145</v>
      </c>
      <c r="U8" s="2024">
        <f>ROUND(IF(项目基本情况!$B$8="出让",SUMPRODUCT(PRODUCT(1+N8:$N$16)),SUMPRODUCT(PRODUCT(1+N8:$N$15))),4)</f>
        <v>1.0618000000000001</v>
      </c>
      <c r="V8" s="2024">
        <f>ROUND(IF(项目基本情况!$B$8="出让",SUMPRODUCT(PRODUCT(1+O8:$O$16)),SUMPRODUCT(PRODUCT(1+O8:$O$15))),4)</f>
        <v>1.0502</v>
      </c>
      <c r="W8" s="2024">
        <f t="shared" si="14"/>
        <v>1.0145</v>
      </c>
      <c r="X8" s="2904"/>
      <c r="Y8" s="2025"/>
      <c r="Z8" s="2025"/>
      <c r="AA8" s="2025"/>
      <c r="AB8" s="2025"/>
      <c r="AC8" s="2025"/>
      <c r="AD8" s="2025"/>
    </row>
    <row r="9" spans="1:30" s="2914" customFormat="1" ht="12.75">
      <c r="A9" s="2905" t="s">
        <v>2824</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v>1.0565</v>
      </c>
      <c r="S9" s="2911">
        <v>1.0250999999999999</v>
      </c>
      <c r="T9" s="2911">
        <v>1.0145</v>
      </c>
      <c r="U9" s="2911">
        <v>1.0618000000000001</v>
      </c>
      <c r="V9" s="2911">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2" customFormat="1" ht="12.75">
      <c r="A10" s="2903" t="s">
        <v>3371</v>
      </c>
      <c r="B10" s="2028">
        <v>2022</v>
      </c>
      <c r="C10" s="2039">
        <v>3</v>
      </c>
      <c r="D10" s="2004">
        <v>0.66</v>
      </c>
      <c r="E10" s="2004">
        <v>0.32</v>
      </c>
      <c r="F10" s="2004">
        <v>0.23</v>
      </c>
      <c r="G10" s="2004">
        <v>0.72</v>
      </c>
      <c r="H10" s="2915">
        <v>0.63</v>
      </c>
      <c r="I10" s="2005">
        <f t="shared" si="4"/>
        <v>0.23</v>
      </c>
      <c r="J10" s="2904"/>
      <c r="K10" s="2040">
        <f t="shared" si="5"/>
        <v>6.6E-3</v>
      </c>
      <c r="L10" s="2025">
        <f t="shared" si="5"/>
        <v>3.2000000000000002E-3</v>
      </c>
      <c r="M10" s="2025">
        <f t="shared" si="5"/>
        <v>2.3E-3</v>
      </c>
      <c r="N10" s="2025">
        <f t="shared" si="5"/>
        <v>7.1999999999999998E-3</v>
      </c>
      <c r="O10" s="2025">
        <f t="shared" si="5"/>
        <v>6.3E-3</v>
      </c>
      <c r="P10" s="2025">
        <f t="shared" si="15"/>
        <v>2.3E-3</v>
      </c>
      <c r="Q10" s="2904"/>
      <c r="R10" s="2024">
        <v>1.05</v>
      </c>
      <c r="S10" s="2024">
        <v>1.0229999999999999</v>
      </c>
      <c r="T10" s="2024">
        <v>1.0134000000000001</v>
      </c>
      <c r="U10" s="2024">
        <v>1.0545</v>
      </c>
      <c r="V10" s="2024">
        <v>1.0447</v>
      </c>
      <c r="W10" s="2024">
        <f t="shared" si="16"/>
        <v>1.0134000000000001</v>
      </c>
      <c r="X10" s="2904"/>
      <c r="Y10" s="2025">
        <f>IF(D10=0,0,ROUND(AVERAGE(D10:D16)/100,4))</f>
        <v>8.3999999999999995E-3</v>
      </c>
      <c r="Z10" s="2025">
        <f t="shared" ref="Z10:AC10" si="18">IF(E10=0,0,ROUND(AVERAGE(E10:E16)/100,4))</f>
        <v>3.5000000000000001E-3</v>
      </c>
      <c r="AA10" s="2025">
        <f t="shared" si="18"/>
        <v>1.5E-3</v>
      </c>
      <c r="AB10" s="2025">
        <f t="shared" si="18"/>
        <v>9.1999999999999998E-3</v>
      </c>
      <c r="AC10" s="2025">
        <f t="shared" si="18"/>
        <v>6.7999999999999996E-3</v>
      </c>
      <c r="AD10" s="2025">
        <f t="shared" si="7"/>
        <v>1.5E-3</v>
      </c>
    </row>
    <row r="11" spans="1:30" s="2042" customFormat="1" ht="12.75">
      <c r="A11" s="2903" t="s">
        <v>3362</v>
      </c>
      <c r="B11" s="2028">
        <v>2022</v>
      </c>
      <c r="C11" s="2039">
        <v>2</v>
      </c>
      <c r="D11" s="2004">
        <v>0.93</v>
      </c>
      <c r="E11" s="2004">
        <v>0.15</v>
      </c>
      <c r="F11" s="2004">
        <v>0.01</v>
      </c>
      <c r="G11" s="2004">
        <v>1.05</v>
      </c>
      <c r="H11" s="2915">
        <v>1.08</v>
      </c>
      <c r="I11" s="2005">
        <f t="shared" si="4"/>
        <v>0.01</v>
      </c>
      <c r="J11" s="2904"/>
      <c r="K11" s="2040">
        <f t="shared" si="5"/>
        <v>9.300000000000001E-3</v>
      </c>
      <c r="L11" s="2025">
        <f t="shared" si="5"/>
        <v>1.5E-3</v>
      </c>
      <c r="M11" s="2025">
        <f t="shared" si="5"/>
        <v>1E-4</v>
      </c>
      <c r="N11" s="2025">
        <f t="shared" si="5"/>
        <v>1.0500000000000001E-2</v>
      </c>
      <c r="O11" s="2025">
        <f t="shared" si="5"/>
        <v>1.0800000000000001E-2</v>
      </c>
      <c r="P11" s="2025">
        <f t="shared" si="15"/>
        <v>1E-4</v>
      </c>
      <c r="Q11" s="2904"/>
      <c r="R11" s="2024">
        <v>1.0430999999999999</v>
      </c>
      <c r="S11" s="2024">
        <v>1.0197000000000001</v>
      </c>
      <c r="T11" s="2024">
        <v>1.0109999999999999</v>
      </c>
      <c r="U11" s="2024">
        <v>1.0468999999999999</v>
      </c>
      <c r="V11" s="2024">
        <v>1.0382</v>
      </c>
      <c r="W11" s="2024">
        <f t="shared" si="16"/>
        <v>1.0109999999999999</v>
      </c>
      <c r="X11" s="2904"/>
      <c r="Y11" s="2025">
        <f>IF(D11=0,0,ROUND(AVERAGE(D11:D16)/100,4))</f>
        <v>8.6999999999999994E-3</v>
      </c>
      <c r="Z11" s="2025">
        <f t="shared" ref="Z11:AC11" si="19">IF(E11=0,0,ROUND(AVERAGE(E11:E16)/100,4))</f>
        <v>3.5000000000000001E-3</v>
      </c>
      <c r="AA11" s="2025">
        <f t="shared" si="19"/>
        <v>1.4E-3</v>
      </c>
      <c r="AB11" s="2025">
        <f t="shared" si="19"/>
        <v>9.4999999999999998E-3</v>
      </c>
      <c r="AC11" s="2025">
        <f t="shared" si="19"/>
        <v>6.8999999999999999E-3</v>
      </c>
      <c r="AD11" s="2025">
        <f t="shared" si="7"/>
        <v>1.4E-3</v>
      </c>
    </row>
    <row r="12" spans="1:30" s="2042" customFormat="1" ht="12.75">
      <c r="A12" s="2903" t="s">
        <v>2825</v>
      </c>
      <c r="B12" s="2028">
        <v>2022</v>
      </c>
      <c r="C12" s="2039">
        <v>1</v>
      </c>
      <c r="D12" s="2004">
        <v>0.89</v>
      </c>
      <c r="E12" s="2004">
        <v>0.44</v>
      </c>
      <c r="F12" s="2004">
        <v>0.37</v>
      </c>
      <c r="G12" s="2004">
        <v>0.96</v>
      </c>
      <c r="H12" s="2915">
        <v>0.64</v>
      </c>
      <c r="I12" s="2005">
        <f t="shared" si="4"/>
        <v>0.37</v>
      </c>
      <c r="J12" s="2904"/>
      <c r="K12" s="2040">
        <f t="shared" si="5"/>
        <v>8.8999999999999999E-3</v>
      </c>
      <c r="L12" s="2025">
        <f t="shared" si="5"/>
        <v>4.4000000000000003E-3</v>
      </c>
      <c r="M12" s="2025">
        <f t="shared" si="5"/>
        <v>3.7000000000000002E-3</v>
      </c>
      <c r="N12" s="2025">
        <f t="shared" si="5"/>
        <v>9.5999999999999992E-3</v>
      </c>
      <c r="O12" s="2025">
        <f t="shared" si="5"/>
        <v>6.4000000000000003E-3</v>
      </c>
      <c r="P12" s="2025">
        <f t="shared" si="15"/>
        <v>3.7000000000000002E-3</v>
      </c>
      <c r="Q12" s="2904"/>
      <c r="R12" s="2024">
        <v>1.0335000000000001</v>
      </c>
      <c r="S12" s="2024">
        <v>1.0182</v>
      </c>
      <c r="T12" s="2024">
        <v>1.0108999999999999</v>
      </c>
      <c r="U12" s="2024">
        <v>1.0361</v>
      </c>
      <c r="V12" s="2024">
        <v>1.0270999999999999</v>
      </c>
      <c r="W12" s="2024">
        <f t="shared" si="16"/>
        <v>1.0108999999999999</v>
      </c>
      <c r="X12" s="2904"/>
      <c r="Y12" s="2025">
        <f>IF(D12=0,0,ROUND(AVERAGE(D12:D16)/100,4))</f>
        <v>8.6E-3</v>
      </c>
      <c r="Z12" s="2025">
        <f t="shared" ref="Z12:AC12" si="20">IF(E12=0,0,ROUND(AVERAGE(E12:E16)/100,4))</f>
        <v>3.8999999999999998E-3</v>
      </c>
      <c r="AA12" s="2025">
        <f t="shared" si="20"/>
        <v>1.6999999999999999E-3</v>
      </c>
      <c r="AB12" s="2025">
        <f t="shared" si="20"/>
        <v>9.2999999999999992E-3</v>
      </c>
      <c r="AC12" s="2025">
        <f t="shared" si="20"/>
        <v>6.1000000000000004E-3</v>
      </c>
      <c r="AD12" s="2025">
        <f t="shared" si="7"/>
        <v>1.6999999999999999E-3</v>
      </c>
    </row>
    <row r="13" spans="1:30" s="2042" customFormat="1" ht="12.75">
      <c r="A13" s="2903" t="s">
        <v>2826</v>
      </c>
      <c r="B13" s="2028">
        <v>2021</v>
      </c>
      <c r="C13" s="2039">
        <v>4</v>
      </c>
      <c r="D13" s="2004">
        <v>1.03</v>
      </c>
      <c r="E13" s="2004">
        <v>0.24</v>
      </c>
      <c r="F13" s="2004">
        <v>7.0000000000000007E-2</v>
      </c>
      <c r="G13" s="2004">
        <v>1.17</v>
      </c>
      <c r="H13" s="2915">
        <v>0.55000000000000004</v>
      </c>
      <c r="I13" s="2005">
        <f t="shared" si="4"/>
        <v>7.0000000000000007E-2</v>
      </c>
      <c r="J13" s="2904"/>
      <c r="K13" s="2040">
        <f t="shared" si="5"/>
        <v>1.03E-2</v>
      </c>
      <c r="L13" s="2025">
        <f t="shared" si="5"/>
        <v>2.3999999999999998E-3</v>
      </c>
      <c r="M13" s="2025">
        <f t="shared" si="5"/>
        <v>7.000000000000001E-4</v>
      </c>
      <c r="N13" s="2025">
        <f t="shared" si="5"/>
        <v>1.1699999999999999E-2</v>
      </c>
      <c r="O13" s="2025">
        <f t="shared" si="5"/>
        <v>5.5000000000000005E-3</v>
      </c>
      <c r="P13" s="2025">
        <f t="shared" si="15"/>
        <v>7.000000000000001E-4</v>
      </c>
      <c r="Q13" s="2904"/>
      <c r="R13" s="2024">
        <v>1.0244</v>
      </c>
      <c r="S13" s="2024">
        <v>1.0138</v>
      </c>
      <c r="T13" s="2024">
        <v>1.0072000000000001</v>
      </c>
      <c r="U13" s="2024">
        <v>1.0262</v>
      </c>
      <c r="V13" s="2024">
        <v>1.0205</v>
      </c>
      <c r="W13" s="2024">
        <f t="shared" si="16"/>
        <v>1.0072000000000001</v>
      </c>
      <c r="X13" s="2904"/>
      <c r="Y13" s="2025">
        <f>IF(D13=0,0,ROUND(AVERAGE(D13:D16)/100,4))</f>
        <v>8.5000000000000006E-3</v>
      </c>
      <c r="Z13" s="2025">
        <f t="shared" ref="Z13:AC13" si="21">IF(E13=0,0,ROUND(AVERAGE(E13:E16)/100,4))</f>
        <v>3.8E-3</v>
      </c>
      <c r="AA13" s="2025">
        <f t="shared" si="21"/>
        <v>1.1999999999999999E-3</v>
      </c>
      <c r="AB13" s="2025">
        <f t="shared" si="21"/>
        <v>9.2999999999999992E-3</v>
      </c>
      <c r="AC13" s="2025">
        <f t="shared" si="21"/>
        <v>6.0000000000000001E-3</v>
      </c>
      <c r="AD13" s="2025">
        <f t="shared" si="7"/>
        <v>1.1999999999999999E-3</v>
      </c>
    </row>
    <row r="14" spans="1:30" s="2042" customFormat="1" ht="12.75">
      <c r="A14" s="2903" t="s">
        <v>2827</v>
      </c>
      <c r="B14" s="2028">
        <v>2021</v>
      </c>
      <c r="C14" s="2039">
        <v>3</v>
      </c>
      <c r="D14" s="2004">
        <v>0.47</v>
      </c>
      <c r="E14" s="2004">
        <v>0.41</v>
      </c>
      <c r="F14" s="2004">
        <v>0.24</v>
      </c>
      <c r="G14" s="2004">
        <v>0.48</v>
      </c>
      <c r="H14" s="2915">
        <v>0.48</v>
      </c>
      <c r="I14" s="2005">
        <f t="shared" si="4"/>
        <v>0.24</v>
      </c>
      <c r="J14" s="2904"/>
      <c r="K14" s="2040">
        <f t="shared" si="5"/>
        <v>4.6999999999999993E-3</v>
      </c>
      <c r="L14" s="2025">
        <f t="shared" si="5"/>
        <v>4.0999999999999995E-3</v>
      </c>
      <c r="M14" s="2025">
        <f t="shared" si="5"/>
        <v>2.3999999999999998E-3</v>
      </c>
      <c r="N14" s="2025">
        <f t="shared" si="5"/>
        <v>4.7999999999999996E-3</v>
      </c>
      <c r="O14" s="2025">
        <f t="shared" si="5"/>
        <v>4.7999999999999996E-3</v>
      </c>
      <c r="P14" s="2025">
        <f t="shared" si="15"/>
        <v>2.3999999999999998E-3</v>
      </c>
      <c r="Q14" s="2904"/>
      <c r="R14" s="2024">
        <v>1.0139</v>
      </c>
      <c r="S14" s="2024">
        <v>1.0113000000000001</v>
      </c>
      <c r="T14" s="2024">
        <v>1.0065</v>
      </c>
      <c r="U14" s="2024">
        <v>1.0143</v>
      </c>
      <c r="V14" s="2024">
        <v>1.0148999999999999</v>
      </c>
      <c r="W14" s="2024">
        <f t="shared" si="16"/>
        <v>1.0065</v>
      </c>
      <c r="X14" s="2904"/>
      <c r="Y14" s="2025">
        <f>IF(D14=0,0,ROUND(AVERAGE(D14:D16)/100,4))</f>
        <v>7.9000000000000008E-3</v>
      </c>
      <c r="Z14" s="2025">
        <f>IF(E14=0,0,ROUND(AVERAGE(E14:E16)/100,4))</f>
        <v>4.3E-3</v>
      </c>
      <c r="AA14" s="2025">
        <f>IF(F14=0,0,ROUND(AVERAGE(F14:F16)/100,4))</f>
        <v>1.2999999999999999E-3</v>
      </c>
      <c r="AB14" s="2025">
        <f>IF(G14=0,0,ROUND(AVERAGE(G14:G16)/100,4))</f>
        <v>8.5000000000000006E-3</v>
      </c>
      <c r="AC14" s="2025">
        <f>IF(H14=0,0,ROUND(AVERAGE(H14:H16)/100,4))</f>
        <v>6.1999999999999998E-3</v>
      </c>
      <c r="AD14" s="2025">
        <f t="shared" si="7"/>
        <v>1.2999999999999999E-3</v>
      </c>
    </row>
    <row r="15" spans="1:30" s="2042" customFormat="1" ht="12.75">
      <c r="A15" s="2903" t="s">
        <v>2828</v>
      </c>
      <c r="B15" s="2028">
        <v>2021</v>
      </c>
      <c r="C15" s="2039">
        <v>2</v>
      </c>
      <c r="D15" s="2004">
        <v>0.92</v>
      </c>
      <c r="E15" s="2004">
        <v>0.72</v>
      </c>
      <c r="F15" s="2004">
        <v>0.41</v>
      </c>
      <c r="G15" s="2004">
        <v>0.95</v>
      </c>
      <c r="H15" s="2915">
        <v>1.01</v>
      </c>
      <c r="I15" s="2005">
        <f t="shared" si="4"/>
        <v>0.41</v>
      </c>
      <c r="J15" s="2904"/>
      <c r="K15" s="2040">
        <f t="shared" si="5"/>
        <v>9.1999999999999998E-3</v>
      </c>
      <c r="L15" s="2025">
        <f t="shared" si="5"/>
        <v>7.1999999999999998E-3</v>
      </c>
      <c r="M15" s="2025">
        <f t="shared" si="5"/>
        <v>4.0999999999999995E-3</v>
      </c>
      <c r="N15" s="2025">
        <f t="shared" si="5"/>
        <v>9.4999999999999998E-3</v>
      </c>
      <c r="O15" s="2025">
        <f t="shared" si="5"/>
        <v>1.01E-2</v>
      </c>
      <c r="P15" s="2025">
        <f t="shared" si="15"/>
        <v>4.0999999999999995E-3</v>
      </c>
      <c r="Q15" s="2904"/>
      <c r="R15" s="2024">
        <v>1.0092000000000001</v>
      </c>
      <c r="S15" s="2024">
        <v>1.0072000000000001</v>
      </c>
      <c r="T15" s="2024">
        <v>1.0041</v>
      </c>
      <c r="U15" s="2024">
        <v>1.0095000000000001</v>
      </c>
      <c r="V15" s="2024">
        <v>1.0101</v>
      </c>
      <c r="W15" s="2024">
        <f t="shared" si="16"/>
        <v>1.0041</v>
      </c>
      <c r="X15" s="2904"/>
      <c r="Y15" s="2025">
        <f>IF(D15=0,0,ROUND(AVERAGE(D15:D16)/100,4))</f>
        <v>9.4999999999999998E-3</v>
      </c>
      <c r="Z15" s="2025">
        <f>IF(E15=0,0,ROUND(AVERAGE(E15:E16)/100,4))</f>
        <v>4.4000000000000003E-3</v>
      </c>
      <c r="AA15" s="2025">
        <f>IF(F15=0,0,ROUND(AVERAGE(F15:F16)/100,4))</f>
        <v>8.0000000000000004E-4</v>
      </c>
      <c r="AB15" s="2025">
        <f>IF(G15=0,0,ROUND(AVERAGE(G15:G16)/100,4))</f>
        <v>1.03E-2</v>
      </c>
      <c r="AC15" s="2025">
        <f>IF(H15=0,0,ROUND(AVERAGE(H15:H16)/100,4))</f>
        <v>6.8999999999999999E-3</v>
      </c>
      <c r="AD15" s="2025">
        <f t="shared" si="7"/>
        <v>8.0000000000000004E-4</v>
      </c>
    </row>
    <row r="16" spans="1:30" s="2926" customFormat="1" thickBot="1">
      <c r="A16" s="2916" t="s">
        <v>2829</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0" t="s">
        <v>3374</v>
      </c>
    </row>
    <row r="19" spans="1:30">
      <c r="I19" s="1402" t="s">
        <v>2830</v>
      </c>
    </row>
    <row r="21" spans="1:30" s="2006" customFormat="1" ht="12.75">
      <c r="B21" s="2927" t="s">
        <v>2831</v>
      </c>
      <c r="C21" s="2928"/>
      <c r="D21" s="2928"/>
      <c r="E21" s="2928"/>
      <c r="F21" s="2928"/>
      <c r="G21" s="2928"/>
      <c r="H21" s="2928"/>
      <c r="I21" s="2928"/>
      <c r="J21" s="2894"/>
      <c r="K21" s="2928" t="s">
        <v>2832</v>
      </c>
      <c r="L21" s="2928"/>
      <c r="M21" s="2928"/>
      <c r="N21" s="2928"/>
      <c r="O21" s="2928"/>
      <c r="P21" s="2928"/>
      <c r="Q21" s="2894"/>
      <c r="R21" s="3677" t="s">
        <v>2833</v>
      </c>
      <c r="S21" s="3678"/>
      <c r="T21" s="3678"/>
      <c r="U21" s="3678"/>
      <c r="V21" s="3678"/>
      <c r="W21" s="3678"/>
      <c r="X21" s="2894"/>
      <c r="Y21" s="3677" t="s">
        <v>2834</v>
      </c>
      <c r="Z21" s="3678"/>
      <c r="AA21" s="3678"/>
      <c r="AB21" s="3678"/>
      <c r="AC21" s="3678"/>
      <c r="AD21" s="3678"/>
    </row>
    <row r="22" spans="1:30" s="2007" customFormat="1" ht="14.25" thickBot="1">
      <c r="B22" s="2879"/>
      <c r="C22" s="2880"/>
      <c r="D22" s="2008" t="s">
        <v>2835</v>
      </c>
      <c r="E22" s="2009" t="s">
        <v>2836</v>
      </c>
      <c r="F22" s="2009" t="s">
        <v>2837</v>
      </c>
      <c r="G22" s="2009" t="s">
        <v>2838</v>
      </c>
      <c r="H22" s="2009"/>
      <c r="I22" s="2009" t="s">
        <v>2839</v>
      </c>
      <c r="J22" s="2881"/>
      <c r="K22" s="2008" t="s">
        <v>2835</v>
      </c>
      <c r="L22" s="2009" t="s">
        <v>2836</v>
      </c>
      <c r="M22" s="2009" t="s">
        <v>2837</v>
      </c>
      <c r="N22" s="2009" t="s">
        <v>2838</v>
      </c>
      <c r="O22" s="2009"/>
      <c r="P22" s="2009" t="s">
        <v>2839</v>
      </c>
      <c r="Q22" s="2881"/>
      <c r="R22" s="2008" t="s">
        <v>2835</v>
      </c>
      <c r="S22" s="2009" t="s">
        <v>2836</v>
      </c>
      <c r="T22" s="2009" t="s">
        <v>2837</v>
      </c>
      <c r="U22" s="2009" t="s">
        <v>2838</v>
      </c>
      <c r="V22" s="2009"/>
      <c r="W22" s="2009" t="s">
        <v>2839</v>
      </c>
      <c r="X22" s="2881"/>
      <c r="Y22" s="2008" t="s">
        <v>2835</v>
      </c>
      <c r="Z22" s="2009" t="s">
        <v>2836</v>
      </c>
      <c r="AA22" s="2009" t="s">
        <v>2837</v>
      </c>
      <c r="AB22" s="2009" t="s">
        <v>2838</v>
      </c>
      <c r="AC22" s="2009"/>
      <c r="AD22" s="2009" t="s">
        <v>2839</v>
      </c>
    </row>
    <row r="23" spans="1:30" s="2884" customFormat="1" ht="12.75">
      <c r="A23" s="2882" t="s">
        <v>2840</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6" customFormat="1" ht="12.75">
      <c r="B24" s="2022"/>
      <c r="J24" s="2894"/>
      <c r="K24" s="2895"/>
      <c r="L24" s="2896"/>
      <c r="M24" s="2896"/>
      <c r="N24" s="2896"/>
      <c r="O24" s="2896"/>
      <c r="P24" s="2896"/>
      <c r="Q24" s="2894"/>
      <c r="R24" s="2024"/>
      <c r="S24" s="2897"/>
      <c r="T24" s="2898"/>
      <c r="U24" s="2024"/>
      <c r="V24" s="2899"/>
      <c r="W24" s="2024"/>
      <c r="X24" s="2894"/>
      <c r="Y24" s="2025"/>
      <c r="Z24" s="2900"/>
      <c r="AA24" s="2901"/>
      <c r="AB24" s="2025"/>
      <c r="AC24" s="2902"/>
      <c r="AD24" s="2025"/>
    </row>
    <row r="25" spans="1:30" s="2042" customFormat="1" ht="12.75">
      <c r="A25" s="2903" t="s">
        <v>3377</v>
      </c>
      <c r="B25" s="2028">
        <v>2023</v>
      </c>
      <c r="C25" s="2039">
        <v>4</v>
      </c>
      <c r="D25" s="2004"/>
      <c r="E25" s="2004">
        <v>0</v>
      </c>
      <c r="F25" s="2004">
        <v>0</v>
      </c>
      <c r="G25" s="2004">
        <v>0</v>
      </c>
      <c r="H25" s="2004"/>
      <c r="I25" s="2005">
        <f t="shared" ref="I25:I36" si="26">F25</f>
        <v>0</v>
      </c>
      <c r="J25" s="2904"/>
      <c r="K25" s="2040"/>
      <c r="L25" s="2025">
        <f t="shared" ref="L25:N36" si="27">E25/100</f>
        <v>0</v>
      </c>
      <c r="M25" s="2025">
        <f t="shared" si="27"/>
        <v>0</v>
      </c>
      <c r="N25" s="2025">
        <f t="shared" si="27"/>
        <v>0</v>
      </c>
      <c r="O25" s="2025"/>
      <c r="P25" s="2025">
        <f>M25</f>
        <v>0</v>
      </c>
      <c r="Q25" s="2904"/>
      <c r="R25" s="2024"/>
      <c r="S25" s="2024">
        <v>1.0286999999999999</v>
      </c>
      <c r="T25" s="2024">
        <v>1.0164</v>
      </c>
      <c r="U25" s="2024">
        <v>1.0506</v>
      </c>
      <c r="V25" s="2024"/>
      <c r="W25" s="2024">
        <f>T25</f>
        <v>1.0164</v>
      </c>
      <c r="X25" s="2904"/>
      <c r="Y25" s="2025"/>
      <c r="Z25" s="2900">
        <f>IF(E25=0,0,ROUND(AVERAGE(E25:E36)/100,4))</f>
        <v>0</v>
      </c>
      <c r="AA25" s="2900">
        <f>IF(F25=0,0,ROUND(AVERAGE(F25:F36)/100,4))</f>
        <v>0</v>
      </c>
      <c r="AB25" s="2900">
        <f>IF(G25=0,0,ROUND(AVERAGE(G25:G36)/100,4))</f>
        <v>0</v>
      </c>
      <c r="AC25" s="2902"/>
      <c r="AD25" s="2025">
        <f>IF(I25=0,0,ROUND(AVERAGE(I25:I36)/100,4))</f>
        <v>0</v>
      </c>
    </row>
    <row r="26" spans="1:30" s="2042" customFormat="1" ht="12.75">
      <c r="A26" s="2903" t="s">
        <v>3378</v>
      </c>
      <c r="B26" s="2028">
        <v>2023</v>
      </c>
      <c r="C26" s="2039">
        <v>3</v>
      </c>
      <c r="D26" s="2004"/>
      <c r="E26" s="2004">
        <v>0</v>
      </c>
      <c r="F26" s="2004">
        <v>0</v>
      </c>
      <c r="G26" s="2004">
        <v>0</v>
      </c>
      <c r="H26" s="2915"/>
      <c r="I26" s="2005">
        <f t="shared" si="26"/>
        <v>0</v>
      </c>
      <c r="J26" s="2904"/>
      <c r="K26" s="2040"/>
      <c r="L26" s="2025">
        <f t="shared" ref="L26:L28" si="28">E26/100</f>
        <v>0</v>
      </c>
      <c r="M26" s="2025">
        <f t="shared" ref="M26:M28" si="29">F26/100</f>
        <v>0</v>
      </c>
      <c r="N26" s="2025">
        <f t="shared" ref="N26:N28" si="30">G26/100</f>
        <v>0</v>
      </c>
      <c r="O26" s="2025"/>
      <c r="P26" s="2025">
        <f t="shared" ref="P26:P28" si="31">M26</f>
        <v>0</v>
      </c>
      <c r="Q26" s="2904"/>
      <c r="R26" s="2024"/>
      <c r="S26" s="2024">
        <v>1.0286999999999999</v>
      </c>
      <c r="T26" s="2024">
        <v>1.0164</v>
      </c>
      <c r="U26" s="2024">
        <v>1.0506</v>
      </c>
      <c r="V26" s="2024"/>
      <c r="W26" s="2024">
        <f t="shared" ref="W26:W28" si="32">T26</f>
        <v>1.0164</v>
      </c>
      <c r="X26" s="2904"/>
      <c r="Y26" s="2025"/>
      <c r="Z26" s="2900"/>
      <c r="AA26" s="2025"/>
      <c r="AB26" s="2025"/>
      <c r="AC26" s="2902"/>
      <c r="AD26" s="2025"/>
    </row>
    <row r="27" spans="1:30" s="2042" customFormat="1" ht="12.75">
      <c r="A27" s="2903" t="s">
        <v>3376</v>
      </c>
      <c r="B27" s="2028">
        <v>2023</v>
      </c>
      <c r="C27" s="2039">
        <v>2</v>
      </c>
      <c r="D27" s="2004"/>
      <c r="E27" s="2004">
        <v>0</v>
      </c>
      <c r="F27" s="2004">
        <v>0</v>
      </c>
      <c r="G27" s="2004">
        <v>0</v>
      </c>
      <c r="H27" s="2915"/>
      <c r="I27" s="2005">
        <f t="shared" si="26"/>
        <v>0</v>
      </c>
      <c r="J27" s="2904"/>
      <c r="K27" s="2040"/>
      <c r="L27" s="2025">
        <f t="shared" si="28"/>
        <v>0</v>
      </c>
      <c r="M27" s="2025">
        <f t="shared" si="29"/>
        <v>0</v>
      </c>
      <c r="N27" s="2025">
        <f t="shared" si="30"/>
        <v>0</v>
      </c>
      <c r="O27" s="2025"/>
      <c r="P27" s="2025">
        <f t="shared" si="31"/>
        <v>0</v>
      </c>
      <c r="Q27" s="2904"/>
      <c r="R27" s="2024"/>
      <c r="S27" s="2024">
        <v>1.0286999999999999</v>
      </c>
      <c r="T27" s="2024">
        <v>1.0164</v>
      </c>
      <c r="U27" s="2024">
        <v>1.0506</v>
      </c>
      <c r="V27" s="2024"/>
      <c r="W27" s="2024">
        <f t="shared" si="32"/>
        <v>1.0164</v>
      </c>
      <c r="X27" s="2904"/>
      <c r="Y27" s="2025"/>
      <c r="Z27" s="2900"/>
      <c r="AA27" s="2025"/>
      <c r="AB27" s="2025"/>
      <c r="AC27" s="2902"/>
      <c r="AD27" s="2025"/>
    </row>
    <row r="28" spans="1:30" s="2042" customFormat="1" ht="12.75">
      <c r="A28" s="2903" t="s">
        <v>2823</v>
      </c>
      <c r="B28" s="2028">
        <v>2023</v>
      </c>
      <c r="C28" s="2039">
        <v>1</v>
      </c>
      <c r="D28" s="2004"/>
      <c r="E28" s="2004">
        <v>0</v>
      </c>
      <c r="F28" s="2004">
        <v>0</v>
      </c>
      <c r="G28" s="2004">
        <v>0</v>
      </c>
      <c r="H28" s="2915"/>
      <c r="I28" s="2005">
        <f t="shared" si="26"/>
        <v>0</v>
      </c>
      <c r="J28" s="2904"/>
      <c r="K28" s="2040"/>
      <c r="L28" s="2025">
        <f t="shared" si="28"/>
        <v>0</v>
      </c>
      <c r="M28" s="2025">
        <f t="shared" si="29"/>
        <v>0</v>
      </c>
      <c r="N28" s="2025">
        <f t="shared" si="30"/>
        <v>0</v>
      </c>
      <c r="O28" s="2025"/>
      <c r="P28" s="2025">
        <f t="shared" si="31"/>
        <v>0</v>
      </c>
      <c r="Q28" s="2904"/>
      <c r="R28" s="2024"/>
      <c r="S28" s="2024">
        <v>1.0286999999999999</v>
      </c>
      <c r="T28" s="2024">
        <v>1.0164</v>
      </c>
      <c r="U28" s="2024">
        <v>1.0506</v>
      </c>
      <c r="V28" s="2024"/>
      <c r="W28" s="2024">
        <f t="shared" si="32"/>
        <v>1.0164</v>
      </c>
      <c r="X28" s="2904"/>
      <c r="Y28" s="2025"/>
      <c r="Z28" s="2900"/>
      <c r="AA28" s="2025"/>
      <c r="AB28" s="2025"/>
      <c r="AC28" s="2902"/>
      <c r="AD28" s="2025"/>
    </row>
    <row r="29" spans="1:30" s="2914" customFormat="1" ht="12.75">
      <c r="A29" s="2905" t="s">
        <v>3372</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v>1.0286999999999999</v>
      </c>
      <c r="T29" s="2911">
        <v>1.0164</v>
      </c>
      <c r="U29" s="2911">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2" customFormat="1" ht="12.75">
      <c r="A30" s="2903" t="s">
        <v>3373</v>
      </c>
      <c r="B30" s="2028">
        <v>2022</v>
      </c>
      <c r="C30" s="2039">
        <v>3</v>
      </c>
      <c r="D30" s="2004"/>
      <c r="E30" s="2004">
        <v>0.3</v>
      </c>
      <c r="F30" s="2004">
        <v>0.28999999999999998</v>
      </c>
      <c r="G30" s="2004">
        <v>0.83</v>
      </c>
      <c r="H30" s="2915"/>
      <c r="I30" s="2005">
        <f t="shared" si="26"/>
        <v>0.28999999999999998</v>
      </c>
      <c r="J30" s="2904"/>
      <c r="K30" s="2040"/>
      <c r="L30" s="2025">
        <f t="shared" si="27"/>
        <v>3.0000000000000001E-3</v>
      </c>
      <c r="M30" s="2025">
        <f t="shared" si="27"/>
        <v>2.8999999999999998E-3</v>
      </c>
      <c r="N30" s="2025">
        <f t="shared" si="27"/>
        <v>8.3000000000000001E-3</v>
      </c>
      <c r="O30" s="2025"/>
      <c r="P30" s="2025">
        <f t="shared" si="33"/>
        <v>2.8999999999999998E-3</v>
      </c>
      <c r="Q30" s="2904"/>
      <c r="R30" s="2024"/>
      <c r="S30" s="2024">
        <v>1.0241</v>
      </c>
      <c r="T30" s="2024">
        <v>1.0144</v>
      </c>
      <c r="U30" s="2024">
        <v>1.0467</v>
      </c>
      <c r="V30" s="2024"/>
      <c r="W30" s="2024">
        <f t="shared" si="34"/>
        <v>1.0144</v>
      </c>
      <c r="X30" s="2904"/>
      <c r="Y30" s="2025"/>
      <c r="Z30" s="2900">
        <f t="shared" si="35"/>
        <v>3.8999999999999998E-3</v>
      </c>
      <c r="AA30" s="2901">
        <f t="shared" si="35"/>
        <v>2.7000000000000001E-3</v>
      </c>
      <c r="AB30" s="2025">
        <f t="shared" si="35"/>
        <v>7.9000000000000008E-3</v>
      </c>
      <c r="AC30" s="2902"/>
      <c r="AD30" s="2025">
        <f t="shared" si="35"/>
        <v>2.7000000000000001E-3</v>
      </c>
    </row>
    <row r="31" spans="1:30" s="2042" customFormat="1" ht="12.75">
      <c r="A31" s="2903" t="s">
        <v>3362</v>
      </c>
      <c r="B31" s="2028">
        <v>2022</v>
      </c>
      <c r="C31" s="2039">
        <v>2</v>
      </c>
      <c r="D31" s="2004"/>
      <c r="E31" s="2004">
        <v>-0.11</v>
      </c>
      <c r="F31" s="2004">
        <v>-0.13</v>
      </c>
      <c r="G31" s="2004">
        <v>0.53</v>
      </c>
      <c r="H31" s="2915"/>
      <c r="I31" s="2005">
        <f t="shared" si="26"/>
        <v>-0.13</v>
      </c>
      <c r="J31" s="2904"/>
      <c r="K31" s="2040"/>
      <c r="L31" s="2025">
        <f t="shared" si="27"/>
        <v>-1.1000000000000001E-3</v>
      </c>
      <c r="M31" s="2025">
        <f t="shared" si="27"/>
        <v>-1.2999999999999999E-3</v>
      </c>
      <c r="N31" s="2025">
        <f t="shared" si="27"/>
        <v>5.3E-3</v>
      </c>
      <c r="O31" s="2025"/>
      <c r="P31" s="2025">
        <f t="shared" si="33"/>
        <v>-1.2999999999999999E-3</v>
      </c>
      <c r="Q31" s="2904"/>
      <c r="R31" s="2024"/>
      <c r="S31" s="2024">
        <v>1.0210999999999999</v>
      </c>
      <c r="T31" s="2024">
        <v>1.0114000000000001</v>
      </c>
      <c r="U31" s="2024">
        <v>1.0381</v>
      </c>
      <c r="V31" s="2024"/>
      <c r="W31" s="2024">
        <f t="shared" si="34"/>
        <v>1.0114000000000001</v>
      </c>
      <c r="X31" s="2904"/>
      <c r="Y31" s="2025"/>
      <c r="Z31" s="2900">
        <f t="shared" si="35"/>
        <v>4.1000000000000003E-3</v>
      </c>
      <c r="AA31" s="2901">
        <f t="shared" si="35"/>
        <v>2.7000000000000001E-3</v>
      </c>
      <c r="AB31" s="2025">
        <f t="shared" si="35"/>
        <v>7.9000000000000008E-3</v>
      </c>
      <c r="AC31" s="2902"/>
      <c r="AD31" s="2025">
        <f t="shared" si="35"/>
        <v>2.7000000000000001E-3</v>
      </c>
    </row>
    <row r="32" spans="1:30" s="2042" customFormat="1" ht="12.75">
      <c r="A32" s="2903" t="s">
        <v>2841</v>
      </c>
      <c r="B32" s="2028">
        <v>2022</v>
      </c>
      <c r="C32" s="2039">
        <v>1</v>
      </c>
      <c r="D32" s="2004"/>
      <c r="E32" s="2004">
        <v>0.6</v>
      </c>
      <c r="F32" s="2004">
        <v>0.45</v>
      </c>
      <c r="G32" s="2004">
        <v>0.53</v>
      </c>
      <c r="H32" s="2915"/>
      <c r="I32" s="2005">
        <f t="shared" si="26"/>
        <v>0.45</v>
      </c>
      <c r="J32" s="2904"/>
      <c r="K32" s="2040"/>
      <c r="L32" s="2025">
        <f t="shared" si="27"/>
        <v>6.0000000000000001E-3</v>
      </c>
      <c r="M32" s="2025">
        <f t="shared" si="27"/>
        <v>4.5000000000000005E-3</v>
      </c>
      <c r="N32" s="2025">
        <f t="shared" si="27"/>
        <v>5.3E-3</v>
      </c>
      <c r="O32" s="2025"/>
      <c r="P32" s="2025">
        <f t="shared" si="33"/>
        <v>4.5000000000000005E-3</v>
      </c>
      <c r="Q32" s="2904"/>
      <c r="R32" s="2024"/>
      <c r="S32" s="2024">
        <v>1.0222</v>
      </c>
      <c r="T32" s="2024">
        <v>1.0127999999999999</v>
      </c>
      <c r="U32" s="2024">
        <v>1.0326</v>
      </c>
      <c r="V32" s="2024"/>
      <c r="W32" s="2024">
        <f t="shared" si="34"/>
        <v>1.0127999999999999</v>
      </c>
      <c r="X32" s="2904"/>
      <c r="Y32" s="2025"/>
      <c r="Z32" s="2900">
        <f t="shared" si="35"/>
        <v>5.1000000000000004E-3</v>
      </c>
      <c r="AA32" s="2901">
        <f t="shared" si="35"/>
        <v>3.5000000000000001E-3</v>
      </c>
      <c r="AB32" s="2025">
        <f t="shared" si="35"/>
        <v>8.3999999999999995E-3</v>
      </c>
      <c r="AC32" s="2902"/>
      <c r="AD32" s="2025">
        <f t="shared" si="35"/>
        <v>3.5000000000000001E-3</v>
      </c>
    </row>
    <row r="33" spans="1:30" s="2042" customFormat="1" ht="12.75">
      <c r="A33" s="2903" t="s">
        <v>2842</v>
      </c>
      <c r="B33" s="2028">
        <v>2021</v>
      </c>
      <c r="C33" s="2039">
        <v>4</v>
      </c>
      <c r="D33" s="2004"/>
      <c r="E33" s="2004">
        <v>0.57999999999999996</v>
      </c>
      <c r="F33" s="2004">
        <v>0.08</v>
      </c>
      <c r="G33" s="2004">
        <v>0.68</v>
      </c>
      <c r="H33" s="2915"/>
      <c r="I33" s="2005">
        <f t="shared" si="26"/>
        <v>0.08</v>
      </c>
      <c r="J33" s="2904"/>
      <c r="K33" s="2040"/>
      <c r="L33" s="2025">
        <f t="shared" si="27"/>
        <v>5.7999999999999996E-3</v>
      </c>
      <c r="M33" s="2025">
        <f t="shared" si="27"/>
        <v>8.0000000000000004E-4</v>
      </c>
      <c r="N33" s="2025">
        <f t="shared" si="27"/>
        <v>6.8000000000000005E-3</v>
      </c>
      <c r="O33" s="2025"/>
      <c r="P33" s="2025">
        <f t="shared" si="33"/>
        <v>8.0000000000000004E-4</v>
      </c>
      <c r="Q33" s="2904"/>
      <c r="R33" s="2024"/>
      <c r="S33" s="2024">
        <v>1.0161</v>
      </c>
      <c r="T33" s="2024">
        <v>1.0082</v>
      </c>
      <c r="U33" s="2024">
        <v>1.0270999999999999</v>
      </c>
      <c r="V33" s="2024"/>
      <c r="W33" s="2024">
        <f t="shared" si="34"/>
        <v>1.0082</v>
      </c>
      <c r="X33" s="2904"/>
      <c r="Y33" s="2025"/>
      <c r="Z33" s="2900">
        <f t="shared" si="35"/>
        <v>4.8999999999999998E-3</v>
      </c>
      <c r="AA33" s="2901">
        <f t="shared" si="35"/>
        <v>3.3E-3</v>
      </c>
      <c r="AB33" s="2025">
        <f t="shared" si="35"/>
        <v>9.1999999999999998E-3</v>
      </c>
      <c r="AC33" s="2902"/>
      <c r="AD33" s="2025">
        <f t="shared" si="35"/>
        <v>3.3E-3</v>
      </c>
    </row>
    <row r="34" spans="1:30" s="2042" customFormat="1" ht="12.75">
      <c r="A34" s="2903" t="s">
        <v>2843</v>
      </c>
      <c r="B34" s="2028">
        <v>2021</v>
      </c>
      <c r="C34" s="2039">
        <v>3</v>
      </c>
      <c r="D34" s="2004"/>
      <c r="E34" s="2004">
        <v>0.47</v>
      </c>
      <c r="F34" s="2004">
        <v>0.28000000000000003</v>
      </c>
      <c r="G34" s="2004">
        <v>0.91</v>
      </c>
      <c r="H34" s="2915"/>
      <c r="I34" s="2005">
        <f t="shared" si="26"/>
        <v>0.28000000000000003</v>
      </c>
      <c r="J34" s="2904"/>
      <c r="K34" s="2040"/>
      <c r="L34" s="2025">
        <f t="shared" si="27"/>
        <v>4.6999999999999993E-3</v>
      </c>
      <c r="M34" s="2025">
        <f t="shared" si="27"/>
        <v>2.8000000000000004E-3</v>
      </c>
      <c r="N34" s="2025">
        <f t="shared" si="27"/>
        <v>9.1000000000000004E-3</v>
      </c>
      <c r="O34" s="2025"/>
      <c r="P34" s="2025">
        <f t="shared" si="33"/>
        <v>2.8000000000000004E-3</v>
      </c>
      <c r="Q34" s="2904"/>
      <c r="R34" s="2024"/>
      <c r="S34" s="2024">
        <v>1.0102</v>
      </c>
      <c r="T34" s="2024">
        <v>1.0074000000000001</v>
      </c>
      <c r="U34" s="2024">
        <v>1.0202</v>
      </c>
      <c r="V34" s="2024"/>
      <c r="W34" s="2024">
        <f t="shared" si="34"/>
        <v>1.0074000000000001</v>
      </c>
      <c r="X34" s="2904"/>
      <c r="Y34" s="2025"/>
      <c r="Z34" s="2900">
        <f t="shared" si="35"/>
        <v>4.5999999999999999E-3</v>
      </c>
      <c r="AA34" s="2901">
        <f t="shared" si="35"/>
        <v>4.1000000000000003E-3</v>
      </c>
      <c r="AB34" s="2025">
        <f t="shared" si="35"/>
        <v>0.01</v>
      </c>
      <c r="AC34" s="2902"/>
      <c r="AD34" s="2025">
        <f t="shared" si="35"/>
        <v>4.1000000000000003E-3</v>
      </c>
    </row>
    <row r="35" spans="1:30" s="2042" customFormat="1" ht="12.75">
      <c r="A35" s="2903" t="s">
        <v>2844</v>
      </c>
      <c r="B35" s="2028">
        <v>2021</v>
      </c>
      <c r="C35" s="2039">
        <v>2</v>
      </c>
      <c r="D35" s="2004"/>
      <c r="E35" s="2004">
        <v>0.55000000000000004</v>
      </c>
      <c r="F35" s="2004">
        <v>0.46</v>
      </c>
      <c r="G35" s="2004">
        <v>1.1000000000000001</v>
      </c>
      <c r="H35" s="2915"/>
      <c r="I35" s="2005">
        <f t="shared" si="26"/>
        <v>0.46</v>
      </c>
      <c r="J35" s="2904"/>
      <c r="K35" s="2040"/>
      <c r="L35" s="2025">
        <f t="shared" si="27"/>
        <v>5.5000000000000005E-3</v>
      </c>
      <c r="M35" s="2025">
        <f t="shared" si="27"/>
        <v>4.5999999999999999E-3</v>
      </c>
      <c r="N35" s="2025">
        <f t="shared" si="27"/>
        <v>1.1000000000000001E-2</v>
      </c>
      <c r="O35" s="2025"/>
      <c r="P35" s="2025">
        <f t="shared" si="33"/>
        <v>4.5999999999999999E-3</v>
      </c>
      <c r="Q35" s="2904"/>
      <c r="R35" s="2024"/>
      <c r="S35" s="2024">
        <v>1.0055000000000001</v>
      </c>
      <c r="T35" s="2024">
        <v>1.0045999999999999</v>
      </c>
      <c r="U35" s="2024">
        <v>1.0109999999999999</v>
      </c>
      <c r="V35" s="2024"/>
      <c r="W35" s="2024">
        <f t="shared" si="34"/>
        <v>1.0045999999999999</v>
      </c>
      <c r="X35" s="2904"/>
      <c r="Y35" s="2025"/>
      <c r="Z35" s="2900">
        <f t="shared" si="35"/>
        <v>4.4999999999999997E-3</v>
      </c>
      <c r="AA35" s="2901">
        <f t="shared" si="35"/>
        <v>4.7000000000000002E-3</v>
      </c>
      <c r="AB35" s="2025">
        <f t="shared" si="35"/>
        <v>1.04E-2</v>
      </c>
      <c r="AC35" s="2902"/>
      <c r="AD35" s="2025">
        <f t="shared" si="35"/>
        <v>4.7000000000000002E-3</v>
      </c>
    </row>
    <row r="36" spans="1:30" s="2926" customFormat="1" thickBot="1">
      <c r="A36" s="2916" t="s">
        <v>2829</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0" t="s">
        <v>3375</v>
      </c>
    </row>
  </sheetData>
  <sheetProtection password="CEE9" sheet="1" objects="1" scenarios="1"/>
  <mergeCells count="4">
    <mergeCell ref="R21:W21"/>
    <mergeCell ref="Y21:AD21"/>
    <mergeCell ref="R1:W1"/>
    <mergeCell ref="Y1:AD1"/>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682" t="s">
        <v>452</v>
      </c>
      <c r="C1" s="3682"/>
      <c r="D1" s="3682"/>
      <c r="E1" s="3682"/>
      <c r="F1" s="3682"/>
      <c r="G1" s="3678" t="s">
        <v>453</v>
      </c>
      <c r="H1" s="3678"/>
      <c r="I1" s="3678"/>
      <c r="J1" s="3678"/>
      <c r="K1" s="3678"/>
      <c r="L1" s="3678"/>
      <c r="N1" s="3678" t="s">
        <v>454</v>
      </c>
      <c r="O1" s="3678"/>
      <c r="P1" s="3678"/>
      <c r="Q1" s="3678"/>
      <c r="S1" s="3678" t="s">
        <v>455</v>
      </c>
      <c r="T1" s="3678"/>
      <c r="U1" s="3678"/>
      <c r="V1" s="3678"/>
      <c r="X1" s="3677" t="s">
        <v>456</v>
      </c>
      <c r="Y1" s="3678"/>
      <c r="Z1" s="3678"/>
      <c r="AA1" s="3678"/>
      <c r="AB1" s="3678"/>
      <c r="AD1" s="3677" t="s">
        <v>457</v>
      </c>
      <c r="AE1" s="3678"/>
      <c r="AF1" s="3678"/>
      <c r="AG1" s="3678"/>
      <c r="AH1" s="3678"/>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3370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8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8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8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8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8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8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8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8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8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8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8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8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67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8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8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8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67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8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8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8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68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8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8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8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67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8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8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68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67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8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8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8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67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8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8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8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67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8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8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8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67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8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8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8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67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8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8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8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67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8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8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8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67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8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8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8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67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8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8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8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67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8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8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68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67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8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8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68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2"/>
  <sheetViews>
    <sheetView workbookViewId="0">
      <selection activeCell="E1" sqref="E1"/>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45291</v>
      </c>
      <c r="D1" s="1214" t="s">
        <v>603</v>
      </c>
      <c r="E1" s="1209">
        <f>'数据-取费表'!B22</f>
        <v>2</v>
      </c>
      <c r="F1" s="1214" t="s">
        <v>604</v>
      </c>
      <c r="G1" s="1210">
        <f ca="1">INDIRECT("d"&amp;$K$1)/100</f>
        <v>3.6499999999999998E-2</v>
      </c>
      <c r="H1" s="1214" t="s">
        <v>634</v>
      </c>
      <c r="I1" s="1210">
        <f ca="1">F4/100</f>
        <v>1.4999999999999999E-2</v>
      </c>
      <c r="J1" s="1215">
        <f>IF(C1&gt;C13,0,MATCH(C1,C$13:C$109,-1))+IF(SUMIF(C13:C109,C1,D13:D109)=0,13,12)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3.65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3.65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3.65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3.65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4.3</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2313</v>
      </c>
      <c r="C21" s="1204">
        <v>43697</v>
      </c>
      <c r="D21" s="2572">
        <v>4.25</v>
      </c>
      <c r="E21" s="2572">
        <v>4.25</v>
      </c>
      <c r="F21" s="2572">
        <v>4.25</v>
      </c>
      <c r="G21" s="2572">
        <v>4.25</v>
      </c>
      <c r="H21" s="2572">
        <v>4.8499999999999996</v>
      </c>
      <c r="I21" s="2572"/>
      <c r="J21" s="2572"/>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74"/>
      <c r="B22" s="2575"/>
      <c r="C22" s="2576">
        <v>42301</v>
      </c>
      <c r="D22" s="2577">
        <v>4.3499999999999996</v>
      </c>
      <c r="E22" s="2577">
        <v>4.3499999999999996</v>
      </c>
      <c r="F22" s="2577">
        <v>4.75</v>
      </c>
      <c r="G22" s="2577">
        <v>4.75</v>
      </c>
      <c r="H22" s="2577">
        <v>4.9000000000000004</v>
      </c>
      <c r="I22" s="2577"/>
      <c r="J22" s="2577"/>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34" t="s">
        <v>949</v>
      </c>
      <c r="B1" s="3334"/>
      <c r="C1" s="3334"/>
      <c r="D1" s="3334"/>
    </row>
    <row r="2" spans="1:4" ht="18">
      <c r="A2" s="3335" t="s">
        <v>933</v>
      </c>
      <c r="B2" s="3335"/>
      <c r="C2" s="3335"/>
      <c r="D2" s="3335"/>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35" t="s">
        <v>939</v>
      </c>
      <c r="B6" s="3335"/>
      <c r="C6" s="3335"/>
      <c r="D6" s="333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36" t="s">
        <v>942</v>
      </c>
      <c r="B11" s="3337"/>
      <c r="C11" s="3337"/>
      <c r="D11" s="3337"/>
    </row>
    <row r="12" spans="1:4" ht="15.75">
      <c r="A12" s="33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8"/>
      <c r="C12" s="3338"/>
      <c r="D12" s="3338"/>
    </row>
    <row r="13" spans="1:4" ht="30" customHeight="1">
      <c r="A13" s="3337" t="str">
        <f>IF(项目基本情况!B8="抵押","3.抵押双方在办理抵押登记手续时，应使用本公司出具的正式《房地产评估报告》，特提醒报告使用者注意。","——")</f>
        <v>——</v>
      </c>
      <c r="B13" s="3338"/>
      <c r="C13" s="3338"/>
      <c r="D13" s="3338"/>
    </row>
    <row r="14" spans="1:4" ht="15.75" customHeight="1">
      <c r="A14" s="3337" t="str">
        <f>IF(项目基本情况!B8="抵押","4.本次评估估价师所知悉的法定优先受偿款情况说明如下：","——")</f>
        <v>——</v>
      </c>
      <c r="B14" s="3338"/>
      <c r="C14" s="3338"/>
      <c r="D14" s="3338"/>
    </row>
    <row r="15" spans="1:4" ht="42" customHeight="1">
      <c r="A15" s="3337" t="str">
        <f>IF(项目基本情况!B8="抵押","（1）"&amp;CONCATENATE(项目基本情况!L20,项目基本情况!L21,项目基本情况!L22),"——")</f>
        <v>——</v>
      </c>
      <c r="B15" s="3337"/>
      <c r="C15" s="3337"/>
      <c r="D15" s="3337"/>
    </row>
    <row r="16" spans="1:4" ht="30" customHeight="1">
      <c r="A16" s="3340" t="s">
        <v>943</v>
      </c>
      <c r="B16" s="3340"/>
      <c r="C16" s="3340"/>
      <c r="D16" s="3340"/>
    </row>
    <row r="17" spans="1:4" ht="144" customHeight="1">
      <c r="A17" s="3340" t="s">
        <v>944</v>
      </c>
      <c r="B17" s="3340"/>
      <c r="C17" s="3340"/>
      <c r="D17" s="3340"/>
    </row>
    <row r="18" spans="1:4" ht="15.75" customHeight="1">
      <c r="A18" s="3337" t="str">
        <f>IF(项目基本情况!B8="抵押",结果表!K120,"——")</f>
        <v>——</v>
      </c>
      <c r="B18" s="3337"/>
      <c r="C18" s="3337"/>
      <c r="D18" s="3337"/>
    </row>
    <row r="19" spans="1:4" ht="46.5" customHeight="1">
      <c r="A19" s="33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7"/>
      <c r="C19" s="3337"/>
      <c r="D19" s="3337"/>
    </row>
    <row r="20" spans="1:4" ht="57.75" customHeight="1">
      <c r="A20" s="33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7"/>
      <c r="C20" s="3337"/>
      <c r="D20" s="3337"/>
    </row>
    <row r="21" spans="1:4" ht="57.75" customHeight="1">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1"/>
      <c r="C21" s="3341"/>
      <c r="D21" s="3341"/>
    </row>
    <row r="22" spans="1:4" ht="18.75" customHeight="1">
      <c r="A22" s="3342" t="s">
        <v>945</v>
      </c>
      <c r="B22" s="3342"/>
      <c r="C22" s="3342"/>
      <c r="D22" s="3342"/>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339">
        <v>42551</v>
      </c>
      <c r="D31" s="33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48" t="s">
        <v>956</v>
      </c>
      <c r="B15" s="3343" t="s">
        <v>109</v>
      </c>
      <c r="C15" s="3344"/>
    </row>
    <row r="16" spans="1:7" ht="13.5">
      <c r="A16" s="3349"/>
      <c r="B16" s="3343" t="s">
        <v>42</v>
      </c>
      <c r="C16" s="3344"/>
    </row>
    <row r="17" spans="1:3" ht="13.5">
      <c r="A17" s="3349"/>
      <c r="B17" s="3346" t="s">
        <v>957</v>
      </c>
      <c r="C17" s="1426" t="s">
        <v>956</v>
      </c>
    </row>
    <row r="18" spans="1:3" ht="13.5">
      <c r="A18" s="3349"/>
      <c r="B18" s="3346"/>
      <c r="C18" s="1426" t="s">
        <v>958</v>
      </c>
    </row>
    <row r="19" spans="1:3" ht="13.5">
      <c r="A19" s="3349"/>
      <c r="B19" s="3346"/>
      <c r="C19" s="1426" t="s">
        <v>959</v>
      </c>
    </row>
    <row r="20" spans="1:3" ht="13.5">
      <c r="A20" s="3350"/>
      <c r="B20" s="3345" t="s">
        <v>960</v>
      </c>
      <c r="C20" s="3344"/>
    </row>
    <row r="21" spans="1:3" ht="13.5">
      <c r="A21" s="1427" t="s">
        <v>961</v>
      </c>
      <c r="B21" s="1428"/>
      <c r="C21" s="1429"/>
    </row>
    <row r="22" spans="1:3" ht="13.5">
      <c r="A22" s="3347" t="s">
        <v>962</v>
      </c>
      <c r="B22" s="3345" t="s">
        <v>963</v>
      </c>
      <c r="C22" s="3344"/>
    </row>
    <row r="23" spans="1:3" ht="13.5">
      <c r="A23" s="3347"/>
      <c r="B23" s="3345" t="s">
        <v>964</v>
      </c>
      <c r="C23" s="3344"/>
    </row>
    <row r="24" spans="1:3" ht="13.5">
      <c r="A24" s="3347"/>
      <c r="B24" s="3345" t="s">
        <v>965</v>
      </c>
      <c r="C24" s="3344"/>
    </row>
    <row r="25" spans="1:3" ht="13.5">
      <c r="A25" s="3347"/>
      <c r="B25" s="3346" t="s">
        <v>966</v>
      </c>
      <c r="C25" s="1426" t="s">
        <v>967</v>
      </c>
    </row>
    <row r="26" spans="1:3" ht="13.5">
      <c r="A26" s="3347"/>
      <c r="B26" s="3346"/>
      <c r="C26" s="1426" t="s">
        <v>968</v>
      </c>
    </row>
    <row r="27" spans="1:3" ht="13.5">
      <c r="A27" s="3347"/>
      <c r="B27" s="3346"/>
      <c r="C27" s="1426" t="s">
        <v>969</v>
      </c>
    </row>
    <row r="28" spans="1:3" ht="13.5">
      <c r="A28" s="3347"/>
      <c r="B28" s="3346"/>
      <c r="C28" s="1426" t="s">
        <v>970</v>
      </c>
    </row>
    <row r="29" spans="1:3" ht="13.5">
      <c r="A29" s="3347"/>
      <c r="B29" s="3346"/>
      <c r="C29" s="1426" t="s">
        <v>971</v>
      </c>
    </row>
    <row r="30" spans="1:3" ht="13.5">
      <c r="A30" s="3347"/>
      <c r="B30" s="3346"/>
      <c r="C30" s="1426" t="s">
        <v>972</v>
      </c>
    </row>
    <row r="31" spans="1:3" ht="13.5">
      <c r="A31" s="3347"/>
      <c r="B31" s="3346"/>
      <c r="C31" s="1426" t="s">
        <v>973</v>
      </c>
    </row>
    <row r="32" spans="1:3" ht="13.5">
      <c r="A32" s="3347"/>
      <c r="B32" s="3346"/>
      <c r="C32" s="1426" t="s">
        <v>974</v>
      </c>
    </row>
    <row r="33" spans="1:3" ht="13.5">
      <c r="A33" s="3347"/>
      <c r="B33" s="334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45344</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f ca="1">IF(C6&lt;B2,"已过期",1120050019)</f>
        <v>1120050019</v>
      </c>
      <c r="C6" s="2159">
        <v>45410</v>
      </c>
      <c r="D6" s="2160" t="str">
        <f t="shared" ca="1" si="0"/>
        <v>王鹏（注册号：1120050019）</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f ca="1">IF(C9&lt;B2,"已过期",1120060040)</f>
        <v>1120060040</v>
      </c>
      <c r="C9" s="2164">
        <v>45592</v>
      </c>
      <c r="D9" s="2160" t="str">
        <f t="shared" ca="1" si="0"/>
        <v>陈颖（注册号：1120060040）</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f ca="1">IF(C13&lt;B2,"已过期",1120020033)</f>
        <v>1120020033</v>
      </c>
      <c r="C13" s="2159">
        <v>45375</v>
      </c>
      <c r="D13" s="2160" t="str">
        <f t="shared" ca="1" si="0"/>
        <v>刘敬东（注册号：1120020033）</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2440</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351" t="s">
        <v>2160</v>
      </c>
      <c r="B17" s="3351"/>
      <c r="C17" s="3351"/>
      <c r="D17" s="3351"/>
      <c r="E17" s="3351"/>
      <c r="F17" s="3351"/>
      <c r="G17" s="3351"/>
      <c r="H17" s="3351"/>
    </row>
    <row r="18" spans="1:8" ht="24" customHeight="1">
      <c r="A18" s="3352" t="s">
        <v>2161</v>
      </c>
      <c r="B18" s="3352"/>
      <c r="C18" s="3352"/>
      <c r="D18" s="2157"/>
      <c r="E18" s="3353" t="s">
        <v>2162</v>
      </c>
      <c r="F18" s="3352"/>
      <c r="G18" s="3352"/>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D16 C4:D5 D7:D12 C13:D13 C12">
    <cfRule type="expression" dxfId="222" priority="53">
      <formula>AND($C4-TODAY()&lt;30,TODAY()&lt;$C4)</formula>
    </cfRule>
  </conditionalFormatting>
  <conditionalFormatting sqref="C20:D20">
    <cfRule type="expression" dxfId="221" priority="52">
      <formula>AND($C20-TODAY()&lt;30,TODAY()&lt;$C20)</formula>
    </cfRule>
  </conditionalFormatting>
  <conditionalFormatting sqref="C20:D20 G4 C4:D5 C13:D13">
    <cfRule type="cellIs" dxfId="220" priority="54" stopIfTrue="1" operator="lessThan">
      <formula>$B$2</formula>
    </cfRule>
  </conditionalFormatting>
  <conditionalFormatting sqref="G5 G7 G9">
    <cfRule type="cellIs" dxfId="219" priority="51" stopIfTrue="1" operator="lessThan">
      <formula>$B$2</formula>
    </cfRule>
  </conditionalFormatting>
  <conditionalFormatting sqref="C6:D6 D14 D16">
    <cfRule type="expression" dxfId="218" priority="49">
      <formula>AND($C6-TODAY()&lt;30,TODAY()&lt;$C6)</formula>
    </cfRule>
  </conditionalFormatting>
  <conditionalFormatting sqref="G6 G8 G10 C6:D6 D7:D12 D14 D16">
    <cfRule type="cellIs" dxfId="217" priority="50" stopIfTrue="1" operator="lessThan">
      <formula>$B$2</formula>
    </cfRule>
  </conditionalFormatting>
  <conditionalFormatting sqref="D12">
    <cfRule type="expression" dxfId="216" priority="47">
      <formula>AND($C12-TODAY()&lt;30,TODAY()&lt;$C12)</formula>
    </cfRule>
  </conditionalFormatting>
  <conditionalFormatting sqref="D12">
    <cfRule type="cellIs" dxfId="215" priority="48" stopIfTrue="1" operator="lessThan">
      <formula>$B$2</formula>
    </cfRule>
  </conditionalFormatting>
  <conditionalFormatting sqref="C13:D13">
    <cfRule type="expression" dxfId="214" priority="45">
      <formula>AND($C13-TODAY()&lt;30,TODAY()&lt;$C13)</formula>
    </cfRule>
  </conditionalFormatting>
  <conditionalFormatting sqref="C13:D13">
    <cfRule type="cellIs" dxfId="213" priority="46" stopIfTrue="1" operator="lessThan">
      <formula>$B$2</formula>
    </cfRule>
  </conditionalFormatting>
  <conditionalFormatting sqref="D14">
    <cfRule type="expression" dxfId="212" priority="43">
      <formula>AND($C14-TODAY()&lt;30,TODAY()&lt;$C14)</formula>
    </cfRule>
  </conditionalFormatting>
  <conditionalFormatting sqref="D14">
    <cfRule type="cellIs" dxfId="211" priority="44" stopIfTrue="1" operator="lessThan">
      <formula>$B$2</formula>
    </cfRule>
  </conditionalFormatting>
  <conditionalFormatting sqref="G13">
    <cfRule type="cellIs" dxfId="210" priority="42" stopIfTrue="1" operator="lessThan">
      <formula>$B$2</formula>
    </cfRule>
  </conditionalFormatting>
  <conditionalFormatting sqref="B4:B11 F4:F11 B13 F13:F14">
    <cfRule type="cellIs" dxfId="209" priority="41" stopIfTrue="1" operator="equal">
      <formula>"已过期"</formula>
    </cfRule>
  </conditionalFormatting>
  <conditionalFormatting sqref="C7">
    <cfRule type="cellIs" dxfId="208" priority="38" stopIfTrue="1" operator="lessThan">
      <formula>$B$2</formula>
    </cfRule>
  </conditionalFormatting>
  <conditionalFormatting sqref="C7">
    <cfRule type="expression" dxfId="207" priority="37">
      <formula>AND($C7-TODAY()&lt;30,TODAY()&lt;$C7)</formula>
    </cfRule>
  </conditionalFormatting>
  <conditionalFormatting sqref="C8">
    <cfRule type="expression" dxfId="206" priority="35">
      <formula>AND($C8-TODAY()&lt;30,TODAY()&lt;$C8)</formula>
    </cfRule>
  </conditionalFormatting>
  <conditionalFormatting sqref="C8">
    <cfRule type="cellIs" dxfId="205" priority="36" stopIfTrue="1" operator="lessThan">
      <formula>$B$2</formula>
    </cfRule>
  </conditionalFormatting>
  <conditionalFormatting sqref="C11">
    <cfRule type="expression" dxfId="204" priority="33">
      <formula>AND($C11-TODAY()&lt;30,TODAY()&lt;$C11)</formula>
    </cfRule>
  </conditionalFormatting>
  <conditionalFormatting sqref="C11">
    <cfRule type="cellIs" dxfId="203" priority="34" stopIfTrue="1" operator="lessThan">
      <formula>$B$2</formula>
    </cfRule>
  </conditionalFormatting>
  <conditionalFormatting sqref="A16:C16">
    <cfRule type="cellIs" dxfId="202" priority="32" stopIfTrue="1" operator="equal">
      <formula>"已过期"</formula>
    </cfRule>
  </conditionalFormatting>
  <conditionalFormatting sqref="E16:G16">
    <cfRule type="cellIs" dxfId="201" priority="31" stopIfTrue="1" operator="equal">
      <formula>"已过期"</formula>
    </cfRule>
  </conditionalFormatting>
  <conditionalFormatting sqref="G11">
    <cfRule type="cellIs" dxfId="200" priority="30" stopIfTrue="1" operator="lessThan">
      <formula>$B$2</formula>
    </cfRule>
  </conditionalFormatting>
  <conditionalFormatting sqref="F12">
    <cfRule type="cellIs" dxfId="199" priority="29" stopIfTrue="1" operator="equal">
      <formula>"已过期"</formula>
    </cfRule>
  </conditionalFormatting>
  <conditionalFormatting sqref="G12">
    <cfRule type="cellIs" dxfId="198" priority="28" stopIfTrue="1" operator="lessThan">
      <formula>$B$2</formula>
    </cfRule>
  </conditionalFormatting>
  <conditionalFormatting sqref="C12">
    <cfRule type="cellIs" dxfId="197" priority="27" stopIfTrue="1" operator="lessThan">
      <formula>$B$2</formula>
    </cfRule>
  </conditionalFormatting>
  <conditionalFormatting sqref="C12">
    <cfRule type="expression" dxfId="196" priority="25">
      <formula>AND($C12-TODAY()&lt;30,TODAY()&lt;$C12)</formula>
    </cfRule>
  </conditionalFormatting>
  <conditionalFormatting sqref="C12">
    <cfRule type="cellIs" dxfId="195" priority="26" stopIfTrue="1" operator="lessThan">
      <formula>$B$2</formula>
    </cfRule>
  </conditionalFormatting>
  <conditionalFormatting sqref="B12">
    <cfRule type="cellIs" dxfId="194" priority="24" stopIfTrue="1" operator="equal">
      <formula>"已过期"</formula>
    </cfRule>
  </conditionalFormatting>
  <conditionalFormatting sqref="C9:C10">
    <cfRule type="expression" dxfId="193" priority="22">
      <formula>AND($C9-TODAY()&lt;30,TODAY()&lt;$C9)</formula>
    </cfRule>
  </conditionalFormatting>
  <conditionalFormatting sqref="C9:C10">
    <cfRule type="cellIs" dxfId="192" priority="23" stopIfTrue="1" operator="lessThan">
      <formula>$B$2</formula>
    </cfRule>
  </conditionalFormatting>
  <conditionalFormatting sqref="G21">
    <cfRule type="expression" dxfId="191" priority="20" stopIfTrue="1">
      <formula>AND(#REF!-TODAY()&lt;30,TODAY()&lt;#REF!)</formula>
    </cfRule>
  </conditionalFormatting>
  <conditionalFormatting sqref="G21">
    <cfRule type="cellIs" dxfId="190" priority="21" stopIfTrue="1" operator="lessThan">
      <formula>$B$2</formula>
    </cfRule>
  </conditionalFormatting>
  <conditionalFormatting sqref="C14">
    <cfRule type="expression" dxfId="189" priority="18">
      <formula>AND($C14-TODAY()&lt;30,TODAY()&lt;$C14)</formula>
    </cfRule>
  </conditionalFormatting>
  <conditionalFormatting sqref="C14">
    <cfRule type="cellIs" dxfId="188" priority="19" stopIfTrue="1" operator="lessThan">
      <formula>$B$2</formula>
    </cfRule>
  </conditionalFormatting>
  <conditionalFormatting sqref="C14">
    <cfRule type="expression" dxfId="187" priority="16">
      <formula>AND($C14-TODAY()&lt;30,TODAY()&lt;$C14)</formula>
    </cfRule>
  </conditionalFormatting>
  <conditionalFormatting sqref="C14">
    <cfRule type="cellIs" dxfId="186" priority="17" stopIfTrue="1" operator="lessThan">
      <formula>$B$2</formula>
    </cfRule>
  </conditionalFormatting>
  <conditionalFormatting sqref="B14">
    <cfRule type="cellIs" dxfId="185" priority="15" stopIfTrue="1" operator="equal">
      <formula>"已过期"</formula>
    </cfRule>
  </conditionalFormatting>
  <conditionalFormatting sqref="G14">
    <cfRule type="cellIs" dxfId="184" priority="14" stopIfTrue="1" operator="lessThan">
      <formula>$B$2</formula>
    </cfRule>
  </conditionalFormatting>
  <conditionalFormatting sqref="D15">
    <cfRule type="expression" dxfId="183" priority="12">
      <formula>AND($C15-TODAY()&lt;30,TODAY()&lt;$C15)</formula>
    </cfRule>
  </conditionalFormatting>
  <conditionalFormatting sqref="D15">
    <cfRule type="cellIs" dxfId="182" priority="13" stopIfTrue="1" operator="lessThan">
      <formula>$B$2</formula>
    </cfRule>
  </conditionalFormatting>
  <conditionalFormatting sqref="D15">
    <cfRule type="expression" dxfId="181" priority="10">
      <formula>AND($C15-TODAY()&lt;30,TODAY()&lt;$C15)</formula>
    </cfRule>
  </conditionalFormatting>
  <conditionalFormatting sqref="D15">
    <cfRule type="cellIs" dxfId="180" priority="11" stopIfTrue="1" operator="lessThan">
      <formula>$B$2</formula>
    </cfRule>
  </conditionalFormatting>
  <conditionalFormatting sqref="F15">
    <cfRule type="cellIs" dxfId="179" priority="9" stopIfTrue="1" operator="equal">
      <formula>"已过期"</formula>
    </cfRule>
  </conditionalFormatting>
  <conditionalFormatting sqref="C15">
    <cfRule type="expression" dxfId="178" priority="7">
      <formula>AND($C15-TODAY()&lt;30,TODAY()&lt;$C15)</formula>
    </cfRule>
  </conditionalFormatting>
  <conditionalFormatting sqref="C15">
    <cfRule type="cellIs" dxfId="177" priority="8" stopIfTrue="1" operator="lessThan">
      <formula>$B$2</formula>
    </cfRule>
  </conditionalFormatting>
  <conditionalFormatting sqref="C15">
    <cfRule type="expression" dxfId="176" priority="5">
      <formula>AND($C15-TODAY()&lt;30,TODAY()&lt;$C15)</formula>
    </cfRule>
  </conditionalFormatting>
  <conditionalFormatting sqref="C15">
    <cfRule type="cellIs" dxfId="175" priority="6" stopIfTrue="1" operator="lessThan">
      <formula>$B$2</formula>
    </cfRule>
  </conditionalFormatting>
  <conditionalFormatting sqref="B15">
    <cfRule type="cellIs" dxfId="174" priority="4" stopIfTrue="1" operator="equal">
      <formula>"已过期"</formula>
    </cfRule>
  </conditionalFormatting>
  <conditionalFormatting sqref="G15">
    <cfRule type="cellIs" dxfId="173" priority="3" stopIfTrue="1" operator="lessThan">
      <formula>$B$2</formula>
    </cfRule>
  </conditionalFormatting>
  <conditionalFormatting sqref="G20">
    <cfRule type="expression" dxfId="172" priority="1" stopIfTrue="1">
      <formula>AND(#REF!-TODAY()&lt;30,TODAY()&lt;#REF!)</formula>
    </cfRule>
  </conditionalFormatting>
  <conditionalFormatting sqref="G20">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170</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面积</vt:lpstr>
      <vt:lpstr>高和云峰-租赁台账（底表）</vt:lpstr>
      <vt:lpstr>办公一手新房案例</vt:lpstr>
      <vt:lpstr>办公二手房案例</vt:lpstr>
      <vt:lpstr>商业新房案例</vt:lpstr>
      <vt:lpstr>商业二手房案例</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案例</vt:lpstr>
      <vt:lpstr>办公商业案例</vt:lpstr>
      <vt:lpstr>比较法-商业</vt:lpstr>
      <vt:lpstr>比较法-商业 (2)</vt:lpstr>
      <vt:lpstr>比较法-办公</vt:lpstr>
      <vt:lpstr>大宗</vt:lpstr>
      <vt:lpstr>收益法（1层商业）</vt:lpstr>
      <vt:lpstr>收益法 (元)</vt:lpstr>
      <vt:lpstr>收益法-酒店模型</vt:lpstr>
      <vt:lpstr>收益法（1-2层商业）</vt:lpstr>
      <vt:lpstr>收益法（办公） </vt:lpstr>
      <vt:lpstr>收益法（车库）</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'收益法（1-2层商业）'!Print_Area</vt:lpstr>
      <vt:lpstr>'收益法（1层商业）'!Print_Area</vt:lpstr>
      <vt:lpstr>'收益法（办公） '!Print_Area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2024-02-22T08:19:59Z</dcterms:modified>
</cp:coreProperties>
</file>