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4400" windowHeight="11388"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办公" sheetId="34"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3" i="4" l="1"/>
  <c r="I5" i="34"/>
  <c r="I48" i="34" l="1"/>
  <c r="G48" i="34"/>
  <c r="E48" i="34"/>
  <c r="I34" i="34"/>
  <c r="G34" i="34"/>
  <c r="E34" i="34"/>
  <c r="G5" i="34"/>
  <c r="E5" i="34"/>
  <c r="N6" i="1"/>
  <c r="Y6" i="1" s="1"/>
  <c r="F19" i="6"/>
  <c r="D33" i="43" s="1"/>
  <c r="C37" i="34"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8" i="79"/>
  <c r="R7" i="79"/>
  <c r="R6" i="79"/>
  <c r="P9" i="79"/>
  <c r="T7" i="79"/>
  <c r="W7" i="79" s="1"/>
  <c r="T8" i="79"/>
  <c r="W8" i="79" s="1"/>
  <c r="T6" i="79"/>
  <c r="W6" i="79" s="1"/>
  <c r="V9" i="79"/>
  <c r="V7" i="79"/>
  <c r="V6" i="79"/>
  <c r="V8" i="79"/>
  <c r="T28" i="79"/>
  <c r="W28" i="79" s="1"/>
  <c r="T26" i="79"/>
  <c r="W26" i="79" s="1"/>
  <c r="T27" i="79"/>
  <c r="W27"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F93" i="43" l="1"/>
  <c r="H97" i="43" s="1"/>
  <c r="G97" i="43" s="1"/>
  <c r="C15" i="78"/>
  <c r="G23" i="78"/>
  <c r="G24" i="78"/>
  <c r="G25" i="78"/>
  <c r="B15" i="78"/>
  <c r="B18" i="78"/>
  <c r="G14" i="73"/>
  <c r="F14" i="73"/>
  <c r="E14" i="73"/>
  <c r="K97" i="43" l="1"/>
  <c r="J97" i="43" s="1"/>
  <c r="M97" i="43"/>
  <c r="N97" i="43" s="1"/>
  <c r="H96" i="43"/>
  <c r="G96" i="43" s="1"/>
  <c r="H101" i="43"/>
  <c r="G101" i="43" s="1"/>
  <c r="H98" i="43"/>
  <c r="G98" i="43" s="1"/>
  <c r="H95" i="43"/>
  <c r="G95" i="43" s="1"/>
  <c r="H100" i="43"/>
  <c r="G100" i="43" s="1"/>
  <c r="H99" i="43"/>
  <c r="G99" i="43" s="1"/>
  <c r="H93" i="43"/>
  <c r="G93" i="43" s="1"/>
  <c r="H94" i="43"/>
  <c r="G94" i="43" s="1"/>
  <c r="G15" i="73"/>
  <c r="F15" i="73"/>
  <c r="E15" i="73"/>
  <c r="K94" i="43" l="1"/>
  <c r="M94" i="43"/>
  <c r="N94" i="43" s="1"/>
  <c r="K99" i="43"/>
  <c r="J99" i="43" s="1"/>
  <c r="M99" i="43"/>
  <c r="N99" i="43" s="1"/>
  <c r="K95" i="43"/>
  <c r="M95" i="43"/>
  <c r="N95" i="43" s="1"/>
  <c r="K101" i="43"/>
  <c r="M101" i="43"/>
  <c r="N101" i="43" s="1"/>
  <c r="K93" i="43"/>
  <c r="M93" i="43"/>
  <c r="N93" i="43" s="1"/>
  <c r="K100" i="43"/>
  <c r="J100" i="43" s="1"/>
  <c r="D100" i="43" s="1"/>
  <c r="M100" i="43"/>
  <c r="N100" i="43" s="1"/>
  <c r="K98" i="43"/>
  <c r="M98" i="43"/>
  <c r="N98" i="43" s="1"/>
  <c r="K96" i="43"/>
  <c r="M96" i="43"/>
  <c r="N96" i="43" s="1"/>
  <c r="G16" i="73"/>
  <c r="F16" i="73"/>
  <c r="E16" i="73"/>
  <c r="J96" i="43" l="1"/>
  <c r="D96" i="43"/>
  <c r="J98" i="43"/>
  <c r="D98" i="43"/>
  <c r="J93" i="43"/>
  <c r="D93" i="43"/>
  <c r="J101" i="43"/>
  <c r="D101" i="43"/>
  <c r="J95" i="43"/>
  <c r="D95" i="43"/>
  <c r="J94" i="43"/>
  <c r="D94"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D88" i="71" s="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s="1"/>
  <c r="B44" i="71" s="1"/>
  <c r="S44" i="71"/>
  <c r="D41" i="71"/>
  <c r="Q40" i="71"/>
  <c r="P40" i="71"/>
  <c r="O40" i="71"/>
  <c r="N40" i="71"/>
  <c r="AB39" i="71"/>
  <c r="Q39" i="71"/>
  <c r="P39" i="71"/>
  <c r="O39" i="71"/>
  <c r="N39" i="71"/>
  <c r="X39" i="71" s="1"/>
  <c r="Q38" i="71"/>
  <c r="AB38" i="71" s="1"/>
  <c r="P38" i="71"/>
  <c r="O38" i="71"/>
  <c r="N38" i="71"/>
  <c r="X36" i="71" s="1"/>
  <c r="Q37" i="71"/>
  <c r="F38" i="71" s="1"/>
  <c r="F39" i="71" s="1"/>
  <c r="F40" i="71" s="1"/>
  <c r="V40"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C34" i="71" s="1"/>
  <c r="C35" i="71" s="1"/>
  <c r="N33" i="71"/>
  <c r="D33" i="71"/>
  <c r="Q32" i="71"/>
  <c r="P32" i="71"/>
  <c r="O32" i="71"/>
  <c r="N32" i="71"/>
  <c r="Q31" i="71"/>
  <c r="P31" i="71"/>
  <c r="O31" i="71"/>
  <c r="N31" i="71"/>
  <c r="Q30" i="71"/>
  <c r="P30" i="71"/>
  <c r="O30" i="71"/>
  <c r="N30" i="71"/>
  <c r="Q29" i="71"/>
  <c r="P29" i="7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AA35" i="71"/>
  <c r="AA36" i="71"/>
  <c r="AB37" i="71"/>
  <c r="X38" i="71"/>
  <c r="F51" i="71"/>
  <c r="F52" i="71"/>
  <c r="V52" i="71" s="1"/>
  <c r="X27" i="71"/>
  <c r="D38" i="71"/>
  <c r="D42" i="71"/>
  <c r="C51" i="71"/>
  <c r="D51" i="71" s="1"/>
  <c r="D50" i="71"/>
  <c r="P28" i="71"/>
  <c r="E59" i="71"/>
  <c r="E60" i="71" s="1"/>
  <c r="U60" i="71" s="1"/>
  <c r="E64" i="71"/>
  <c r="U64" i="71" s="1"/>
  <c r="U68" i="71"/>
  <c r="E67" i="71"/>
  <c r="E66" i="71" s="1"/>
  <c r="P66" i="71" s="1"/>
  <c r="Q28" i="71"/>
  <c r="C59" i="71"/>
  <c r="D58" i="71"/>
  <c r="C63" i="71"/>
  <c r="N67" i="71"/>
  <c r="C67" i="71"/>
  <c r="D67" i="71" s="1"/>
  <c r="C71" i="71"/>
  <c r="D71" i="71" s="1"/>
  <c r="E71" i="71"/>
  <c r="E70" i="71" s="1"/>
  <c r="D72" i="71"/>
  <c r="E75" i="71"/>
  <c r="E74" i="71"/>
  <c r="C79" i="71"/>
  <c r="C78" i="71" s="1"/>
  <c r="D78" i="71" s="1"/>
  <c r="E79" i="71"/>
  <c r="E78" i="71" s="1"/>
  <c r="D80" i="71"/>
  <c r="C83" i="71"/>
  <c r="D83" i="71" s="1"/>
  <c r="C87" i="71"/>
  <c r="C86" i="71" s="1"/>
  <c r="D86" i="71" s="1"/>
  <c r="F28" i="71"/>
  <c r="F27" i="71" s="1"/>
  <c r="F26" i="71" s="1"/>
  <c r="AB25" i="71"/>
  <c r="AA25" i="71"/>
  <c r="C82" i="71"/>
  <c r="D82" i="71" s="1"/>
  <c r="N66" i="71"/>
  <c r="D87" i="71"/>
  <c r="D79" i="71"/>
  <c r="C70" i="71"/>
  <c r="D70" i="71" s="1"/>
  <c r="P67" i="71"/>
  <c r="C52" i="71"/>
  <c r="T52" i="71" s="1"/>
  <c r="C44" i="71"/>
  <c r="T44" i="71" s="1"/>
  <c r="P65"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E83" i="21" s="1"/>
  <c r="F21" i="21"/>
  <c r="AA21" i="21" s="1"/>
  <c r="D81" i="21"/>
  <c r="G20" i="20"/>
  <c r="B88" i="43" s="1"/>
  <c r="C22" i="20"/>
  <c r="C25" i="40"/>
  <c r="S25" i="40"/>
  <c r="S18" i="36"/>
  <c r="U18" i="36"/>
  <c r="H25" i="40"/>
  <c r="J25" i="40"/>
  <c r="W25" i="40" s="1"/>
  <c r="H29" i="39"/>
  <c r="J29" i="39"/>
  <c r="AC29" i="39" s="1"/>
  <c r="G66" i="36"/>
  <c r="J18" i="36"/>
  <c r="AC18" i="36" s="1"/>
  <c r="F68" i="35"/>
  <c r="G68" i="35" s="1"/>
  <c r="H18" i="35"/>
  <c r="U18" i="35" s="1"/>
  <c r="J18" i="35"/>
  <c r="H21" i="37"/>
  <c r="AB21" i="37" s="1"/>
  <c r="F21" i="37"/>
  <c r="H21" i="34"/>
  <c r="U21" i="34" s="1"/>
  <c r="H21" i="33"/>
  <c r="U21" i="33" s="1"/>
  <c r="F21" i="33"/>
  <c r="AA21" i="33" s="1"/>
  <c r="S21" i="21"/>
  <c r="H1" i="69"/>
  <c r="AC25" i="40"/>
  <c r="AB25" i="40"/>
  <c r="U25" i="40"/>
  <c r="W29" i="39"/>
  <c r="W18" i="36"/>
  <c r="AA21" i="37"/>
  <c r="S21" i="37"/>
  <c r="AB21" i="34"/>
  <c r="AB21" i="33"/>
  <c r="S21" i="33"/>
  <c r="AB18" i="35"/>
  <c r="AC18" i="35"/>
  <c r="W18" i="35"/>
  <c r="J21" i="37"/>
  <c r="W21" i="37" s="1"/>
  <c r="J21" i="34"/>
  <c r="W21" i="34" s="1"/>
  <c r="J21" i="33"/>
  <c r="W21" i="33" s="1"/>
  <c r="F83" i="2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AC23" i="34" s="1"/>
  <c r="F19" i="34"/>
  <c r="AA19" i="34" s="1"/>
  <c r="H17" i="34"/>
  <c r="U17" i="34" s="1"/>
  <c r="F41" i="33"/>
  <c r="AA41" i="33"/>
  <c r="S38" i="33"/>
  <c r="E113" i="33"/>
  <c r="F32" i="33"/>
  <c r="AA32" i="33"/>
  <c r="J19" i="33"/>
  <c r="AC19" i="33"/>
  <c r="J15" i="33"/>
  <c r="AC15" i="33"/>
  <c r="F11" i="33"/>
  <c r="AA11" i="33" s="1"/>
  <c r="S26" i="33"/>
  <c r="W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S34" i="37"/>
  <c r="AA34" i="37"/>
  <c r="J43" i="34"/>
  <c r="W43" i="34" s="1"/>
  <c r="AB42" i="34"/>
  <c r="J40" i="34"/>
  <c r="H38" i="34"/>
  <c r="AB38" i="34" s="1"/>
  <c r="J36" i="34"/>
  <c r="W36" i="34" s="1"/>
  <c r="H37" i="34"/>
  <c r="U37" i="34" s="1"/>
  <c r="H25" i="34"/>
  <c r="AB25" i="34"/>
  <c r="J25" i="34"/>
  <c r="AC25"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6" i="33"/>
  <c r="U26" i="33" s="1"/>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J10" i="36"/>
  <c r="AC10" i="36" s="1"/>
  <c r="AB30" i="21"/>
  <c r="W31" i="34"/>
  <c r="W13" i="36"/>
  <c r="S11" i="36"/>
  <c r="AB45" i="33"/>
  <c r="AC28" i="21"/>
  <c r="F17" i="21"/>
  <c r="AA17" i="21" s="1"/>
  <c r="H17" i="21"/>
  <c r="AB17" i="21" s="1"/>
  <c r="F15" i="21"/>
  <c r="S15" i="21" s="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W14" i="37"/>
  <c r="U33" i="37"/>
  <c r="U39" i="37"/>
  <c r="W26" i="37"/>
  <c r="U26" i="37"/>
  <c r="W47" i="34"/>
  <c r="AB13" i="34"/>
  <c r="AC36" i="34"/>
  <c r="AA13" i="33"/>
  <c r="AC31" i="33"/>
  <c r="AC45" i="33"/>
  <c r="U19" i="21"/>
  <c r="U26" i="21"/>
  <c r="AB38" i="21"/>
  <c r="F43" i="33"/>
  <c r="AA43" i="33" s="1"/>
  <c r="W16" i="35"/>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24" i="3"/>
  <c r="AZ32" i="3"/>
  <c r="BL549" i="3"/>
  <c r="AZ494"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39" i="3"/>
  <c r="AZ43" i="3"/>
  <c r="AZ47" i="3"/>
  <c r="AZ51" i="3"/>
  <c r="AZ59" i="3"/>
  <c r="AZ63" i="3"/>
  <c r="AZ67" i="3"/>
  <c r="AZ83" i="3"/>
  <c r="AZ136" i="3"/>
  <c r="AZ160" i="3"/>
  <c r="AZ184" i="3"/>
  <c r="AZ192" i="3"/>
  <c r="AZ200" i="3"/>
  <c r="AZ85" i="3"/>
  <c r="AZ89" i="3"/>
  <c r="AZ93" i="3"/>
  <c r="AZ97"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78" i="3"/>
  <c r="AZ182" i="3"/>
  <c r="AZ190" i="3"/>
  <c r="AZ194" i="3"/>
  <c r="AZ198"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18" i="3"/>
  <c r="AZ319" i="3"/>
  <c r="G342" i="3"/>
  <c r="BL345" i="3"/>
  <c r="AZ345" i="3" s="1"/>
  <c r="G346" i="3"/>
  <c r="BL349" i="3"/>
  <c r="BL352" i="3"/>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BQ5" i="3"/>
  <c r="AZ549" i="3"/>
  <c r="AZ496" i="3"/>
  <c r="G548" i="3"/>
  <c r="G538" i="3"/>
  <c r="G520" i="3"/>
  <c r="G502" i="3"/>
  <c r="BS5" i="3"/>
  <c r="BP5" i="3"/>
  <c r="BN5" i="3"/>
  <c r="AZ343" i="3"/>
  <c r="BK5" i="3"/>
  <c r="BI5" i="3"/>
  <c r="BG5" i="3"/>
  <c r="BE5" i="3"/>
  <c r="BC5" i="3"/>
  <c r="G17" i="3"/>
  <c r="BA17" i="3"/>
  <c r="BT5" i="3"/>
  <c r="AZ350" i="3"/>
  <c r="AZ352" i="3"/>
  <c r="AZ368" i="3"/>
  <c r="BA15" i="3"/>
  <c r="BB5" i="3"/>
  <c r="BR5" i="3"/>
  <c r="AZ388" i="3"/>
  <c r="AZ396" i="3"/>
  <c r="G509" i="3"/>
  <c r="BL493" i="3"/>
  <c r="AZ382" i="3"/>
  <c r="U36" i="40"/>
  <c r="F83" i="43"/>
  <c r="H85" i="43" s="1"/>
  <c r="F50" i="43"/>
  <c r="H54" i="43" s="1"/>
  <c r="F72" i="43"/>
  <c r="H75" i="43" s="1"/>
  <c r="U17" i="39"/>
  <c r="S14" i="35"/>
  <c r="U43" i="21"/>
  <c r="U35" i="21"/>
  <c r="AC35" i="21"/>
  <c r="G10" i="1"/>
  <c r="W37" i="37"/>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3" i="3"/>
  <c r="AZ227" i="3"/>
  <c r="AZ232" i="3"/>
  <c r="AZ243" i="3"/>
  <c r="AZ248" i="3"/>
  <c r="AZ259" i="3"/>
  <c r="AZ280" i="3"/>
  <c r="AZ288" i="3"/>
  <c r="AZ114" i="3"/>
  <c r="AZ130" i="3"/>
  <c r="AZ21" i="3"/>
  <c r="AZ45" i="3"/>
  <c r="AZ61" i="3"/>
  <c r="AZ7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AC27" i="34"/>
  <c r="AB34" i="36"/>
  <c r="U34" i="36"/>
  <c r="AB33" i="36"/>
  <c r="U33" i="36"/>
  <c r="AC12" i="39"/>
  <c r="W12" i="39"/>
  <c r="AC39" i="40"/>
  <c r="W39" i="40"/>
  <c r="AZ401" i="3"/>
  <c r="AZ465" i="3"/>
  <c r="W12" i="33"/>
  <c r="AC12" i="33"/>
  <c r="AA32" i="36"/>
  <c r="S32" i="36"/>
  <c r="AZ408" i="3"/>
  <c r="AZ437" i="3"/>
  <c r="AZ457" i="3"/>
  <c r="AZ473" i="3"/>
  <c r="AZ490" i="3"/>
  <c r="F28" i="6"/>
  <c r="BL14" i="3"/>
  <c r="U30" i="33"/>
  <c r="AC13" i="34"/>
  <c r="AA47" i="34"/>
  <c r="W28" i="37"/>
  <c r="S19" i="39"/>
  <c r="F12" i="33"/>
  <c r="AA12" i="33" s="1"/>
  <c r="H12" i="39"/>
  <c r="AB12" i="39"/>
  <c r="F39" i="40"/>
  <c r="BA14" i="3"/>
  <c r="AZ14" i="3" s="1"/>
  <c r="AZ213" i="3"/>
  <c r="AZ224" i="3"/>
  <c r="AZ234" i="3"/>
  <c r="AZ250" i="3"/>
  <c r="AZ281" i="3"/>
  <c r="AZ286" i="3"/>
  <c r="AZ149" i="3"/>
  <c r="AZ165" i="3"/>
  <c r="AZ189" i="3"/>
  <c r="AZ19" i="3"/>
  <c r="AZ26" i="3"/>
  <c r="AZ41" i="3"/>
  <c r="B12" i="1"/>
  <c r="E12" i="1" s="1"/>
  <c r="B10" i="1"/>
  <c r="E10" i="1" s="1"/>
  <c r="AZ88" i="3"/>
  <c r="AZ107"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W25" i="34"/>
  <c r="AB8" i="34"/>
  <c r="AA33" i="34"/>
  <c r="W41" i="34"/>
  <c r="AC42" i="34"/>
  <c r="AB35" i="34"/>
  <c r="U39" i="34"/>
  <c r="AB41" i="34"/>
  <c r="AA45" i="34"/>
  <c r="AA25" i="34"/>
  <c r="U28" i="34"/>
  <c r="S17"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G13" i="3"/>
  <c r="BA13" i="3"/>
  <c r="BL17" i="3"/>
  <c r="AZ17" i="3"/>
  <c r="BL13" i="3"/>
  <c r="J56" i="9"/>
  <c r="J57" i="9" s="1"/>
  <c r="J59" i="9" s="1"/>
  <c r="J61" i="9" s="1"/>
  <c r="A24" i="51"/>
  <c r="B18" i="72" s="1"/>
  <c r="U29" i="34"/>
  <c r="E32" i="6"/>
  <c r="G1" i="68"/>
  <c r="K1" i="12"/>
  <c r="E19" i="69"/>
  <c r="E19" i="68"/>
  <c r="E19" i="11"/>
  <c r="G26" i="12"/>
  <c r="C6" i="43"/>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S19" i="34"/>
  <c r="AA36" i="34"/>
  <c r="S36" i="34"/>
  <c r="S46" i="34"/>
  <c r="AA46" i="34"/>
  <c r="U32" i="34"/>
  <c r="AB32" i="34"/>
  <c r="U14" i="34"/>
  <c r="AB14" i="34"/>
  <c r="AC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F33" i="21"/>
  <c r="AA33" i="21" s="1"/>
  <c r="J33" i="21"/>
  <c r="AC33" i="21" s="1"/>
  <c r="H33" i="21"/>
  <c r="AB33" i="21" s="1"/>
  <c r="F37" i="21"/>
  <c r="AA37" i="21" s="1"/>
  <c r="AA26" i="21"/>
  <c r="AB14" i="21"/>
  <c r="U40" i="21"/>
  <c r="AB31" i="21"/>
  <c r="U31" i="21"/>
  <c r="AC15" i="21"/>
  <c r="U13" i="21"/>
  <c r="AB13" i="21"/>
  <c r="S35" i="21"/>
  <c r="J37" i="21"/>
  <c r="W37" i="21" s="1"/>
  <c r="H15" i="21"/>
  <c r="U15" i="21" s="1"/>
  <c r="J17" i="21"/>
  <c r="AC17" i="21" s="1"/>
  <c r="AC19" i="21"/>
  <c r="W39" i="21"/>
  <c r="AC14" i="21"/>
  <c r="W30"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S23" i="33"/>
  <c r="AB19" i="33"/>
  <c r="U19" i="33"/>
  <c r="AA17" i="33"/>
  <c r="S17" i="33"/>
  <c r="AB17" i="33"/>
  <c r="AC23" i="21"/>
  <c r="W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L47" i="15"/>
  <c r="J15" i="67"/>
  <c r="L48" i="67"/>
  <c r="E2" i="69"/>
  <c r="M26" i="15"/>
  <c r="F16" i="67"/>
  <c r="B11" i="76"/>
  <c r="M6" i="67"/>
  <c r="M29" i="67"/>
  <c r="B12" i="76"/>
  <c r="F7" i="67"/>
  <c r="F9" i="67"/>
  <c r="F40" i="15"/>
  <c r="F37" i="67"/>
  <c r="F42" i="15"/>
  <c r="C76" i="15"/>
  <c r="D34" i="9"/>
  <c r="F8" i="67"/>
  <c r="F20" i="31"/>
  <c r="F38" i="67"/>
  <c r="M22" i="15"/>
  <c r="B10" i="76"/>
  <c r="M28" i="15"/>
  <c r="F43" i="15"/>
  <c r="E13" i="76"/>
  <c r="M24" i="67"/>
  <c r="F16" i="15"/>
  <c r="F5" i="73"/>
  <c r="M28" i="67"/>
  <c r="L47" i="67"/>
  <c r="F4" i="73"/>
  <c r="M8" i="67"/>
  <c r="F7" i="15"/>
  <c r="F13" i="15"/>
  <c r="F6" i="67"/>
  <c r="E2" i="68"/>
  <c r="F36" i="15"/>
  <c r="M23" i="67"/>
  <c r="M22" i="67"/>
  <c r="AO13" i="1"/>
  <c r="F43" i="67"/>
  <c r="B7" i="76"/>
  <c r="M24" i="15"/>
  <c r="E7" i="76"/>
  <c r="F38" i="15"/>
  <c r="M9" i="15"/>
  <c r="F37" i="15"/>
  <c r="L48" i="15"/>
  <c r="E10" i="76"/>
  <c r="B8" i="76"/>
  <c r="F6" i="73"/>
  <c r="F40" i="67"/>
  <c r="M29" i="15"/>
  <c r="M26" i="67"/>
  <c r="F6" i="15"/>
  <c r="F3" i="73"/>
  <c r="F42" i="67"/>
  <c r="F7" i="73"/>
  <c r="E9" i="76"/>
  <c r="M23" i="15"/>
  <c r="B13" i="76"/>
  <c r="E11" i="76"/>
  <c r="B9" i="76"/>
  <c r="M8" i="15"/>
  <c r="M6" i="15"/>
  <c r="F9" i="15"/>
  <c r="F8" i="15"/>
  <c r="M9" i="67"/>
  <c r="E12" i="76"/>
  <c r="E8" i="76"/>
  <c r="D35" i="9"/>
  <c r="F26" i="15"/>
  <c r="F36" i="67"/>
  <c r="F13" i="67"/>
  <c r="C76" i="67"/>
  <c r="F26" i="67"/>
  <c r="AB23" i="21" l="1"/>
  <c r="F29" i="6"/>
  <c r="AZ361" i="3"/>
  <c r="AZ390" i="3"/>
  <c r="AZ356" i="3"/>
  <c r="AZ347" i="3"/>
  <c r="AZ344" i="3"/>
  <c r="AZ313" i="3"/>
  <c r="AZ378" i="3"/>
  <c r="AZ341" i="3"/>
  <c r="AZ327" i="3"/>
  <c r="AZ325" i="3"/>
  <c r="AZ309" i="3"/>
  <c r="W44" i="33"/>
  <c r="AZ495" i="3"/>
  <c r="AZ499" i="3"/>
  <c r="AZ513" i="3"/>
  <c r="AZ567" i="3"/>
  <c r="AZ575" i="3"/>
  <c r="AZ493" i="3"/>
  <c r="AZ511" i="3"/>
  <c r="AZ515" i="3"/>
  <c r="AZ519" i="3"/>
  <c r="AZ565" i="3"/>
  <c r="AZ569" i="3"/>
  <c r="AZ573" i="3"/>
  <c r="AZ577" i="3"/>
  <c r="AZ504" i="3"/>
  <c r="AZ508" i="3"/>
  <c r="AZ520" i="3"/>
  <c r="AZ534" i="3"/>
  <c r="AZ542" i="3"/>
  <c r="AZ556" i="3"/>
  <c r="AB46" i="34"/>
  <c r="AA14" i="37"/>
  <c r="AB26" i="33"/>
  <c r="AC11" i="35"/>
  <c r="BL586" i="3"/>
  <c r="W17" i="21"/>
  <c r="AZ380" i="3"/>
  <c r="AZ583" i="3"/>
  <c r="AZ514" i="3"/>
  <c r="AZ506" i="3"/>
  <c r="BA586" i="3"/>
  <c r="AZ586" i="3" s="1"/>
  <c r="E5" i="6"/>
  <c r="G400" i="3"/>
  <c r="BL400" i="3"/>
  <c r="BA403" i="3"/>
  <c r="BL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8" i="3"/>
  <c r="G362" i="3"/>
  <c r="G366" i="3"/>
  <c r="BA367" i="3"/>
  <c r="AZ367" i="3" s="1"/>
  <c r="BA370" i="3"/>
  <c r="AZ370" i="3" s="1"/>
  <c r="BA374" i="3"/>
  <c r="AZ374" i="3" s="1"/>
  <c r="G380" i="3"/>
  <c r="G384" i="3"/>
  <c r="BA386" i="3"/>
  <c r="AZ386" i="3" s="1"/>
  <c r="G397" i="3"/>
  <c r="BL397" i="3"/>
  <c r="BA208" i="3"/>
  <c r="AZ208" i="3" s="1"/>
  <c r="BA209" i="3"/>
  <c r="AZ209" i="3" s="1"/>
  <c r="G212" i="3"/>
  <c r="BL212" i="3"/>
  <c r="BL214" i="3"/>
  <c r="AZ214" i="3" s="1"/>
  <c r="G217" i="3"/>
  <c r="BL217" i="3"/>
  <c r="G220" i="3"/>
  <c r="BL220" i="3"/>
  <c r="BA221" i="3"/>
  <c r="AZ221" i="3" s="1"/>
  <c r="BA222" i="3"/>
  <c r="AZ222"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F12" i="35"/>
  <c r="J23" i="35"/>
  <c r="F9" i="36"/>
  <c r="F26" i="37"/>
  <c r="F44" i="39"/>
  <c r="AA44" i="39" s="1"/>
  <c r="G582" i="3"/>
  <c r="G566" i="3"/>
  <c r="G552" i="3"/>
  <c r="BA551" i="3"/>
  <c r="AZ551" i="3" s="1"/>
  <c r="G551" i="3"/>
  <c r="BL550" i="3"/>
  <c r="BA550" i="3"/>
  <c r="BL548" i="3"/>
  <c r="AZ548" i="3" s="1"/>
  <c r="BL15" i="3"/>
  <c r="AZ15" i="3" s="1"/>
  <c r="A15" i="62"/>
  <c r="B61" i="72" s="1"/>
  <c r="AZ400" i="3"/>
  <c r="AZ402" i="3"/>
  <c r="AZ410" i="3"/>
  <c r="AZ415" i="3"/>
  <c r="AZ420" i="3"/>
  <c r="AZ426" i="3"/>
  <c r="AZ431" i="3"/>
  <c r="AZ436" i="3"/>
  <c r="AZ438" i="3"/>
  <c r="AZ451" i="3"/>
  <c r="AZ458" i="3"/>
  <c r="AZ462" i="3"/>
  <c r="AZ469" i="3"/>
  <c r="G311" i="3"/>
  <c r="G315" i="3"/>
  <c r="G327" i="3"/>
  <c r="G331" i="3"/>
  <c r="BA333" i="3"/>
  <c r="AZ333" i="3" s="1"/>
  <c r="G343" i="3"/>
  <c r="BA348" i="3"/>
  <c r="AZ348" i="3" s="1"/>
  <c r="BA349" i="3"/>
  <c r="AZ349" i="3" s="1"/>
  <c r="G351" i="3"/>
  <c r="BA354" i="3"/>
  <c r="AZ354" i="3" s="1"/>
  <c r="AZ395" i="3"/>
  <c r="G224" i="3"/>
  <c r="G225" i="3"/>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AZ62" i="3"/>
  <c r="D54" i="71"/>
  <c r="C55" i="7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AZ106" i="3"/>
  <c r="C27" i="71"/>
  <c r="T28" i="71"/>
  <c r="D28" i="71"/>
  <c r="U28" i="71" s="1"/>
  <c r="BL77" i="3"/>
  <c r="AZ77" i="3" s="1"/>
  <c r="BA78" i="3"/>
  <c r="AZ78" i="3" s="1"/>
  <c r="BA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AB21" i="21"/>
  <c r="AC21" i="37"/>
  <c r="U21" i="37"/>
  <c r="P27" i="6"/>
  <c r="B51" i="71"/>
  <c r="B52" i="71" s="1"/>
  <c r="S52" i="71" s="1"/>
  <c r="C18" i="9"/>
  <c r="D18" i="9" s="1"/>
  <c r="H69" i="43"/>
  <c r="G7" i="34"/>
  <c r="I7" i="34"/>
  <c r="E7" i="34"/>
  <c r="G6" i="1"/>
  <c r="I24" i="43"/>
  <c r="C24" i="43" s="1"/>
  <c r="W8" i="34"/>
  <c r="AA8" i="34"/>
  <c r="U27" i="34"/>
  <c r="S27" i="34"/>
  <c r="H50" i="43"/>
  <c r="U43" i="34"/>
  <c r="S43" i="34"/>
  <c r="S23" i="34"/>
  <c r="AC21" i="34"/>
  <c r="AC17" i="34"/>
  <c r="F78" i="34"/>
  <c r="G78" i="34" s="1"/>
  <c r="J15" i="34"/>
  <c r="F15" i="34"/>
  <c r="H15" i="34"/>
  <c r="AB15" i="34" s="1"/>
  <c r="AB9" i="34"/>
  <c r="F30" i="69"/>
  <c r="F48" i="69" s="1"/>
  <c r="F31" i="12"/>
  <c r="F54" i="9"/>
  <c r="M18" i="15"/>
  <c r="M18" i="67"/>
  <c r="F30" i="11"/>
  <c r="C48" i="11" s="1"/>
  <c r="D68" i="9"/>
  <c r="F28" i="15"/>
  <c r="C28" i="15" s="1"/>
  <c r="F32" i="15"/>
  <c r="F60" i="15" s="1"/>
  <c r="F32" i="67"/>
  <c r="F60" i="67" s="1"/>
  <c r="F52" i="9"/>
  <c r="F28" i="67"/>
  <c r="F30" i="68"/>
  <c r="F48" i="68" s="1"/>
  <c r="D23" i="15"/>
  <c r="G22" i="69"/>
  <c r="G22" i="11"/>
  <c r="G22" i="68"/>
  <c r="E1" i="73"/>
  <c r="G29" i="6"/>
  <c r="D19" i="53"/>
  <c r="B38" i="72" s="1"/>
  <c r="D16" i="53"/>
  <c r="B34" i="72" s="1"/>
  <c r="B19" i="53"/>
  <c r="B37" i="72" s="1"/>
  <c r="J1" i="73"/>
  <c r="E19" i="71"/>
  <c r="E18" i="71" s="1"/>
  <c r="E17" i="71" s="1"/>
  <c r="E16" i="71" s="1"/>
  <c r="V20" i="71"/>
  <c r="AZ521" i="3"/>
  <c r="AZ497" i="3"/>
  <c r="AZ501" i="3"/>
  <c r="U46" i="21"/>
  <c r="AB46" i="21"/>
  <c r="C20" i="71"/>
  <c r="G28" i="6"/>
  <c r="E28" i="6" s="1"/>
  <c r="K14" i="1" s="1"/>
  <c r="S13" i="35"/>
  <c r="AA13" i="35"/>
  <c r="AB46" i="33"/>
  <c r="U46" i="33"/>
  <c r="W30" i="34"/>
  <c r="AC30" i="34"/>
  <c r="AA45" i="33"/>
  <c r="S45" i="33"/>
  <c r="AC29" i="33"/>
  <c r="W29" i="33"/>
  <c r="S29" i="35"/>
  <c r="AA29" i="35"/>
  <c r="W11" i="40"/>
  <c r="AC11" i="40"/>
  <c r="BL587" i="3"/>
  <c r="AZ587" i="3" s="1"/>
  <c r="F12" i="21"/>
  <c r="J12" i="21"/>
  <c r="B72" i="43"/>
  <c r="C15" i="39"/>
  <c r="B101" i="43"/>
  <c r="B79" i="43"/>
  <c r="B97" i="43"/>
  <c r="B75" i="43"/>
  <c r="AC9" i="34"/>
  <c r="W9" i="34"/>
  <c r="AB45" i="21"/>
  <c r="S13" i="21"/>
  <c r="S36" i="33"/>
  <c r="S17" i="37"/>
  <c r="C28" i="67"/>
  <c r="W33" i="34"/>
  <c r="AA40" i="34"/>
  <c r="H67" i="43"/>
  <c r="G5" i="3"/>
  <c r="B3" i="3" s="1"/>
  <c r="E253" i="3" s="1"/>
  <c r="D120" i="9"/>
  <c r="AA35" i="33"/>
  <c r="AC39" i="34"/>
  <c r="U44" i="34"/>
  <c r="AB20" i="36"/>
  <c r="S15" i="39"/>
  <c r="U25" i="39"/>
  <c r="U37" i="39"/>
  <c r="AC34" i="33"/>
  <c r="AA39" i="34"/>
  <c r="S15" i="37"/>
  <c r="AC11" i="39"/>
  <c r="AC5" i="3"/>
  <c r="AC12" i="37"/>
  <c r="W40" i="37"/>
  <c r="AC46" i="21"/>
  <c r="W44" i="21"/>
  <c r="U11" i="33"/>
  <c r="AB28" i="37"/>
  <c r="U35" i="35"/>
  <c r="S35" i="39"/>
  <c r="W44" i="39"/>
  <c r="U31" i="33"/>
  <c r="AA14" i="34"/>
  <c r="U31" i="34"/>
  <c r="F27" i="21"/>
  <c r="F46" i="21"/>
  <c r="AA44" i="34"/>
  <c r="S44" i="34"/>
  <c r="S28" i="34"/>
  <c r="AB17" i="34"/>
  <c r="U23" i="34"/>
  <c r="AB23" i="34"/>
  <c r="AB33" i="35"/>
  <c r="U33" i="35"/>
  <c r="AB23" i="40"/>
  <c r="U23" i="40"/>
  <c r="C25" i="39"/>
  <c r="S39" i="37"/>
  <c r="AA39" i="37"/>
  <c r="H12" i="21"/>
  <c r="AA34" i="21"/>
  <c r="S34" i="21"/>
  <c r="BA585" i="3"/>
  <c r="AZ585" i="3" s="1"/>
  <c r="B94" i="43"/>
  <c r="B73" i="43"/>
  <c r="B99" i="43"/>
  <c r="B76" i="43"/>
  <c r="C27" i="39"/>
  <c r="U12" i="33"/>
  <c r="AB12" i="33"/>
  <c r="J28" i="33"/>
  <c r="F28" i="33"/>
  <c r="U40" i="33"/>
  <c r="AC16" i="36"/>
  <c r="S44" i="39"/>
  <c r="S34" i="39"/>
  <c r="U40" i="40"/>
  <c r="U34" i="40"/>
  <c r="S40" i="40"/>
  <c r="S34" i="40"/>
  <c r="AC9" i="40"/>
  <c r="AC40" i="40"/>
  <c r="W8" i="40"/>
  <c r="U33" i="33"/>
  <c r="S31" i="35"/>
  <c r="W28" i="35"/>
  <c r="J33" i="36"/>
  <c r="AC33" i="36" s="1"/>
  <c r="W28" i="36"/>
  <c r="U30" i="37"/>
  <c r="F9" i="34"/>
  <c r="AA9" i="34" s="1"/>
  <c r="F12" i="34"/>
  <c r="AC31" i="35"/>
  <c r="F34" i="35"/>
  <c r="H34" i="35"/>
  <c r="J36" i="35"/>
  <c r="F23" i="36"/>
  <c r="H23" i="36"/>
  <c r="BL16" i="3"/>
  <c r="AZ16" i="3" s="1"/>
  <c r="AZ405" i="3"/>
  <c r="AZ407" i="3"/>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49" i="3"/>
  <c r="AZ54" i="3"/>
  <c r="AZ65" i="3"/>
  <c r="AZ70" i="3"/>
  <c r="AZ76" i="3"/>
  <c r="AZ90" i="3"/>
  <c r="AZ92" i="3"/>
  <c r="AZ96" i="3"/>
  <c r="AZ112"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7" i="73"/>
  <c r="D6" i="73"/>
  <c r="C16" i="15"/>
  <c r="D4" i="73"/>
  <c r="D3" i="73"/>
  <c r="C16" i="67"/>
  <c r="AA9" i="36" l="1"/>
  <c r="S9" i="36"/>
  <c r="S12" i="35"/>
  <c r="AA12" i="35"/>
  <c r="D27" i="71"/>
  <c r="C26" i="71"/>
  <c r="D26" i="71" s="1"/>
  <c r="D55" i="71"/>
  <c r="C56" i="71"/>
  <c r="AZ550" i="3"/>
  <c r="AA26" i="37"/>
  <c r="S26" i="37"/>
  <c r="AC23" i="35"/>
  <c r="W23" i="35"/>
  <c r="AZ477" i="3"/>
  <c r="AZ459" i="3"/>
  <c r="AZ442" i="3"/>
  <c r="AZ434" i="3"/>
  <c r="AZ418" i="3"/>
  <c r="AZ403" i="3"/>
  <c r="W15" i="34"/>
  <c r="AC15" i="34"/>
  <c r="U15" i="34"/>
  <c r="AA15" i="34"/>
  <c r="S15" i="34"/>
  <c r="N370" i="46"/>
  <c r="G26" i="43"/>
  <c r="E432" i="3"/>
  <c r="E414" i="3"/>
  <c r="E548" i="3"/>
  <c r="E478" i="3"/>
  <c r="E411" i="3"/>
  <c r="E515" i="3"/>
  <c r="U6" i="3"/>
  <c r="H6" i="3" s="1"/>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16" i="1"/>
  <c r="E59" i="40"/>
  <c r="D20" i="53"/>
  <c r="B40" i="72" s="1"/>
  <c r="K1" i="73"/>
  <c r="B15" i="71"/>
  <c r="B14" i="71" s="1"/>
  <c r="B13" i="71" s="1"/>
  <c r="B12" i="71" s="1"/>
  <c r="S16" i="71"/>
  <c r="C74" i="71"/>
  <c r="D74" i="71" s="1"/>
  <c r="D75" i="71"/>
  <c r="F66" i="71"/>
  <c r="Q67" i="71"/>
  <c r="T60" i="71"/>
  <c r="D60" i="71"/>
  <c r="E27" i="71"/>
  <c r="E26" i="71" s="1"/>
  <c r="V28" i="71"/>
  <c r="T36" i="71"/>
  <c r="D36" i="71"/>
  <c r="AB23" i="36"/>
  <c r="U23" i="36"/>
  <c r="W36" i="35"/>
  <c r="AC36" i="35"/>
  <c r="S34" i="35"/>
  <c r="AA34" i="35"/>
  <c r="S12" i="34"/>
  <c r="AA12" i="34"/>
  <c r="W28" i="33"/>
  <c r="AC28" i="33"/>
  <c r="AA27" i="21"/>
  <c r="S27"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C12" i="21"/>
  <c r="W12" i="21"/>
  <c r="BA5" i="3"/>
  <c r="C19" i="71"/>
  <c r="T20" i="71"/>
  <c r="D20" i="71"/>
  <c r="U20" i="71" s="1"/>
  <c r="AZ5" i="3"/>
  <c r="E3" i="6" s="1"/>
  <c r="D39" i="71"/>
  <c r="C40" i="71"/>
  <c r="S28" i="71"/>
  <c r="B27" i="71"/>
  <c r="B26" i="71" s="1"/>
  <c r="D31" i="71"/>
  <c r="C32" i="71"/>
  <c r="T64" i="71"/>
  <c r="D64" i="71"/>
  <c r="D66" i="71"/>
  <c r="O65" i="71"/>
  <c r="O66" i="71"/>
  <c r="AA23" i="36"/>
  <c r="S23" i="36"/>
  <c r="AB34" i="35"/>
  <c r="U34" i="35"/>
  <c r="S28" i="33"/>
  <c r="AA28" i="33"/>
  <c r="AB12" i="21"/>
  <c r="U12" i="21"/>
  <c r="AA46" i="21"/>
  <c r="S46" i="21"/>
  <c r="D121" i="9"/>
  <c r="D7" i="52" s="1"/>
  <c r="D6" i="52"/>
  <c r="BL5" i="3"/>
  <c r="S12" i="21"/>
  <c r="AA12" i="21"/>
  <c r="E521"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67" i="39" l="1"/>
  <c r="D56" i="71"/>
  <c r="T56" i="71"/>
  <c r="B40" i="1"/>
  <c r="L36" i="43" s="1"/>
  <c r="P36" i="43" s="1"/>
  <c r="E11" i="71"/>
  <c r="E10" i="71" s="1"/>
  <c r="E9" i="71" s="1"/>
  <c r="E8" i="71" s="1"/>
  <c r="E7" i="71" s="1"/>
  <c r="E6" i="71" s="1"/>
  <c r="E5" i="71" s="1"/>
  <c r="V12" i="71"/>
  <c r="T32" i="71"/>
  <c r="D32" i="71"/>
  <c r="T40" i="71"/>
  <c r="D40" i="71"/>
  <c r="E65" i="39"/>
  <c r="C18" i="71"/>
  <c r="D19" i="71"/>
  <c r="Q66" i="71"/>
  <c r="Q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L18" i="9"/>
  <c r="L22"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H34" i="34" l="1"/>
  <c r="J34" i="34"/>
  <c r="F34" i="34"/>
  <c r="B14" i="74"/>
  <c r="B1" i="74" s="1"/>
  <c r="F69" i="67"/>
  <c r="F25" i="12"/>
  <c r="C26" i="12" s="1"/>
  <c r="D25" i="12" s="1"/>
  <c r="L37" i="43"/>
  <c r="P37" i="43" s="1"/>
  <c r="F22" i="68"/>
  <c r="F24" i="67"/>
  <c r="C24" i="67" s="1"/>
  <c r="F24" i="15"/>
  <c r="C24" i="15" s="1"/>
  <c r="F22" i="11"/>
  <c r="C23" i="11" s="1"/>
  <c r="F22" i="69"/>
  <c r="F41" i="69" s="1"/>
  <c r="D116" i="43"/>
  <c r="O36" i="43"/>
  <c r="N36" i="43"/>
  <c r="M36" i="43"/>
  <c r="Q3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AC34" i="34" l="1"/>
  <c r="V49" i="34" s="1"/>
  <c r="I49" i="34" s="1"/>
  <c r="W34" i="34"/>
  <c r="AA34" i="34"/>
  <c r="R49" i="34" s="1"/>
  <c r="S34" i="34"/>
  <c r="AB34" i="34"/>
  <c r="T49" i="34" s="1"/>
  <c r="G49" i="34" s="1"/>
  <c r="U34" i="34"/>
  <c r="C44" i="68"/>
  <c r="D41" i="68" s="1"/>
  <c r="F41" i="68"/>
  <c r="O37" i="43"/>
  <c r="M37" i="43"/>
  <c r="N37" i="43"/>
  <c r="Q37" i="43"/>
  <c r="C26" i="68"/>
  <c r="D22" i="68" s="1"/>
  <c r="C44" i="11"/>
  <c r="D41" i="11" s="1"/>
  <c r="C44" i="69"/>
  <c r="D41" i="69" s="1"/>
  <c r="C26" i="69"/>
  <c r="D22" i="69" s="1"/>
  <c r="C26" i="11"/>
  <c r="D22" i="11" s="1"/>
  <c r="C24" i="11"/>
  <c r="C25" i="11"/>
  <c r="H24" i="6"/>
  <c r="H22" i="6"/>
  <c r="R22" i="6" s="1"/>
  <c r="R9" i="1" s="1"/>
  <c r="H25" i="6"/>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G53" i="34" l="1"/>
  <c r="H53" i="34" s="1"/>
  <c r="G54" i="34"/>
  <c r="H54" i="34" s="1"/>
  <c r="E49" i="34"/>
  <c r="R50" i="34"/>
  <c r="I53" i="34"/>
  <c r="J53" i="34" s="1"/>
  <c r="I54" i="34"/>
  <c r="J54" i="34" s="1"/>
  <c r="C8" i="69"/>
  <c r="C5"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0" i="34" l="1"/>
  <c r="C49" i="34"/>
  <c r="E54" i="34"/>
  <c r="F54" i="34" s="1"/>
  <c r="E53" i="34"/>
  <c r="F53" i="34" s="1"/>
  <c r="C8" i="68"/>
  <c r="C5" i="68" s="1"/>
  <c r="C23" i="68" s="1"/>
  <c r="C18" i="12"/>
  <c r="C21" i="12" s="1"/>
  <c r="C22" i="12" s="1"/>
  <c r="J7" i="21"/>
  <c r="AC7" i="21" s="1"/>
  <c r="V48" i="21" s="1"/>
  <c r="I48" i="21" s="1"/>
  <c r="C14" i="71"/>
  <c r="D15"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0" i="68" l="1"/>
  <c r="C28" i="68" s="1"/>
  <c r="C27" i="68" s="1"/>
  <c r="C27" i="12"/>
  <c r="C25" i="12" s="1"/>
  <c r="C30" i="12"/>
  <c r="C28" i="12" s="1"/>
  <c r="J7" i="35"/>
  <c r="AC7" i="35" s="1"/>
  <c r="V38" i="35" s="1"/>
  <c r="I38" i="35" s="1"/>
  <c r="D14" i="71"/>
  <c r="C13"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F35" i="67"/>
  <c r="M21" i="15"/>
  <c r="M21" i="67"/>
  <c r="C32" i="12" l="1"/>
  <c r="B2" i="12" s="1"/>
  <c r="B3" i="12"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C39" i="35"/>
  <c r="C38" i="35"/>
  <c r="N63" i="40"/>
  <c r="M65" i="40"/>
  <c r="E43" i="35"/>
  <c r="F43" i="35" s="1"/>
  <c r="E42" i="35"/>
  <c r="F42" i="35" s="1"/>
  <c r="I43" i="35"/>
  <c r="J43" i="35" s="1"/>
  <c r="D2" i="33"/>
  <c r="L51" i="67"/>
  <c r="F7" i="39" l="1"/>
  <c r="AA7" i="39" s="1"/>
  <c r="R47" i="39" s="1"/>
  <c r="Q67" i="67"/>
  <c r="L57" i="67"/>
  <c r="L60" i="67" s="1"/>
  <c r="L46" i="67" s="1"/>
  <c r="D2" i="67" s="1"/>
  <c r="B2" i="67" s="1"/>
  <c r="D10" i="71"/>
  <c r="C9" i="71"/>
  <c r="Q65" i="67"/>
  <c r="B2" i="33"/>
  <c r="B3" i="33" s="1"/>
  <c r="C83" i="67"/>
  <c r="C82" i="67" s="1"/>
  <c r="Q47" i="67"/>
  <c r="Q53" i="67" s="1"/>
  <c r="C46" i="67"/>
  <c r="Q56" i="67"/>
  <c r="C43" i="67"/>
  <c r="C80" i="15"/>
  <c r="C79" i="15" s="1"/>
  <c r="C40" i="15"/>
  <c r="C46" i="15" s="1"/>
  <c r="H7" i="39"/>
  <c r="J7" i="39"/>
  <c r="S7" i="39"/>
  <c r="O63" i="40"/>
  <c r="O65" i="40" s="1"/>
  <c r="N65" i="40"/>
  <c r="D2" i="35"/>
  <c r="D2" i="34"/>
  <c r="D19" i="9"/>
  <c r="D2" i="36"/>
  <c r="L51" i="15"/>
  <c r="D2" i="37"/>
  <c r="D102" i="9" l="1"/>
  <c r="D21" i="9"/>
  <c r="Q66" i="67"/>
  <c r="Q75" i="67" s="1"/>
  <c r="C8" i="71"/>
  <c r="D9" i="7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9" i="1"/>
  <c r="D20" i="9"/>
  <c r="AO7" i="1"/>
  <c r="AO8" i="1"/>
  <c r="AO6" i="1"/>
  <c r="AO10" i="1"/>
  <c r="C19" i="9"/>
  <c r="C102" i="9" l="1"/>
  <c r="C21" i="9"/>
  <c r="D22" i="9"/>
  <c r="G19" i="9"/>
  <c r="G21" i="9" s="1"/>
  <c r="B3" i="34"/>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C105" i="9" l="1"/>
  <c r="I4" i="52"/>
  <c r="E118" i="9"/>
  <c r="H102" i="9"/>
  <c r="E14" i="74" s="1"/>
  <c r="F118" i="9"/>
  <c r="D7" i="53" l="1"/>
  <c r="B21" i="72" s="1"/>
  <c r="C104" i="9"/>
  <c r="H4" i="52"/>
  <c r="H119" i="9"/>
  <c r="H5" i="52" s="1"/>
  <c r="H101" i="9"/>
  <c r="D14" i="74" s="1"/>
  <c r="B5" i="74" s="1"/>
  <c r="D5" i="74" s="1"/>
  <c r="F119" i="9"/>
  <c r="F5" i="52" s="1"/>
  <c r="B53" i="72" s="1"/>
  <c r="F4" i="52"/>
  <c r="B51" i="72" s="1"/>
  <c r="E4" i="52"/>
  <c r="B48" i="72" s="1"/>
  <c r="D118" i="9"/>
  <c r="F14" i="74" l="1"/>
  <c r="G14" i="74"/>
  <c r="B6" i="74" s="1"/>
  <c r="D6" i="74" s="1"/>
  <c r="C5" i="74"/>
  <c r="D4" i="52"/>
  <c r="B47" i="72" s="1"/>
  <c r="D119" i="9"/>
  <c r="D5" i="52" s="1"/>
  <c r="B49" i="72" s="1"/>
  <c r="M48" i="9"/>
  <c r="H107" i="9"/>
  <c r="D45" i="9"/>
  <c r="D5" i="53"/>
  <c r="D6" i="53" l="1"/>
  <c r="B22" i="72" s="1"/>
  <c r="B20" i="72"/>
  <c r="M49" i="9"/>
  <c r="D13" i="53"/>
  <c r="D122" i="9"/>
  <c r="H108" i="9"/>
  <c r="D52" i="9"/>
  <c r="C72" i="9"/>
  <c r="D55" i="9"/>
  <c r="M53" i="9" s="1"/>
  <c r="C93" i="9"/>
  <c r="C86" i="9" s="1"/>
  <c r="C85" i="9"/>
  <c r="D53" i="9"/>
  <c r="C78" i="9"/>
  <c r="C73" i="9" s="1"/>
  <c r="C64" i="9"/>
  <c r="C63" i="9" s="1"/>
  <c r="C67" i="9" s="1"/>
  <c r="C95" i="9" l="1"/>
  <c r="C96" i="9" s="1"/>
  <c r="E96" i="9" s="1"/>
  <c r="E97" i="9" s="1"/>
  <c r="C68" i="9"/>
  <c r="D54" i="9" s="1"/>
  <c r="D59" i="9"/>
  <c r="M55" i="9" s="1"/>
  <c r="C79" i="9"/>
  <c r="D15" i="53"/>
  <c r="B31" i="72" s="1"/>
  <c r="C6" i="74"/>
  <c r="D14" i="53"/>
  <c r="B32" i="72" s="1"/>
  <c r="B30" i="72"/>
  <c r="D123" i="9"/>
  <c r="D9" i="52" s="1"/>
  <c r="D8" i="52"/>
  <c r="L64" i="9"/>
  <c r="M64" i="9" s="1"/>
  <c r="L68" i="9"/>
  <c r="M68" i="9" s="1"/>
  <c r="L66" i="9"/>
  <c r="M66" i="9" s="1"/>
  <c r="L65" i="9"/>
  <c r="M65" i="9" s="1"/>
  <c r="L67" i="9"/>
  <c r="M67" i="9" s="1"/>
  <c r="L63" i="9"/>
  <c r="M63" i="9" s="1"/>
  <c r="C97" i="9" l="1"/>
  <c r="D58" i="9" s="1"/>
  <c r="D56" i="9" s="1"/>
  <c r="M54" i="9" s="1"/>
  <c r="N57" i="9" s="1"/>
  <c r="P57" i="9" s="1"/>
  <c r="M69" i="9"/>
  <c r="N69" i="9" s="1"/>
  <c r="C80" i="9"/>
  <c r="E80" i="9" s="1"/>
  <c r="E81" i="9" s="1"/>
  <c r="N58"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<sst xmlns="http://schemas.openxmlformats.org/spreadsheetml/2006/main" count="7865" uniqueCount="3432">
  <si>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</si>
  <si>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</si>
  <si>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</si>
  <si>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</si>
  <si>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</si>
  <si>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</si>
  <si>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</si>
  <si>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</si>
  <si>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</si>
  <si>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</si>
  <si>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</si>
  <si>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</si>
  <si>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</si>
  <si>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</si>
  <si>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</si>
  <si>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</si>
  <si>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</si>
  <si>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</si>
  <si>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</si>
  <si>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</si>
  <si>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</si>
  <si>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</si>
  <si>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</si>
  <si>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</si>
  <si>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</si>
  <si>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</si>
  <si>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</si>
  <si>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</si>
  <si>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</si>
  <si>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</si>
  <si>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</si>
  <si>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</si>
  <si>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</si>
  <si>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</si>
  <si>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</si>
  <si>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</si>
  <si>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</si>
  <si>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</si>
  <si>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</si>
  <si>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</si>
  <si>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</si>
  <si>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</si>
  <si>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</si>
  <si>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</si>
  <si>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</si>
  <si>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</si>
  <si>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</si>
  <si>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</si>
  <si>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</si>
  <si>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</si>
  <si>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</si>
  <si>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</si>
  <si>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</si>
  <si>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</si>
  <si>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</si>
  <si>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</si>
  <si>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</si>
  <si>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</si>
  <si>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</si>
  <si>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</si>
  <si>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</si>
  <si>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</si>
  <si>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</si>
  <si>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</si>
  <si>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</si>
  <si>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</si>
  <si>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</si>
  <si>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</si>
  <si>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</si>
  <si>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</si>
  <si>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</si>
  <si>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</si>
  <si>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</si>
  <si>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</si>
  <si>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</si>
  <si>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</si>
  <si>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</si>
  <si>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</si>
  <si>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</si>
  <si>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</si>
  <si>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</si>
  <si>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</si>
  <si>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</si>
  <si>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</si>
  <si>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</si>
  <si>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</si>
  <si>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</si>
  <si>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</si>
  <si>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</si>
  <si>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</si>
  <si>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</si>
  <si>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</si>
  <si>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</si>
  <si>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</si>
  <si>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</si>
  <si>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</si>
  <si>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</si>
  <si>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</si>
  <si>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</si>
  <si>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</si>
  <si>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</si>
  <si>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</si>
  <si>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</si>
  <si>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</si>
  <si>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</si>
  <si>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</si>
  <si>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</si>
  <si>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</si>
  <si>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</si>
  <si>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</si>
  <si>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</si>
  <si>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</si>
  <si>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</si>
  <si>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</si>
  <si>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</si>
  <si>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</si>
  <si>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</si>
  <si>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</si>
  <si>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</si>
  <si>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</si>
  <si>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</si>
  <si>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</si>
  <si>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</si>
  <si>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</si>
  <si>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</si>
  <si>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</si>
  <si>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</si>
  <si>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</si>
  <si>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</si>
  <si>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</si>
  <si>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</si>
  <si>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</si>
  <si>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</si>
  <si>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</si>
  <si>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</si>
  <si>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</si>
  <si>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</si>
  <si>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</si>
  <si>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</si>
  <si>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</si>
  <si>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</si>
  <si>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</si>
  <si>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</si>
  <si>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</si>
  <si>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</si>
  <si>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</si>
  <si>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</si>
  <si>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</si>
  <si>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</si>
  <si>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</si>
  <si>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</si>
  <si>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</si>
  <si>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</si>
  <si>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</si>
  <si>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</si>
  <si>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</si>
  <si>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</si>
  <si>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</si>
  <si>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</si>
  <si>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</si>
  <si>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</si>
  <si>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</si>
  <si>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</si>
  <si>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</si>
  <si>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</si>
  <si>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</si>
  <si>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</si>
  <si>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</si>
  <si>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</si>
  <si>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</si>
  <si>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</si>
  <si>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</si>
  <si>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</si>
  <si>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</si>
  <si>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</si>
  <si>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</si>
  <si>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</si>
  <si>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</si>
  <si>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</si>
  <si>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</si>
  <si>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</si>
  <si>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</si>
  <si>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</si>
  <si>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</si>
  <si>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</si>
  <si>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</si>
  <si>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</si>
  <si>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</si>
  <si>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</si>
  <si>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</si>
  <si>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</si>
  <si>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</si>
  <si>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</si>
  <si>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</si>
  <si>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</si>
  <si>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</si>
  <si>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</si>
  <si>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</si>
  <si>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</si>
  <si>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</si>
  <si>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</si>
  <si>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</si>
  <si>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</si>
  <si>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</si>
  <si>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</si>
  <si>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</si>
  <si>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</si>
  <si>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</si>
  <si>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</si>
  <si>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</si>
  <si>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</si>
  <si>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</si>
  <si>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</si>
  <si>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</si>
  <si>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</si>
  <si>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</si>
  <si>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</si>
  <si>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</si>
  <si>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</si>
  <si>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</si>
  <si>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</si>
  <si>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</si>
  <si>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</si>
  <si>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</si>
  <si>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</si>
  <si>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</si>
  <si>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</si>
  <si>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</si>
  <si>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</si>
  <si>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</si>
  <si>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</si>
  <si>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</si>
  <si>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</si>
  <si>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</si>
  <si>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</si>
  <si>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</si>
  <si>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</si>
  <si>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</si>
  <si>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</si>
  <si>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</si>
  <si>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</si>
  <si>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</si>
  <si>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</si>
  <si>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</si>
  <si>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</si>
  <si>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</si>
  <si>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</si>
  <si>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</si>
  <si>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</si>
  <si>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</si>
  <si>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</si>
  <si>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</si>
  <si>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</si>
  <si>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</si>
  <si>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</si>
  <si>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</si>
  <si>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</si>
  <si>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</si>
  <si>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</si>
  <si>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</si>
  <si>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</si>
  <si>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</si>
  <si>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</si>
  <si>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</si>
  <si>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</si>
  <si>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</si>
  <si>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</si>
  <si>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</si>
  <si>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</si>
  <si>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</si>
  <si>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</si>
  <si>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</si>
  <si>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</si>
  <si>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</si>
  <si>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</si>
  <si>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</si>
  <si>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</si>
  <si>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</si>
  <si>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</si>
  <si>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</si>
  <si>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</si>
  <si>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</si>
  <si>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</si>
  <si>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</si>
  <si>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</si>
  <si>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</si>
  <si>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</si>
  <si>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</si>
  <si>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</si>
  <si>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</si>
  <si>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</si>
  <si>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</si>
  <si>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</si>
  <si>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</si>
  <si>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</si>
  <si>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</si>
  <si>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</si>
  <si>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</si>
  <si>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</si>
  <si>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</si>
  <si>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</si>
  <si>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</si>
  <si>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</si>
  <si>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</si>
  <si>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</si>
  <si>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</si>
  <si>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</si>
  <si>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</si>
  <si>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</si>
  <si>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</si>
  <si>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</si>
  <si>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</si>
  <si>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</si>
  <si>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</si>
  <si>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</si>
  <si>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</si>
  <si>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</si>
  <si>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</si>
  <si>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</si>
  <si>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</si>
  <si>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</si>
  <si>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</si>
  <si>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</si>
  <si>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</si>
  <si>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</si>
  <si>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</si>
  <si>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</si>
  <si>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</si>
  <si>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</si>
  <si>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</si>
  <si>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</si>
  <si>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</si>
  <si>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</si>
  <si>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</si>
  <si>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</si>
  <si>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</si>
  <si>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</si>
  <si>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</si>
  <si>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</si>
  <si>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</si>
  <si>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</si>
  <si>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</si>
  <si>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</si>
  <si>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</si>
  <si>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</si>
  <si>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</si>
  <si>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</si>
  <si>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</si>
  <si>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</si>
  <si>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</si>
  <si>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</si>
  <si>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</si>
  <si>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</si>
  <si>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</si>
  <si>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</si>
  <si>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</si>
  <si>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</si>
  <si>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</si>
  <si>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</si>
  <si>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</si>
  <si>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</si>
  <si>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</si>
  <si>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</si>
  <si>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</si>
  <si>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</si>
  <si>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</si>
  <si>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</si>
  <si>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</si>
  <si>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</si>
  <si>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</si>
  <si>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</si>
  <si>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</si>
  <si>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</si>
  <si>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</si>
  <si>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</si>
  <si>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</si>
  <si>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</si>
  <si>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</si>
  <si>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</si>
  <si>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</si>
  <si>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</si>
  <si>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</si>
  <si>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</si>
  <si>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</si>
  <si>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</si>
  <si>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</si>
  <si>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</si>
  <si>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</si>
  <si>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</si>
  <si>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</si>
  <si>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</si>
  <si>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</si>
  <si>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</si>
  <si>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</si>
  <si>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</si>
  <si>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</si>
  <si>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</si>
  <si>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</si>
  <si>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</si>
  <si>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</si>
  <si>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</si>
  <si>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</si>
  <si>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</si>
  <si>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</si>
  <si>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</si>
  <si>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</si>
  <si>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</si>
  <si>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</si>
  <si>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</si>
  <si>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</si>
  <si>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</si>
  <si>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</si>
  <si>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</si>
  <si>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</si>
  <si>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</si>
  <si>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</si>
  <si>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</si>
  <si>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</si>
  <si>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</si>
  <si>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</si>
  <si>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</si>
  <si>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</si>
  <si>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</si>
  <si>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</si>
  <si>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</si>
  <si>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</si>
  <si>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</si>
  <si>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</si>
  <si>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</si>
  <si>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</si>
  <si>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</si>
  <si>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</si>
  <si>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</si>
  <si>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</si>
  <si>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</si>
  <si>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</si>
  <si>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</si>
  <si>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</si>
  <si>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</si>
  <si>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</si>
  <si>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</si>
  <si>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</si>
  <si>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</si>
  <si>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</si>
  <si>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</si>
  <si>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</si>
  <si>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</si>
  <si>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</si>
  <si>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</si>
  <si>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</si>
  <si>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</si>
  <si>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</si>
  <si>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</si>
  <si>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</si>
  <si>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</si>
  <si>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</si>
  <si>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</si>
  <si>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</si>
  <si>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</si>
  <si>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</si>
  <si>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</si>
  <si>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</si>
  <si>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</si>
  <si>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</si>
  <si>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</si>
  <si>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</si>
  <si>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</si>
  <si>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</si>
  <si>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</si>
  <si>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</si>
  <si>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</si>
  <si>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</si>
  <si>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</si>
  <si>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</si>
  <si>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</si>
  <si>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</si>
  <si>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</si>
  <si>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</si>
  <si>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</si>
  <si>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</si>
  <si>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</si>
  <si>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</si>
  <si>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</si>
  <si>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</si>
  <si>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</si>
  <si>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</si>
  <si>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</si>
  <si>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</si>
  <si>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</si>
  <si>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</si>
  <si>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</si>
  <si>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</si>
  <si>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</si>
  <si>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</si>
  <si>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</si>
  <si>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</si>
  <si>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</si>
  <si>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</si>
  <si>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</si>
  <si>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</si>
  <si>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</si>
  <si>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</si>
  <si>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</si>
  <si>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</si>
  <si>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</si>
  <si>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</si>
  <si>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</si>
  <si>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</si>
  <si>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</si>
  <si>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</si>
  <si>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</si>
  <si>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</si>
  <si>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</si>
  <si>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</si>
  <si>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</si>
  <si>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</si>
  <si>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</si>
  <si>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</si>
  <si>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</si>
  <si>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</si>
  <si>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</si>
  <si>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</si>
  <si>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</si>
  <si>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</si>
  <si>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</si>
  <si>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</si>
  <si>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</si>
  <si>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</si>
  <si>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</si>
  <si>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</si>
  <si>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</si>
  <si>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</si>
  <si>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</si>
  <si>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</si>
  <si>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</si>
  <si>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</si>
  <si>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</si>
  <si>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</si>
  <si>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</si>
  <si>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</si>
  <si>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</si>
  <si>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</si>
  <si>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</si>
  <si>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</si>
  <si>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</si>
  <si>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</si>
  <si>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</si>
  <si>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</si>
  <si>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</si>
  <si>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</si>
  <si>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</si>
  <si>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</si>
  <si>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</si>
  <si>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</si>
  <si>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</si>
  <si>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</si>
  <si>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</si>
  <si>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</si>
  <si>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</si>
  <si>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</si>
  <si>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</si>
  <si>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</si>
  <si>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</si>
  <si>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</si>
  <si>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</si>
  <si>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</si>
  <si>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</si>
  <si>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</si>
  <si>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</si>
  <si>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</si>
  <si>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</si>
  <si>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</si>
  <si>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</si>
  <si>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</si>
  <si>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</si>
  <si>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</si>
  <si>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</si>
  <si>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</si>
  <si>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</si>
  <si>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</si>
  <si>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</si>
  <si>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</si>
  <si>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</si>
  <si>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</si>
  <si>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</si>
  <si>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</si>
  <si>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</si>
  <si>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</si>
  <si>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</si>
  <si>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</si>
  <si>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</si>
  <si>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</si>
  <si>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</si>
  <si>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</si>
  <si>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</si>
  <si>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</si>
  <si>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</si>
  <si>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</si>
  <si>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</si>
  <si>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</si>
  <si>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</si>
  <si>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</si>
  <si>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</si>
  <si>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</si>
  <si>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</si>
  <si>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</si>
  <si>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</si>
  <si>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</si>
  <si>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</si>
  <si>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</si>
  <si>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</si>
  <si>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</si>
  <si>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</si>
  <si>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</si>
  <si>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</si>
  <si>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</si>
  <si>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</si>
  <si>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</si>
  <si>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</si>
  <si>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</si>
  <si>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</si>
  <si>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</si>
  <si>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</si>
  <si>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</si>
  <si>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</si>
  <si>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</si>
  <si>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</si>
  <si>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</si>
  <si>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</si>
  <si>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</si>
  <si>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</si>
  <si>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</si>
  <si>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</si>
  <si>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</si>
  <si>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</si>
  <si>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</si>
  <si>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</si>
  <si>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</si>
  <si>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</si>
  <si>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</si>
  <si>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</si>
  <si>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</si>
  <si>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</si>
  <si>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</si>
  <si>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</si>
  <si>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</si>
  <si>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</si>
  <si>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</si>
  <si>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</si>
  <si>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</si>
  <si>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</si>
  <si>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</si>
  <si>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</si>
  <si>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</si>
  <si>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</si>
  <si>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</si>
  <si>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</si>
  <si>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</si>
  <si>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</si>
  <si>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</si>
  <si>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</si>
  <si>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</si>
  <si>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</si>
  <si>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</si>
  <si>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</si>
  <si>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</si>
  <si>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</si>
  <si>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</si>
  <si>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</si>
  <si>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</si>
  <si>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</si>
  <si>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</si>
  <si>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</si>
  <si>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</si>
  <si>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</si>
  <si>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</si>
  <si>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</si>
  <si>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</si>
  <si>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</si>
  <si>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</si>
  <si>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</si>
  <si>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</si>
  <si>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</si>
  <si>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</si>
  <si>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</si>
  <si>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</si>
  <si>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</si>
  <si>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</si>
  <si>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</si>
  <si>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</si>
  <si>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</si>
  <si>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</si>
  <si>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</si>
  <si>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</si>
  <si>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</si>
  <si>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</si>
  <si>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</si>
  <si>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</si>
  <si>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</si>
  <si>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</si>
  <si>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</si>
  <si>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</si>
  <si>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</si>
  <si>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</si>
  <si>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</si>
  <si>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</si>
  <si>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</si>
  <si>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</si>
  <si>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</si>
  <si>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</si>
  <si>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</si>
  <si>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</si>
  <si>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</si>
  <si>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</si>
  <si>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</si>
  <si>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</si>
  <si>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</si>
  <si>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</si>
  <si>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</si>
  <si>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</si>
  <si>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</si>
  <si>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</si>
  <si>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</si>
  <si>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</si>
  <si>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</si>
  <si>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</si>
  <si>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</si>
  <si>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</si>
  <si>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</si>
  <si>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</si>
  <si>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</si>
  <si>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</si>
  <si>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</si>
  <si>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</si>
  <si>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</si>
  <si>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</si>
  <si>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</si>
  <si>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</si>
  <si>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</si>
  <si>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</si>
  <si>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</si>
  <si>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</si>
  <si>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</si>
  <si>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</si>
  <si>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</si>
  <si>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</si>
  <si>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</si>
  <si>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</si>
  <si>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</si>
  <si>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</si>
  <si>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</si>
  <si>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</si>
  <si>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</si>
  <si>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</si>
  <si>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</si>
  <si>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</si>
  <si>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</si>
  <si>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</si>
  <si>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</si>
  <si>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</si>
  <si>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</si>
  <si>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</si>
  <si>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</si>
  <si>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</si>
  <si>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</si>
  <si>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</si>
  <si>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</si>
  <si>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</si>
  <si>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</si>
  <si>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</si>
  <si>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</si>
  <si>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</si>
  <si>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</si>
  <si>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</si>
  <si>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</si>
  <si>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</si>
  <si>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</si>
  <si>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</si>
  <si>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</si>
  <si>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</si>
  <si>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</si>
  <si>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</si>
  <si>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</si>
  <si>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</si>
  <si>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</si>
  <si>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</si>
  <si>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</si>
  <si>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</si>
  <si>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</si>
  <si>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</si>
  <si>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</si>
  <si>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</si>
  <si>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</si>
  <si>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</si>
  <si>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</si>
  <si>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</si>
  <si>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</si>
  <si>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</si>
  <si>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</si>
  <si>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</si>
  <si>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</si>
  <si>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</si>
  <si>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</si>
  <si>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</si>
  <si>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</si>
  <si>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</si>
  <si>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</si>
  <si>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</si>
  <si>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</si>
  <si>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</si>
  <si>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</si>
  <si>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</si>
  <si>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</si>
  <si>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</si>
  <si>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</si>
  <si>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</si>
  <si>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</si>
  <si>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</si>
  <si>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</si>
  <si>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</si>
  <si>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</si>
  <si>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</si>
  <si>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</si>
  <si>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</si>
  <si>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</si>
  <si>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</si>
  <si>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</si>
  <si>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</si>
  <si>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</si>
  <si>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</si>
  <si>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</si>
  <si>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</si>
  <si>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</si>
  <si>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</si>
  <si>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</si>
  <si>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</si>
  <si>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</si>
  <si>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</si>
  <si>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</si>
  <si>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</si>
  <si>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</si>
  <si>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</si>
  <si>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</si>
  <si>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</si>
  <si>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</si>
  <si>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</si>
  <si>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</si>
  <si>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</si>
  <si>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</si>
  <si>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</si>
  <si>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</si>
  <si>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</si>
  <si>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</si>
  <si>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</si>
  <si>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</si>
  <si>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</si>
  <si>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</si>
  <si>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</si>
  <si>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</si>
  <si>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</si>
  <si>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</si>
  <si>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</si>
  <si>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</si>
  <si>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</si>
  <si>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</si>
  <si>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</si>
  <si>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</si>
  <si>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</si>
  <si>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</si>
  <si>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</si>
  <si>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</si>
  <si>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</si>
  <si>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</si>
  <si>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</si>
  <si>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</si>
  <si>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</si>
  <si>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</si>
  <si>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</si>
  <si>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</si>
  <si>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</si>
  <si>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</si>
  <si>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</si>
  <si>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</si>
  <si>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</si>
  <si>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</si>
  <si>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</si>
  <si>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</si>
  <si>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</si>
  <si>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</si>
  <si>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</si>
  <si>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</si>
  <si>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</si>
  <si>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</si>
  <si>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</si>
  <si>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</si>
  <si>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</si>
  <si>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</si>
  <si>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</si>
  <si>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</si>
  <si>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</si>
  <si>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</si>
  <si>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</si>
  <si>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</si>
  <si>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</si>
  <si>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</si>
  <si>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</si>
  <si>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</si>
  <si>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</si>
  <si>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</si>
  <si>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</si>
  <si>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</si>
  <si>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</si>
  <si>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</si>
  <si>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</si>
  <si>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</si>
  <si>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</si>
  <si>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</si>
  <si>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</si>
  <si>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</si>
  <si>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</si>
  <si>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</si>
  <si>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</si>
  <si>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</si>
  <si>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</si>
  <si>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</si>
  <si>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</si>
  <si>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</si>
  <si>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</si>
  <si>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</si>
  <si>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</si>
  <si>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</si>
  <si>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</si>
  <si>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</si>
  <si>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</si>
  <si>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</si>
  <si>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</si>
  <si>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</si>
  <si>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</si>
  <si>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</si>
  <si>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</si>
  <si>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</si>
  <si>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</si>
  <si>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</si>
  <si>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</si>
  <si>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</si>
  <si>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</si>
  <si>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</si>
  <si>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</si>
  <si>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</si>
  <si>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</si>
  <si>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</si>
  <si>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</si>
  <si>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</si>
  <si>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</si>
  <si>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</si>
  <si>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</si>
  <si>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</si>
  <si>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</si>
  <si>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</si>
  <si>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</si>
  <si>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</si>
  <si>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</si>
  <si>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</si>
  <si>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</si>
  <si>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</si>
  <si>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</si>
  <si>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</si>
  <si>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</si>
  <si>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</si>
  <si>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</si>
  <si>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</si>
  <si>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</si>
  <si>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</si>
  <si>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</si>
  <si>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</si>
  <si>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</si>
  <si>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</si>
  <si>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</si>
  <si>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</si>
  <si>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</si>
  <si>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</si>
  <si>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</si>
  <si>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</si>
  <si>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</si>
  <si>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</si>
  <si>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</si>
  <si>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</si>
  <si>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</si>
  <si>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</si>
  <si>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</si>
  <si>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</si>
  <si>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</si>
  <si>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</si>
  <si>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</si>
  <si>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</si>
  <si>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</si>
  <si>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</si>
  <si>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</si>
  <si>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</si>
  <si>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</si>
  <si>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</si>
  <si>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</si>
  <si>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</si>
  <si>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</si>
  <si>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</si>
  <si>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</si>
  <si>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</si>
  <si>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</si>
  <si>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</si>
  <si>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</si>
  <si>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</si>
  <si>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</si>
  <si>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</si>
  <si>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</si>
  <si>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</si>
  <si>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</si>
  <si>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</si>
  <si>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</si>
  <si>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</si>
  <si>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</si>
  <si>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</si>
  <si>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</si>
  <si>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</si>
  <si>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</si>
  <si>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</si>
  <si>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</si>
  <si>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</si>
  <si>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</si>
  <si>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</si>
  <si>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</si>
  <si>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</si>
  <si>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</si>
  <si>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</si>
  <si>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</si>
  <si>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</si>
  <si>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</si>
  <si>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</si>
  <si>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</si>
  <si>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</si>
  <si>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</si>
  <si>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</si>
  <si>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</si>
  <si>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</si>
  <si>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</si>
  <si>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</si>
  <si>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</si>
  <si>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</si>
  <si>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</si>
  <si>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</si>
  <si>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</si>
  <si>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</si>
  <si>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</si>
  <si>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</si>
  <si>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</si>
  <si>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</si>
  <si>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</si>
  <si>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</si>
  <si>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</si>
  <si>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</si>
  <si>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</si>
  <si>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</si>
  <si>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</si>
  <si>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</si>
  <si>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</si>
  <si>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</si>
  <si>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</si>
  <si>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</si>
  <si>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</si>
  <si>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</si>
  <si>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</si>
  <si>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</si>
  <si>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</si>
  <si>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</si>
  <si>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</si>
  <si>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</si>
  <si>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</si>
  <si>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</si>
  <si>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</si>
  <si>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</si>
  <si>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</si>
  <si>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</si>
  <si>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</si>
  <si>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</si>
  <si>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</si>
  <si>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</si>
  <si>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</si>
  <si>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</si>
  <si>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</si>
  <si>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</si>
  <si>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</si>
  <si>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</si>
  <si>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</si>
  <si>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</si>
  <si>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</si>
  <si>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</si>
  <si>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</si>
  <si>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</si>
  <si>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</si>
  <si>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</si>
  <si>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</si>
  <si>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</si>
  <si>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</si>
  <si>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</si>
  <si>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</si>
  <si>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</si>
  <si>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</si>
  <si>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</si>
  <si>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</si>
  <si>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</si>
  <si>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</si>
  <si>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</si>
  <si>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</si>
  <si>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</si>
  <si>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</si>
  <si>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</si>
  <si>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</si>
  <si>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</si>
  <si>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</si>
  <si>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</si>
  <si>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</si>
  <si>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</si>
  <si>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</si>
  <si>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</si>
  <si>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</si>
  <si>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</si>
  <si>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</si>
  <si>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</si>
  <si>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</si>
  <si>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</si>
  <si>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</si>
  <si>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</si>
  <si>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</si>
  <si>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</si>
  <si>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</si>
  <si>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</si>
  <si>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</si>
  <si>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</si>
  <si>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</si>
  <si>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</si>
  <si>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</si>
  <si>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</si>
  <si>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</si>
  <si>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</si>
  <si>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</si>
  <si>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</si>
  <si>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</si>
  <si>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</si>
  <si>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</si>
  <si>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</si>
  <si>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</si>
  <si>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</si>
  <si>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</si>
  <si>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</si>
  <si>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</si>
  <si>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</si>
  <si>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</si>
  <si>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</si>
  <si>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</si>
  <si>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</si>
  <si>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</si>
  <si>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</si>
  <si>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</si>
  <si>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</si>
  <si>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</si>
  <si>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</si>
  <si>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</si>
  <si>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</si>
  <si>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</si>
  <si>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</si>
  <si>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</si>
  <si>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</si>
  <si>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</si>
  <si>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</si>
  <si>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</si>
  <si>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</si>
  <si>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</si>
  <si>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</si>
  <si>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</si>
  <si>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</si>
  <si>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</si>
  <si>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</si>
  <si>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</si>
  <si>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</si>
  <si>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</si>
  <si>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</si>
  <si>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</si>
  <si>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</si>
  <si>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</si>
  <si>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</si>
  <si>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</si>
  <si>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</si>
  <si>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</si>
  <si>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</si>
  <si>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</si>
  <si>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</si>
  <si>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</si>
  <si>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</si>
  <si>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</si>
  <si>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</si>
  <si>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</si>
  <si>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</si>
  <si>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</si>
  <si>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</si>
  <si>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</si>
  <si>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</si>
  <si>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</si>
  <si>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</si>
  <si>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</si>
  <si>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</si>
  <si>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</si>
  <si>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</si>
  <si>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</si>
  <si>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</si>
  <si>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</si>
  <si>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</si>
  <si>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</si>
  <si>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</si>
  <si>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</si>
  <si>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</si>
  <si>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</si>
  <si>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</si>
  <si>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</si>
  <si>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</si>
  <si>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</si>
  <si>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</si>
  <si>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</si>
  <si>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</si>
  <si>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</si>
  <si>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</si>
  <si>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</si>
  <si>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</si>
  <si>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</si>
  <si>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</si>
  <si>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</si>
  <si>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</si>
  <si>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</si>
  <si>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</si>
  <si>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</si>
  <si>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</si>
  <si>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</si>
  <si>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</si>
  <si>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</si>
  <si>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</si>
  <si>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</si>
  <si>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</si>
  <si>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</si>
  <si>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</si>
  <si>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</si>
  <si>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</si>
  <si>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</si>
  <si>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</si>
  <si>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</si>
  <si>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</si>
  <si>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</si>
  <si>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</si>
  <si>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</si>
  <si>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</si>
  <si>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</si>
  <si>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</si>
  <si>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</si>
  <si>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</si>
  <si>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</si>
  <si>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</si>
  <si>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</si>
  <si>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</si>
  <si>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</si>
  <si>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</si>
  <si>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</si>
  <si>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</si>
  <si>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</si>
  <si>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</si>
  <si>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</si>
  <si>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</si>
  <si>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</si>
  <si>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</si>
  <si>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</si>
  <si>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</si>
  <si>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</si>
  <si>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</si>
  <si>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</si>
  <si>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</si>
  <si>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</si>
  <si>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</si>
  <si>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</si>
  <si>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</si>
  <si>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</si>
  <si>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</si>
  <si>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</si>
  <si>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</si>
  <si>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</si>
  <si>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</si>
  <si>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</si>
  <si>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</si>
  <si>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</si>
  <si>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</si>
  <si>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</si>
  <si>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</si>
  <si>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</si>
  <si>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</si>
  <si>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</si>
  <si>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</si>
  <si>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</si>
  <si>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</si>
  <si>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</si>
  <si>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</si>
  <si>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</si>
  <si>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</si>
  <si>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</si>
  <si>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</si>
  <si>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</si>
  <si>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</si>
  <si>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</si>
  <si>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</si>
  <si>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</si>
  <si>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</si>
  <si>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</si>
  <si>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</si>
  <si>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</si>
  <si>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</si>
  <si>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</si>
  <si>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</si>
  <si>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</si>
  <si>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</si>
  <si>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</si>
  <si>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</si>
  <si>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</si>
  <si>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</si>
  <si>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</si>
  <si>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</si>
  <si>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</si>
  <si>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</si>
  <si>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</si>
  <si>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</si>
  <si>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</si>
  <si>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</si>
  <si>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</si>
  <si>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</si>
  <si>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</si>
  <si>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</si>
  <si>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</si>
  <si>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</si>
  <si>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</si>
  <si>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</si>
  <si>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</si>
  <si>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</si>
  <si>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</si>
  <si>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</si>
  <si>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</si>
  <si>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</si>
  <si>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</si>
  <si>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</si>
  <si>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</si>
  <si>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</si>
  <si>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</si>
  <si>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</si>
  <si>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</si>
  <si>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</si>
  <si>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</si>
  <si>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</si>
  <si>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</si>
  <si>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</si>
  <si>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</si>
  <si>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</si>
  <si>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</si>
  <si>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</si>
  <si>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</si>
  <si>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</si>
  <si>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</si>
  <si>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</si>
  <si>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</si>
  <si>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</si>
  <si>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</si>
  <si>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</si>
  <si>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</si>
  <si>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</si>
  <si>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</si>
  <si>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</si>
  <si>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</si>
  <si>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</si>
  <si>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</si>
  <si>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</si>
  <si>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</si>
  <si>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</si>
  <si>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</si>
  <si>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</si>
  <si>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</si>
  <si>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</si>
  <si>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</si>
  <si>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</si>
  <si>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</si>
  <si>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</si>
  <si>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</si>
  <si>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</si>
  <si>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</si>
  <si>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</si>
  <si>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</si>
  <si>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</si>
  <si>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</si>
  <si>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</si>
  <si>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</si>
  <si>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</si>
  <si>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</si>
  <si>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</si>
  <si>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</si>
  <si>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</si>
  <si>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</si>
  <si>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</si>
  <si>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</si>
  <si>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</si>
  <si>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</si>
  <si>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</si>
  <si>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</si>
  <si>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</si>
  <si>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</si>
  <si>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</si>
  <si>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</si>
  <si>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</si>
  <si>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</si>
  <si>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</si>
  <si>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</si>
  <si>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</si>
  <si>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</si>
  <si>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</si>
  <si>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</si>
  <si>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</si>
  <si>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</si>
  <si>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</si>
  <si>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</si>
  <si>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</si>
  <si>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</si>
  <si>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</si>
  <si>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</si>
  <si>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</si>
  <si>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</si>
  <si>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</si>
  <si>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</si>
  <si>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</si>
  <si>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</si>
  <si>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</si>
  <si>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</si>
  <si>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</si>
  <si>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</si>
  <si>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</si>
  <si>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</si>
  <si>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</si>
  <si>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</si>
  <si>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</si>
  <si>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</si>
  <si>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</si>
  <si>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</si>
  <si>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</si>
  <si>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</si>
  <si>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</si>
  <si>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</si>
  <si>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</si>
  <si>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</si>
  <si>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</si>
  <si>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</si>
  <si>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</si>
  <si>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</si>
  <si>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</si>
  <si>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</si>
  <si>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</si>
  <si>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</si>
  <si>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</si>
  <si>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</si>
  <si>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</si>
  <si>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</si>
  <si>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</si>
  <si>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</si>
  <si>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</si>
  <si>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</si>
  <si>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</si>
  <si>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</si>
  <si>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</si>
  <si>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</si>
  <si>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</si>
  <si>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</si>
  <si>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</si>
  <si>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</si>
  <si>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</si>
  <si>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</si>
  <si>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</si>
  <si>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</si>
  <si>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</si>
  <si>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</si>
  <si>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</si>
  <si>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</si>
  <si>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</si>
  <si>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</si>
  <si>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</si>
  <si>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</si>
  <si>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</si>
  <si>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</si>
  <si>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</si>
  <si>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</si>
  <si>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</si>
  <si>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</si>
  <si>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</si>
  <si>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</si>
  <si>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</si>
  <si>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</si>
  <si>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</si>
  <si>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</si>
  <si>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</si>
  <si>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</si>
  <si>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</si>
  <si>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</si>
  <si>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</si>
  <si>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</si>
  <si>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</si>
  <si>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</si>
  <si>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</si>
  <si>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</si>
  <si>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</si>
  <si>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</si>
  <si>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</si>
  <si>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</si>
  <si>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</si>
  <si>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</si>
  <si>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</si>
  <si>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</si>
  <si>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</si>
  <si>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</si>
  <si>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</si>
  <si>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</si>
  <si>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</si>
  <si>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</si>
  <si>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</si>
  <si>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</si>
  <si>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</si>
  <si>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</si>
  <si>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</si>
  <si>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</si>
  <si>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</si>
  <si>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</si>
  <si>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</si>
  <si>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</si>
  <si>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</si>
  <si>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</si>
  <si>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</si>
  <si>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</si>
  <si>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</si>
  <si>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</si>
  <si>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</si>
  <si>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</si>
  <si>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</si>
  <si>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</si>
  <si>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</si>
  <si>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</si>
  <si>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</si>
  <si>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</si>
  <si>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</si>
  <si>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</si>
  <si>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</si>
  <si>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</si>
  <si>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</si>
  <si>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</si>
  <si>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</si>
  <si>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</si>
  <si>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</si>
  <si>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</si>
  <si>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</si>
  <si>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</si>
  <si>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</si>
  <si>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</si>
  <si>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</si>
  <si>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</si>
  <si>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</si>
  <si>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</si>
  <si>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</si>
  <si>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</si>
  <si>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</si>
  <si>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</si>
  <si>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</si>
  <si>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</si>
  <si>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</si>
  <si>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</si>
  <si>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</si>
  <si>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</si>
  <si>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</si>
  <si>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</si>
  <si>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</si>
  <si>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</si>
  <si>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</si>
  <si>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</si>
  <si>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</si>
  <si>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</si>
  <si>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</si>
  <si>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</si>
  <si>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</si>
  <si>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</si>
  <si>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</si>
  <si>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</si>
  <si>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</si>
  <si>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</si>
  <si>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</si>
  <si>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</si>
  <si>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</si>
  <si>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</si>
  <si>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</si>
  <si>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</si>
  <si>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</si>
  <si>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</si>
  <si>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</si>
  <si>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</si>
  <si>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</si>
  <si>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</si>
  <si>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</si>
  <si>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</si>
  <si>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</si>
  <si>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</si>
  <si>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</si>
  <si>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</si>
  <si>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</si>
  <si>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</si>
  <si>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</si>
  <si>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</si>
  <si>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</si>
  <si>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</si>
  <si>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</si>
  <si>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</si>
  <si>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</si>
  <si>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</si>
  <si>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</si>
  <si>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</si>
  <si>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</si>
  <si>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</si>
  <si>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</si>
  <si>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</si>
  <si>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</si>
  <si>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</si>
  <si>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</si>
  <si>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</si>
  <si>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</si>
  <si>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</si>
  <si>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</si>
  <si>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</si>
  <si>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</si>
  <si>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</si>
  <si>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</si>
  <si>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</si>
  <si>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</si>
  <si>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</si>
  <si>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</si>
  <si>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</si>
  <si>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</si>
  <si>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</si>
  <si>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</si>
  <si>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</si>
  <si>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</si>
  <si>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</si>
  <si>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</si>
  <si>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</si>
  <si>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</si>
  <si>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</si>
  <si>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</si>
  <si>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</si>
  <si>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</si>
  <si>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</si>
  <si>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</si>
  <si>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</si>
  <si>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</si>
  <si>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</si>
  <si>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</si>
  <si>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</si>
  <si>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</si>
  <si>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</si>
  <si>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</si>
  <si>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</si>
  <si>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</si>
  <si>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</si>
  <si>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</si>
  <si>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</si>
  <si>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</si>
  <si>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</si>
  <si>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</si>
  <si>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</si>
  <si>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</si>
  <si>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</si>
  <si>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</si>
  <si>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</si>
  <si>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</si>
  <si>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</si>
  <si>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</si>
  <si>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</si>
  <si>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</si>
  <si>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</si>
  <si>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</si>
  <si>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</si>
  <si>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</si>
  <si>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</si>
  <si>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</si>
  <si>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</si>
  <si>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</si>
  <si>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</si>
  <si>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</si>
  <si>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</si>
  <si>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</si>
  <si>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</si>
  <si>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</si>
  <si>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</si>
  <si>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</si>
  <si>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</si>
  <si>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</si>
  <si>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</si>
  <si>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</si>
  <si>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</si>
  <si>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</si>
  <si>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</si>
  <si>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</si>
  <si>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</si>
  <si>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</si>
  <si>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</si>
  <si>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</si>
  <si>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</si>
  <si>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</si>
  <si>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</si>
  <si>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</si>
  <si>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</si>
  <si>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</si>
  <si>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</si>
  <si>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</si>
  <si>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</si>
  <si>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</si>
  <si>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</si>
  <si>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</si>
  <si>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</si>
  <si>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</si>
  <si>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</si>
  <si>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</si>
  <si>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</si>
  <si>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</si>
  <si>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</si>
  <si>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</si>
  <si>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</si>
  <si>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</si>
  <si>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</si>
  <si>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</si>
  <si>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</si>
  <si>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</si>
  <si>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</si>
  <si>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</si>
  <si>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</si>
  <si>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</si>
  <si>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</si>
  <si>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</si>
  <si>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</si>
  <si>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</si>
  <si>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</si>
  <si>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</si>
  <si>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</si>
  <si>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</si>
  <si>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</si>
  <si>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</si>
  <si>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</si>
  <si>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</si>
  <si>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</si>
  <si>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</si>
  <si>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</si>
  <si>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</si>
  <si>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</si>
  <si>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</si>
  <si>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</si>
  <si>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</si>
  <si>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</si>
  <si>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</si>
  <si>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</si>
  <si>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</si>
  <si>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</si>
  <si>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</si>
  <si>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</si>
  <si>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</si>
  <si>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</si>
  <si>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</si>
  <si>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</si>
  <si>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</si>
  <si>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</si>
  <si>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</si>
  <si>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</si>
  <si>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</si>
  <si>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</si>
  <si>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</si>
  <si>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</si>
  <si>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</si>
  <si>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</si>
  <si>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</si>
  <si>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</si>
  <si>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</si>
  <si>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</si>
  <si>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</si>
  <si>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</si>
  <si>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</si>
  <si>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</si>
  <si>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</si>
  <si>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</si>
  <si>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</si>
  <si>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</si>
  <si>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</si>
  <si>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</si>
  <si>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</si>
  <si>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</si>
  <si>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</si>
  <si>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</si>
  <si>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</si>
  <si>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</si>
  <si>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</si>
  <si>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</si>
  <si>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</si>
  <si>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</si>
  <si>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</si>
  <si>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</si>
  <si>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</si>
  <si>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</si>
  <si>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</si>
  <si>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</si>
  <si>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</si>
  <si>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</si>
  <si>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</si>
  <si>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</si>
  <si>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</si>
  <si>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</si>
  <si>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</si>
  <si>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</si>
  <si>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</si>
  <si>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</si>
  <si>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</si>
  <si>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</si>
  <si>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</si>
  <si>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</si>
  <si>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</si>
  <si>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</si>
  <si>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</si>
  <si>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</si>
  <si>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</si>
  <si>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</si>
  <si>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</si>
  <si>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</si>
  <si>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</si>
  <si>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</si>
  <si>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</si>
  <si>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</si>
  <si>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</si>
  <si>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</si>
  <si>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</si>
  <si>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</si>
  <si>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</si>
  <si>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</si>
  <si>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</si>
  <si>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</si>
  <si>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</si>
  <si>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</si>
  <si>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</si>
  <si>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</si>
  <si>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</si>
  <si>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</si>
  <si>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</si>
  <si>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</si>
  <si>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</si>
  <si>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</si>
  <si>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</si>
  <si>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</si>
  <si>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</si>
  <si>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</si>
  <si>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</si>
  <si>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</si>
  <si>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</si>
  <si>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</si>
  <si>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</si>
  <si>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</si>
  <si>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</si>
  <si>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</si>
  <si>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</si>
  <si>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</si>
  <si>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</si>
  <si>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</si>
  <si>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</si>
  <si>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</si>
  <si>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</si>
  <si>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</si>
  <si>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</si>
  <si>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</si>
  <si>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</si>
  <si>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</si>
  <si>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</si>
  <si>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</si>
  <si>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</si>
  <si>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</si>
  <si>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</si>
  <si>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</si>
  <si>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</si>
  <si>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</si>
  <si>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</si>
  <si>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</si>
  <si>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</si>
  <si>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</si>
  <si>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</si>
  <si>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</si>
  <si>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</si>
  <si>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</si>
  <si>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</si>
  <si>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</si>
  <si>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</si>
  <si>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</si>
  <si>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</si>
  <si>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</si>
  <si>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</si>
  <si>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</si>
  <si>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</si>
  <si>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</si>
  <si>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</si>
  <si>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</si>
  <si>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</si>
  <si>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</si>
  <si>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</si>
  <si>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</si>
  <si>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</si>
  <si>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</si>
  <si>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</si>
  <si>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</si>
  <si>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</si>
  <si>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</si>
  <si>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</si>
  <si>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</si>
  <si>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</si>
  <si>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</si>
  <si>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</si>
  <si>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</si>
  <si>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</si>
  <si>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</si>
  <si>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</si>
  <si>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</si>
  <si>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</si>
  <si>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</si>
  <si>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</si>
  <si>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</si>
  <si>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</si>
  <si>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</si>
  <si>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</si>
  <si>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</si>
  <si>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</si>
  <si>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</si>
  <si>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</si>
  <si>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</si>
  <si>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</si>
  <si>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</si>
  <si>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</si>
  <si>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</si>
  <si>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</si>
  <si>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</si>
  <si>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</si>
  <si>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</si>
  <si>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</si>
  <si>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</si>
  <si>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</si>
  <si>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</si>
  <si>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</si>
  <si>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</si>
  <si>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</si>
  <si>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</si>
  <si>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</si>
  <si>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</si>
  <si>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</si>
  <si>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</si>
  <si>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</si>
  <si>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</si>
  <si>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</si>
  <si>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</si>
  <si>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</si>
  <si>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</si>
  <si>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</si>
  <si>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</si>
  <si>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</si>
  <si>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</si>
  <si>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</si>
  <si>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</si>
  <si>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</si>
  <si>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</si>
  <si>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</si>
  <si>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</si>
  <si>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</si>
  <si>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</si>
  <si>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</si>
  <si>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</si>
  <si>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</si>
  <si>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</si>
  <si>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</si>
  <si>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</si>
  <si>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</si>
  <si>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</si>
  <si>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</si>
  <si>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</si>
  <si>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</si>
  <si>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</si>
  <si>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</si>
  <si>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</si>
  <si>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</si>
  <si>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</si>
  <si>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</si>
  <si>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</si>
  <si>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</si>
  <si>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</si>
  <si>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</si>
  <si>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</si>
  <si>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</si>
  <si>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</si>
  <si>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</si>
  <si>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</si>
  <si>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</si>
  <si>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</si>
  <si>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</si>
  <si>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</si>
  <si>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</si>
  <si>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</si>
  <si>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</si>
  <si>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</si>
  <si>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</si>
  <si>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</si>
  <si>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</si>
  <si>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</si>
  <si>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</si>
  <si>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</si>
  <si>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</si>
  <si>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</si>
  <si>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</si>
  <si>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</si>
  <si>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</si>
  <si>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</si>
  <si>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</si>
  <si>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</si>
  <si>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</si>
  <si>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</si>
  <si>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</si>
  <si>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</si>
  <si>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</si>
  <si>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</si>
  <si>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</si>
  <si>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</si>
  <si>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</si>
  <si>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</si>
  <si>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</si>
  <si>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</si>
  <si>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</si>
  <si>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</si>
  <si>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</si>
  <si>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</si>
  <si>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</si>
  <si>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</si>
  <si>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</si>
  <si>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</si>
  <si>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</si>
  <si>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</si>
  <si>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</si>
  <si>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</si>
  <si>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</si>
  <si>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</si>
  <si>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</si>
  <si>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</si>
  <si>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</si>
  <si>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</si>
  <si>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</si>
  <si>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</si>
  <si>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</si>
  <si>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</si>
  <si>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</si>
  <si>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</si>
  <si>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</si>
  <si>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</si>
  <si>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</si>
  <si>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</si>
  <si>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</si>
  <si>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</si>
  <si>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</si>
  <si>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</si>
  <si>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</si>
  <si>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</si>
  <si>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</si>
  <si>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</si>
  <si>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</si>
  <si>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</si>
  <si>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</si>
  <si>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</si>
  <si>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</si>
  <si>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</si>
  <si>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</si>
  <si>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</si>
  <si>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</si>
  <si>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</si>
  <si>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</si>
  <si>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</si>
  <si>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</si>
  <si>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</si>
  <si>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</si>
  <si>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</si>
  <si>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</si>
  <si>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</si>
  <si>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</si>
  <si>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</si>
  <si>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</si>
  <si>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</si>
  <si>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</si>
  <si>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</si>
  <si>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</si>
  <si>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</si>
  <si>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</si>
  <si>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</si>
  <si>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</si>
  <si>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</si>
  <si>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</si>
  <si>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</si>
  <si>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</si>
  <si>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</si>
  <si>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</si>
  <si>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</si>
  <si>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</si>
  <si>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</si>
  <si>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</si>
  <si>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</si>
  <si>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</si>
  <si>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</si>
  <si>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</si>
  <si>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</si>
  <si>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</si>
  <si>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</si>
  <si>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</si>
  <si>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</si>
  <si>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</si>
  <si>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</si>
  <si>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</si>
  <si>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</si>
  <si>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</si>
  <si>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</si>
  <si>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</si>
  <si>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</si>
  <si>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</si>
  <si>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</si>
  <si>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</si>
  <si>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</si>
  <si>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</si>
  <si>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</si>
  <si>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</si>
  <si>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</si>
  <si>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</si>
  <si>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</si>
  <si>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</si>
  <si>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</si>
  <si>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</si>
  <si>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</si>
  <si>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</si>
  <si>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</si>
  <si>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</si>
  <si>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</si>
  <si>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</si>
  <si>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</si>
  <si>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</si>
  <si>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</si>
  <si>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</si>
  <si>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</si>
  <si>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</si>
  <si>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</si>
  <si>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</si>
  <si>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</si>
  <si>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</si>
  <si>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</si>
  <si>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</si>
  <si>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</si>
  <si>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</si>
  <si>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</si>
  <si>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</si>
  <si>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</si>
  <si>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</si>
  <si>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</si>
  <si>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</si>
  <si>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</si>
  <si>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</si>
  <si>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</si>
  <si>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</si>
  <si>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</si>
  <si>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</si>
  <si>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</si>
  <si>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</si>
  <si>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</si>
  <si>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</si>
  <si>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</si>
  <si>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</si>
  <si>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</si>
  <si>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</si>
  <si>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</si>
  <si>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</si>
  <si>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</si>
  <si>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</si>
  <si>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</si>
  <si>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</si>
  <si>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</si>
  <si>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</si>
  <si>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</si>
  <si>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</si>
  <si>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</si>
  <si>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</si>
  <si>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</si>
  <si>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</si>
  <si>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</si>
  <si>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</si>
  <si>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</si>
  <si>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</si>
  <si>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</si>
  <si>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</si>
  <si>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</si>
  <si>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</si>
  <si>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</si>
  <si>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</si>
  <si>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</si>
  <si>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</si>
  <si>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</si>
  <si>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</si>
  <si>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</si>
  <si>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</si>
  <si>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</si>
  <si>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</si>
  <si>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</si>
  <si>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</si>
  <si>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</si>
  <si>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</si>
  <si>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</si>
  <si>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</si>
  <si>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</si>
  <si>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</si>
  <si>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</si>
  <si>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</si>
  <si>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</si>
  <si>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</si>
  <si>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</si>
  <si>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</si>
  <si>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</si>
  <si>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</si>
  <si>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</si>
  <si>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</si>
  <si>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</si>
  <si>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</si>
  <si>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</si>
  <si>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</si>
  <si>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</si>
  <si>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</si>
  <si>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</si>
  <si>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</si>
  <si>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</si>
  <si>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</si>
  <si>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</si>
  <si>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</si>
  <si>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</si>
  <si>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</si>
  <si>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</si>
  <si>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</si>
  <si>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</si>
  <si>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</si>
  <si>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</si>
  <si>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</si>
  <si>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</si>
  <si>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</si>
  <si>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</si>
  <si>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</si>
  <si>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</si>
  <si>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</si>
  <si>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</si>
  <si>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</si>
  <si>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</si>
  <si>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</si>
  <si>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</si>
  <si>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</si>
  <si>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</si>
  <si>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</si>
  <si>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</si>
  <si>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</si>
  <si>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</si>
  <si>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</si>
  <si>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</si>
  <si>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</si>
  <si>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</si>
  <si>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</si>
  <si>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</si>
  <si>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</si>
  <si>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</si>
  <si>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</si>
  <si>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</si>
  <si>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</si>
  <si>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</si>
  <si>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</si>
  <si>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</si>
  <si>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</si>
  <si>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</si>
  <si>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</si>
  <si>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</si>
  <si>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</si>
  <si>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</si>
  <si>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</si>
  <si>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</si>
  <si>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</si>
  <si>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</si>
  <si>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</si>
  <si>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</si>
  <si>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</si>
  <si>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</si>
  <si>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</si>
  <si>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</si>
  <si>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</si>
  <si>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</si>
  <si>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</si>
  <si>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</si>
  <si>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</si>
  <si>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</si>
  <si>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</si>
  <si>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</si>
  <si>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</si>
  <si>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</si>
  <si>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</si>
  <si>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</si>
  <si>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</si>
  <si>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</si>
  <si>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</si>
  <si>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</si>
  <si>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</si>
  <si>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</si>
  <si>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</si>
  <si>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</si>
  <si>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</si>
  <si>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</si>
  <si>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</si>
  <si>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</si>
  <si>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</si>
  <si>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</si>
  <si>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</si>
  <si>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</si>
  <si>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</si>
  <si>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</si>
  <si>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</si>
  <si>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</si>
  <si>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</si>
  <si>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</si>
  <si>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</si>
  <si>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</si>
  <si>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</si>
  <si>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</si>
  <si>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</si>
  <si>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</si>
  <si>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</si>
  <si>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</si>
  <si>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</si>
  <si>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</si>
  <si>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</si>
  <si>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</si>
  <si>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</si>
  <si>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</si>
  <si>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</si>
  <si>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</si>
  <si>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</si>
  <si>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</si>
  <si>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</si>
  <si>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</si>
  <si>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</si>
  <si>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</si>
  <si>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</si>
  <si>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</si>
  <si>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</si>
  <si>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</si>
  <si>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</si>
  <si>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</si>
  <si>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</si>
  <si>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</si>
  <si>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</si>
  <si>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</si>
  <si>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</si>
  <si>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</si>
  <si>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</si>
  <si>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</si>
  <si>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</si>
  <si>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</si>
  <si>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</si>
  <si>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</si>
  <si>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</si>
  <si>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</si>
  <si>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</si>
  <si>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</si>
  <si>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</si>
  <si>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</si>
  <si>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</si>
  <si>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</si>
  <si>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</si>
  <si>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</si>
  <si>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</si>
  <si>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</si>
  <si>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</si>
  <si>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</si>
  <si>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</si>
  <si>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</si>
  <si>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</si>
  <si>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</si>
  <si>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</si>
  <si>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</si>
  <si>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</si>
  <si>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</si>
  <si>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</si>
  <si>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</si>
  <si>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</si>
  <si>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</si>
  <si>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</si>
  <si>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</si>
  <si>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</si>
  <si>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</si>
  <si>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</si>
  <si>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</si>
  <si>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</si>
  <si>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</si>
  <si>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</si>
  <si>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</si>
  <si>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</si>
  <si>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</si>
  <si>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</si>
  <si>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</si>
  <si>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</si>
  <si>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</si>
  <si>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</si>
  <si>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</si>
  <si>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</si>
  <si>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</si>
  <si>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</si>
  <si>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</si>
  <si>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</si>
  <si>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</si>
  <si>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</si>
  <si>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</si>
  <si>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</si>
  <si>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</si>
  <si>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</si>
  <si>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</si>
  <si>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</si>
  <si>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</si>
  <si>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</si>
  <si>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</si>
  <si>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</si>
  <si>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</si>
  <si>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</si>
  <si>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</si>
  <si>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</si>
  <si>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</si>
  <si>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</si>
  <si>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</si>
  <si>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</si>
  <si>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</si>
  <si>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</si>
  <si>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</si>
  <si>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</si>
  <si>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</si>
  <si>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</si>
  <si>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</si>
  <si>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</si>
  <si>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</si>
  <si>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</si>
  <si>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</si>
  <si>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</si>
  <si>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</si>
  <si>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</si>
  <si>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</si>
  <si>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</si>
  <si>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</si>
  <si>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</si>
  <si>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</si>
  <si>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</si>
  <si>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</si>
  <si>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</si>
  <si>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</si>
  <si>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</si>
  <si>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</si>
  <si>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</si>
  <si>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</si>
  <si>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</si>
  <si>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</si>
  <si>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</si>
  <si>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</si>
  <si>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</si>
  <si>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</si>
  <si>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</si>
  <si>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</si>
  <si>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</si>
  <si>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</si>
  <si>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</si>
  <si>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</si>
  <si>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</si>
  <si>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</si>
  <si>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</si>
  <si>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</si>
  <si>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</si>
  <si>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</si>
  <si>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</si>
  <si>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</si>
  <si>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</si>
  <si>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</si>
  <si>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</si>
  <si>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</si>
  <si>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</si>
  <si>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</si>
  <si>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</si>
  <si>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</si>
  <si>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</si>
  <si>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</si>
  <si>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</si>
  <si>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</si>
  <si>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</si>
  <si>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</si>
  <si>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</si>
  <si>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</si>
  <si>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</si>
  <si>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</si>
  <si>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</si>
  <si>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</si>
  <si>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</si>
  <si>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</si>
  <si>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</si>
  <si>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</si>
  <si>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</si>
  <si>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</si>
  <si>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</si>
  <si>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</si>
  <si>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</si>
  <si>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</si>
  <si>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</si>
  <si>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</si>
  <si>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</si>
  <si>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</si>
  <si>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</si>
  <si>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</si>
  <si>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</si>
  <si>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</si>
  <si>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</si>
  <si>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</si>
  <si>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</si>
  <si>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</si>
  <si>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</si>
  <si>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</si>
  <si>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</si>
  <si>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</si>
  <si>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</si>
  <si>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</si>
  <si>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</si>
  <si>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</si>
  <si>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</si>
  <si>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</si>
  <si>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</si>
  <si>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</si>
  <si>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</si>
  <si>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</si>
  <si>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</si>
  <si>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</si>
  <si>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</si>
  <si>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</si>
  <si>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</si>
  <si>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</si>
  <si>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</si>
  <si>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</si>
  <si>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</si>
  <si>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</si>
  <si>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</si>
  <si>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</si>
  <si>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</si>
  <si>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</si>
  <si>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</si>
  <si>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</si>
  <si>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</si>
  <si>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</si>
  <si>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</si>
  <si>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</si>
  <si>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</si>
  <si>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</si>
  <si>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</si>
  <si>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</si>
  <si>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</si>
  <si>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</si>
  <si>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</si>
  <si>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</si>
  <si>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</si>
  <si>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</si>
  <si>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</si>
  <si>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</si>
  <si>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</si>
  <si>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</si>
  <si>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</si>
  <si>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</si>
  <si>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</si>
  <si>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</si>
  <si>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</si>
  <si>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</si>
  <si>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</si>
  <si>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</si>
  <si>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</si>
  <si>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</si>
  <si>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</si>
  <si>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</si>
  <si>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</si>
  <si>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</si>
  <si>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</si>
  <si>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</si>
  <si>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</si>
  <si>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</si>
  <si>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</si>
  <si>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</si>
  <si>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</si>
  <si>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</si>
  <si>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</si>
  <si>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</si>
  <si>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</si>
  <si>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</si>
  <si>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</si>
  <si>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</si>
  <si>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</si>
  <si>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</si>
  <si>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</si>
  <si>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</si>
  <si>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</si>
  <si>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</si>
  <si>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</si>
  <si>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</si>
  <si>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</si>
  <si>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</si>
  <si>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</si>
  <si>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</si>
  <si>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</si>
  <si>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</si>
  <si>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</si>
  <si>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</si>
  <si>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</si>
  <si>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</si>
  <si>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</si>
  <si>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</si>
  <si>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</si>
  <si>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</si>
  <si>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</si>
  <si>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</si>
  <si>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</si>
  <si>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</si>
  <si>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</si>
  <si>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</si>
  <si>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</si>
  <si>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</si>
  <si>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</si>
  <si>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</si>
  <si>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</si>
  <si>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</si>
  <si>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</si>
  <si>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</si>
  <si>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</si>
  <si>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</si>
  <si>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</si>
  <si>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</si>
  <si>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</si>
  <si>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</si>
  <si>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</si>
  <si>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</si>
  <si>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</si>
  <si>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</si>
  <si>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</si>
  <si>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</si>
  <si>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</si>
  <si>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</si>
  <si>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</si>
  <si>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</si>
  <si>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</si>
  <si>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</si>
  <si>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</si>
  <si>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</si>
  <si>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</si>
  <si>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</si>
  <si>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</si>
  <si>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</si>
  <si>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</si>
  <si>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</si>
  <si>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</si>
  <si>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</si>
  <si>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</si>
  <si>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</si>
  <si>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</si>
  <si>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</si>
  <si>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</si>
  <si>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</si>
  <si>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</si>
  <si>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</si>
  <si>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</si>
  <si>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</si>
  <si>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</si>
  <si>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</si>
  <si>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</si>
  <si>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</si>
  <si>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</si>
  <si>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</si>
  <si>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</si>
  <si>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</si>
  <si>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</si>
  <si>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</si>
  <si>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</si>
  <si>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</si>
  <si>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</si>
  <si>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</si>
  <si>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</si>
  <si>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</si>
  <si>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</si>
  <si>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</si>
  <si>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</si>
  <si>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</si>
  <si>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</si>
  <si>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</si>
  <si>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</si>
  <si>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</si>
  <si>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</si>
  <si>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</si>
  <si>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</si>
  <si>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</si>
  <si>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</si>
  <si>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</si>
  <si>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</si>
  <si>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</si>
  <si>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</si>
  <si>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</si>
  <si>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</si>
  <si>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</si>
  <si>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</si>
  <si>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</si>
  <si>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</si>
  <si>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</si>
  <si>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</si>
  <si>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</si>
  <si>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</si>
  <si>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</si>
  <si>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</si>
  <si>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</si>
  <si>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</si>
  <si>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</si>
  <si>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</si>
  <si>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</si>
  <si>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</si>
  <si>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</si>
  <si>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</si>
  <si>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</si>
  <si>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</si>
  <si>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</si>
  <si>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</si>
  <si>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</si>
  <si>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</si>
  <si>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</si>
  <si>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</si>
  <si>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</si>
  <si>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</si>
  <si>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</si>
  <si>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</si>
  <si>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</si>
  <si>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</si>
  <si>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</si>
  <si>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</si>
  <si>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</si>
  <si>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</si>
  <si>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</si>
  <si>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</si>
  <si>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</si>
  <si>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</si>
  <si>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</si>
  <si>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</si>
  <si>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</si>
  <si>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</si>
  <si>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</si>
  <si>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</si>
  <si>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</si>
  <si>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</si>
  <si>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</si>
  <si>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</si>
  <si>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</si>
  <si>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</si>
  <si>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</si>
  <si>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</si>
  <si>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</si>
  <si>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</si>
  <si>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</si>
  <si>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</si>
  <si>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</si>
  <si>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</si>
  <si>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</si>
  <si>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</si>
  <si>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</si>
  <si>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</si>
  <si>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</si>
  <si>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</si>
  <si>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</si>
  <si>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</si>
  <si>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</si>
  <si>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</si>
  <si>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</si>
  <si>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</si>
  <si>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</si>
  <si>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</si>
  <si>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</si>
  <si>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</si>
  <si>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</si>
  <si>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</si>
  <si>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</si>
  <si>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</si>
  <si>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</si>
  <si>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</si>
  <si>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</si>
  <si>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</si>
  <si>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</si>
  <si>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</si>
  <si>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</si>
  <si>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</si>
  <si>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</si>
  <si>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</si>
  <si>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</si>
  <si>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</si>
  <si>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</si>
  <si>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</si>
  <si>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</si>
  <si>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</si>
  <si>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</si>
  <si>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</si>
  <si>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</si>
  <si>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</si>
  <si>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</si>
  <si>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</si>
  <si>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</si>
  <si>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</si>
  <si>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</si>
  <si>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</si>
  <si>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</si>
  <si>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</si>
  <si>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</si>
  <si>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</si>
  <si>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</si>
  <si>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</si>
  <si>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</si>
  <si>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</si>
  <si>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</si>
  <si>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</si>
  <si>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</si>
  <si>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</si>
  <si>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</si>
  <si>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</si>
  <si>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</si>
  <si>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</si>
  <si>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</si>
  <si>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</si>
  <si>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</si>
  <si>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</si>
  <si>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</si>
  <si>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</si>
  <si>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</si>
  <si>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</si>
  <si>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</si>
  <si>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</si>
  <si>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</si>
  <si>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</si>
  <si>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</si>
  <si>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</si>
  <si>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</si>
  <si>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</si>
  <si>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</si>
  <si>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</si>
  <si>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</si>
  <si>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</si>
  <si>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</si>
  <si>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</si>
  <si>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</si>
  <si>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</si>
  <si>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</si>
  <si>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</si>
  <si>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</si>
  <si>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</si>
  <si>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</si>
  <si>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</si>
  <si>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</si>
  <si>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</si>
  <si>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</si>
  <si>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</si>
  <si>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</si>
  <si>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</si>
  <si>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</si>
  <si>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</si>
  <si>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</si>
  <si>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</si>
  <si>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</si>
  <si>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</si>
  <si>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</si>
  <si>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</si>
  <si>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</si>
  <si>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</si>
  <si>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</si>
  <si>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</si>
  <si>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</si>
  <si>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</si>
  <si>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</si>
  <si>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</si>
  <si>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</si>
  <si>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</si>
  <si>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</si>
  <si>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</si>
  <si>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</si>
  <si>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</si>
  <si>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</si>
  <si>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</si>
  <si>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</si>
  <si>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</si>
  <si>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</si>
  <si>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</si>
  <si>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</si>
  <si>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</si>
  <si>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</si>
  <si>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</si>
  <si>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</si>
  <si>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</si>
  <si>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</si>
  <si>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</si>
  <si>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</si>
  <si>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</si>
  <si>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</si>
  <si>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</si>
  <si>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</si>
  <si>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</si>
  <si>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</si>
  <si>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</si>
  <si>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</si>
  <si>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</si>
  <si>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</si>
  <si>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</si>
  <si>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</si>
  <si>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</si>
  <si>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</si>
  <si>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</si>
  <si>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</si>
  <si>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</si>
  <si>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</si>
  <si>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</si>
  <si>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</si>
  <si>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</si>
  <si>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</si>
  <si>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</si>
  <si>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</si>
  <si>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</si>
  <si>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</si>
  <si>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</si>
  <si>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</si>
  <si>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</si>
  <si>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</si>
  <si>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</si>
  <si>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</si>
  <si>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</si>
  <si>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</si>
  <si>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</si>
  <si>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</si>
  <si>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</si>
  <si>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</si>
  <si>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</si>
  <si>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</si>
  <si>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</si>
  <si>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</si>
  <si>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</si>
  <si>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</si>
  <si>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</si>
  <si>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</si>
  <si>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</si>
  <si>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</si>
  <si>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</si>
  <si>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</si>
  <si>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</si>
  <si>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</si>
  <si>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</si>
  <si>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</si>
  <si>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</si>
  <si>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</si>
  <si>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</si>
  <si>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</si>
  <si>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</si>
  <si>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</si>
  <si>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</si>
  <si>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</si>
  <si>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</si>
  <si>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</si>
  <si>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</si>
  <si>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</si>
  <si>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</si>
  <si>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</si>
  <si>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</si>
  <si>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</si>
  <si>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</si>
  <si>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</si>
  <si>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</si>
  <si>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</si>
  <si>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</si>
  <si>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</si>
  <si>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</si>
  <si>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</si>
  <si>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</si>
  <si>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</si>
  <si>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</si>
  <si>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</si>
  <si>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</si>
  <si>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</si>
  <si>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</si>
  <si>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</si>
  <si>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</si>
  <si>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</si>
  <si>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</si>
  <si>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</si>
  <si>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</si>
  <si>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</si>
  <si>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</si>
  <si>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</si>
  <si>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</si>
  <si>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</si>
  <si>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</si>
  <si>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</si>
  <si>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</si>
  <si>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</si>
  <si>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</si>
  <si>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</si>
  <si>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</si>
  <si>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</si>
  <si>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</si>
  <si>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</si>
  <si>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</si>
  <si>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</si>
  <si>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</si>
  <si>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</si>
  <si>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</si>
  <si>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</si>
  <si>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</si>
  <si>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</si>
  <si>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</si>
  <si>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</si>
  <si>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</si>
  <si>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</si>
  <si>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</si>
  <si>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</si>
  <si>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</si>
  <si>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</si>
  <si>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</si>
  <si>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</si>
  <si>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</si>
  <si>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</si>
  <si>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</si>
  <si>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</si>
  <si>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</si>
  <si>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</si>
  <si>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</si>
  <si>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</si>
  <si>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</si>
  <si>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</si>
  <si>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</si>
  <si>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</si>
  <si>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</si>
  <si>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</si>
  <si>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</si>
  <si>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</si>
  <si>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</si>
  <si>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</si>
  <si>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</si>
  <si>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</si>
  <si>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</si>
  <si>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</si>
  <si>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</si>
  <si>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</si>
  <si>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</si>
  <si>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</si>
  <si>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</si>
  <si>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</si>
  <si>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</si>
  <si>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</si>
  <si>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</si>
  <si>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</si>
  <si>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</si>
  <si>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</si>
  <si>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</si>
  <si>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</si>
  <si>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</si>
  <si>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</si>
  <si>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</si>
  <si>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</si>
  <si>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</si>
  <si>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</si>
  <si>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</si>
  <si>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</si>
  <si>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</si>
  <si>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</si>
  <si>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</si>
  <si>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</si>
  <si>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</si>
  <si>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</si>
  <si>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</si>
  <si>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</si>
  <si>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</si>
  <si>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</si>
  <si>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</si>
  <si>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</si>
  <si>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</si>
  <si>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</si>
  <si>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</si>
  <si>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</si>
  <si>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</si>
  <si>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</si>
  <si>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</si>
  <si>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</si>
  <si>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</si>
  <si>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</si>
  <si>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</si>
  <si>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</si>
  <si>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</si>
  <si>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</si>
  <si>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</si>
  <si>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</si>
  <si>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</si>
  <si>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</si>
  <si>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</si>
  <si>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</si>
  <si>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</si>
  <si>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</si>
  <si>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</si>
  <si>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</si>
  <si>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</si>
  <si>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</si>
  <si>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</si>
  <si>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</si>
  <si>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</si>
  <si>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</si>
  <si>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</si>
  <si>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</si>
  <si>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</si>
  <si>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</si>
  <si>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</si>
  <si>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</si>
  <si>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</si>
  <si>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</si>
  <si>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</si>
  <si>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</si>
  <si>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</si>
  <si>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</si>
  <si>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</si>
  <si>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</si>
  <si>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</si>
  <si>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</si>
  <si>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</si>
  <si>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</si>
  <si>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</si>
  <si>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</si>
  <si>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</si>
  <si>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</si>
  <si>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</si>
  <si>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</si>
  <si>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</si>
  <si>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</si>
  <si>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</si>
  <si>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</si>
  <si>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</si>
  <si>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</si>
  <si>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</si>
  <si>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</si>
  <si>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</si>
  <si>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</si>
  <si>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</si>
  <si>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</si>
  <si>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</si>
  <si>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</si>
  <si>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</si>
  <si>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</si>
  <si>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</si>
  <si>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</si>
  <si>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</si>
  <si>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</si>
  <si>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</si>
  <si>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</si>
  <si>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</si>
  <si>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</si>
  <si>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</si>
  <si>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</si>
  <si>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</si>
  <si>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</si>
  <si>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</si>
  <si>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</si>
  <si>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</si>
  <si>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</si>
  <si>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</si>
  <si>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</si>
  <si>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</si>
  <si>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</si>
  <si>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</si>
  <si>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</si>
  <si>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</si>
  <si>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</si>
  <si>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</si>
  <si>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</si>
  <si>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</si>
  <si>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</si>
  <si>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</si>
  <si>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</si>
  <si>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</si>
  <si>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</si>
  <si>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</si>
  <si>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</si>
  <si>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</si>
  <si>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</si>
  <si>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</si>
  <si>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</si>
  <si>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</si>
  <si>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</si>
  <si>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</si>
  <si>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</si>
  <si>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</si>
  <si>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</si>
  <si>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</si>
  <si>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</si>
  <si>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</si>
  <si>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</si>
  <si>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</si>
  <si>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</si>
  <si>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</si>
  <si>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</si>
  <si>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</si>
  <si>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</si>
  <si>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</si>
  <si>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</si>
  <si>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</si>
  <si>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</si>
  <si>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</si>
  <si>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</si>
  <si>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</si>
  <si>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</si>
  <si>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</si>
  <si>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</si>
  <si>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</si>
  <si>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</si>
  <si>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</si>
  <si>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</si>
  <si>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</si>
  <si>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</si>
  <si>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</si>
  <si>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</si>
  <si>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</si>
  <si>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</si>
  <si>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</si>
  <si>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</si>
  <si>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</si>
  <si>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</si>
  <si>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</si>
  <si>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</si>
  <si>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</si>
  <si>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</si>
  <si>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</si>
  <si>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</si>
  <si>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</si>
  <si>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</si>
  <si>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</si>
  <si>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</si>
  <si>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</si>
  <si>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</si>
  <si>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</si>
  <si>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</si>
  <si>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</si>
  <si>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</si>
  <si>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</si>
  <si>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</si>
  <si>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</si>
  <si>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</si>
  <si>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</si>
  <si>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</si>
  <si>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</si>
  <si>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</si>
  <si>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</si>
  <si>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</si>
  <si>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</si>
  <si>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</si>
  <si>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</si>
  <si>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</si>
  <si>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</si>
  <si>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</si>
  <si>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</si>
  <si>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</si>
  <si>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</si>
  <si>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</si>
  <si>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</si>
  <si>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</si>
  <si>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</si>
  <si>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</si>
  <si>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</si>
  <si>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</si>
  <si>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</si>
  <si>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</si>
  <si>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</si>
  <si>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</si>
  <si>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</si>
  <si>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</si>
  <si>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</si>
  <si>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</si>
  <si>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</si>
  <si>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</si>
  <si>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</si>
  <si>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</si>
  <si>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</si>
  <si>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</si>
  <si>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</si>
  <si>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</si>
  <si>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</si>
  <si>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</si>
  <si>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</si>
  <si>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</si>
  <si>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</si>
  <si>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</si>
  <si>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</si>
  <si>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</si>
  <si>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</si>
  <si>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</si>
  <si>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</si>
  <si>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</si>
  <si>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</si>
  <si>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</si>
  <si>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</si>
  <si>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</si>
  <si>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</si>
  <si>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</si>
  <si>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</si>
  <si>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</si>
  <si>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</si>
  <si>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</si>
  <si>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</si>
  <si>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</si>
  <si>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</si>
  <si>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</si>
  <si>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</si>
  <si>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</si>
  <si>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</si>
  <si>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</si>
  <si>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</si>
  <si>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</si>
  <si>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</si>
  <si>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</si>
  <si>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</si>
  <si>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</si>
  <si>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</si>
  <si>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</si>
  <si>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</si>
  <si>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</si>
  <si>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</si>
  <si>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</si>
  <si>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</si>
  <si>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</si>
  <si>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</si>
  <si>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</si>
  <si>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</si>
  <si>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</si>
  <si>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</si>
  <si>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</si>
  <si>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</si>
  <si>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</si>
  <si>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</si>
  <si>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</si>
  <si>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</si>
  <si>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</si>
  <si>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</si>
  <si>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</si>
  <si>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</si>
  <si>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</si>
  <si>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</si>
  <si>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</si>
  <si>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</si>
  <si>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</si>
  <si>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</si>
  <si>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</si>
  <si>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</si>
  <si>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</si>
  <si>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</si>
  <si>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</si>
  <si>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</si>
  <si>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</si>
  <si>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</si>
  <si>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</si>
  <si>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</si>
  <si>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</si>
  <si>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</si>
  <si>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</si>
  <si>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</si>
  <si>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</si>
  <si>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Ⅶ-门1</t>
  </si>
  <si>
    <t>是</t>
  </si>
  <si>
    <t>地上</t>
  </si>
  <si>
    <t>成新度</t>
  </si>
  <si>
    <t>收益法 (元)</t>
  </si>
  <si>
    <t>利息：取LPR加浮动点数</t>
  </si>
  <si>
    <t>自定义容积率</t>
  </si>
  <si>
    <t>押一</t>
  </si>
  <si>
    <t>钢混</t>
  </si>
  <si>
    <t>非生产用房</t>
  </si>
  <si>
    <t>否</t>
  </si>
  <si>
    <t>楼面单价</t>
  </si>
  <si>
    <t>通路</t>
  </si>
  <si>
    <t>通电</t>
  </si>
  <si>
    <t>通讯</t>
  </si>
  <si>
    <t>通上水</t>
  </si>
  <si>
    <t>通下水</t>
  </si>
  <si>
    <t>平整</t>
  </si>
  <si>
    <t>一般</t>
  </si>
  <si>
    <t>较好</t>
  </si>
  <si>
    <t>好</t>
  </si>
  <si>
    <t>未包含在土地购买价格中</t>
  </si>
  <si>
    <t>已包含在土地取得成本中</t>
  </si>
  <si>
    <t>单套模式</t>
  </si>
  <si>
    <t>售价</t>
  </si>
  <si>
    <t>正常</t>
    <phoneticPr fontId="31" type="noConversion"/>
  </si>
  <si>
    <t>公共配套</t>
    <phoneticPr fontId="31" type="noConversion"/>
  </si>
  <si>
    <t>办公</t>
    <phoneticPr fontId="31" type="noConversion"/>
  </si>
  <si>
    <t>石龙高科大厦</t>
    <phoneticPr fontId="134" type="noConversion"/>
  </si>
  <si>
    <t>长安天街</t>
    <phoneticPr fontId="134" type="noConversion"/>
  </si>
  <si>
    <t>远洋长安国际中心</t>
    <phoneticPr fontId="134" type="noConversion"/>
  </si>
  <si>
    <t>中区</t>
    <phoneticPr fontId="134" type="noConversion"/>
  </si>
  <si>
    <t>较好</t>
    <phoneticPr fontId="31" type="noConversion"/>
  </si>
  <si>
    <t>较好</t>
    <phoneticPr fontId="31" type="noConversion"/>
  </si>
  <si>
    <t>七通</t>
    <phoneticPr fontId="31" type="noConversion"/>
  </si>
  <si>
    <t>七通</t>
    <phoneticPr fontId="31" type="noConversion"/>
  </si>
  <si>
    <t>七通</t>
    <phoneticPr fontId="31" type="noConversion"/>
  </si>
  <si>
    <t>毛坯</t>
    <phoneticPr fontId="31" type="noConversion"/>
  </si>
  <si>
    <t>低区</t>
    <phoneticPr fontId="31" type="noConversion"/>
  </si>
  <si>
    <t>中区</t>
    <phoneticPr fontId="31" type="noConversion"/>
  </si>
  <si>
    <t>高区</t>
    <phoneticPr fontId="31" type="noConversion"/>
  </si>
  <si>
    <t>挂牌</t>
    <phoneticPr fontId="31" type="noConversion"/>
  </si>
  <si>
    <t>挂牌</t>
    <phoneticPr fontId="31" type="noConversion"/>
  </si>
  <si>
    <t>成本法 (元)</t>
  </si>
  <si>
    <t>Ⅶ-石龙开发区</t>
  </si>
  <si>
    <t>燃气</t>
  </si>
  <si>
    <t>中心城区</t>
  </si>
  <si>
    <t>与级别开发程度一致</t>
  </si>
  <si>
    <t>通热</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</si>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</sst>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47</xdr:row>
      <xdr:rowOff>132327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8190477"/>
        </a:xfrm>
        <a:prstGeom prst="rect">
          <a:avLst/>
        </a:prstGeom>
      </xdr:spPr>
    </xdr:pic>
    <xdr:clientData/>
  </xdr:twoCellAnchor>
  <xdr:twoCellAnchor editAs="oneCell">
    <xdr:from>
      <xdr:col>0</xdr:col>
      <xdr:colOff>0</xdr:colOff>
      <xdr:row>48</xdr:row>
      <xdr:rowOff>0</xdr:rowOff>
    </xdr:from>
    <xdr:to>
      <xdr:col>14</xdr:col>
      <xdr:colOff>103563</xdr:colOff>
      <xdr:row>96</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704763" cy="8390477"/>
        </a:xfrm>
        <a:prstGeom prst="rect">
          <a:avLst/>
        </a:prstGeom>
      </xdr:spPr>
    </xdr:pic>
    <xdr:clientData/>
  </xdr:twoCellAnchor>
  <xdr:twoCellAnchor editAs="oneCell">
    <xdr:from>
      <xdr:col>0</xdr:col>
      <xdr:colOff>0</xdr:colOff>
      <xdr:row>97</xdr:row>
      <xdr:rowOff>0</xdr:rowOff>
    </xdr:from>
    <xdr:to>
      <xdr:col>14</xdr:col>
      <xdr:colOff>322610</xdr:colOff>
      <xdr:row>146</xdr:row>
      <xdr:rowOff>65617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923810" cy="8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估价对象为北京市房地产，为所有。根据《国有土地使用证》[]，估价对象（分摊）出让国有建设用地使用权面积为0平方米，建筑面积为895.16平方米。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估价对象为北京市房地产,属开发建设的，该项目尚在开发建设中。根据《国有土地使用证》[]，估价对象（分摊）出让国有建设用地使用权面积为0平方米，规划建筑面积为895.16平方米。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2023年2月25日</v>
      </c>
    </row>
    <row r="13" spans="1:2" s="1203" customFormat="1">
      <c r="A13" s="1201" t="s">
        <v>529</v>
      </c>
      <c r="B13" s="1202" t="str">
        <f>'预评函-1'!A18</f>
        <v>本次估价的“房地产价值”是指在正常市场情况下，在价值时点2023年2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1707.3387</v>
      </c>
    </row>
    <row r="21" spans="1:2" s="1203" customFormat="1">
      <c r="A21" s="1201" t="s">
        <v>537</v>
      </c>
      <c r="B21" s="1202">
        <f ca="1">'预评函-2'!D7</f>
        <v>19073</v>
      </c>
    </row>
    <row r="22" spans="1:2" s="1203" customFormat="1">
      <c r="A22" s="1201" t="s">
        <v>538</v>
      </c>
      <c r="B22" s="1202" t="str">
        <f ca="1">'预评函-2'!D6</f>
        <v>壹仟柒佰零柒万叁仟叁佰捌拾柒元整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1707.3387</v>
      </c>
    </row>
    <row r="31" spans="1:2" s="1203" customFormat="1">
      <c r="A31" s="1201" t="s">
        <v>576</v>
      </c>
      <c r="B31" s="1202">
        <f ca="1">'预评函-2'!D15</f>
        <v>19073</v>
      </c>
    </row>
    <row r="32" spans="1:2" s="1203" customFormat="1">
      <c r="A32" s="1201" t="s">
        <v>543</v>
      </c>
      <c r="B32" s="1202" t="str">
        <f ca="1">'预评函-2'!D14</f>
        <v>壹仟柒佰零柒万叁仟叁佰捌拾柒元整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895.16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8" t="s">
        <v>2583</v>
      </c>
      <c r="J2" s="3508"/>
      <c r="K2" s="3508"/>
      <c r="L2" s="3508"/>
      <c r="M2" s="3508"/>
      <c r="N2" s="3508"/>
      <c r="O2" s="3508"/>
      <c r="P2" s="3508"/>
      <c r="Q2" s="3508"/>
      <c r="R2" s="3508"/>
    </row>
    <row r="3" spans="1:18">
      <c r="A3" s="3019" t="s">
        <v>2504</v>
      </c>
      <c r="B3" s="3020">
        <f>项目基本情况!D3</f>
        <v>44982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3.81</v>
      </c>
      <c r="D5" s="3024">
        <f>IF(ISERROR(ROUND(POWER(1+E5,A5-C5)*(POWER(1+E5,C5)-1)/(POWER(1+E5,A5)-1),3)),0,ROUND(POWER(1+E5,A5-C5)*(POWER(1+E5,C5)-1)/(POWER(1+E5,A5)-1),4))</f>
        <v>0.17530000000000001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13.82</v>
      </c>
      <c r="D6" s="3024">
        <f>IF(ISERROR(ROUND(POWER(1+E6,A6-C6)*(POWER(1+E6,C6)-1)/(POWER(1+E6,A6)-1),3)),0,ROUND(POWER(1+E6,A6-C6)*(POWER(1+E6,C6)-1)/(POWER(1+E6,A6)-1),4))</f>
        <v>0.48699999999999999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33.83</v>
      </c>
      <c r="D7" s="3024">
        <f>IF(ISERROR(ROUND(POWER(1+E7,A7-C7)*(POWER(1+E7,C7)-1)/(POWER(1+E7,A7)-1),3)),0,ROUND(POWER(1+E7,A7-C7)*(POWER(1+E7,C7)-1)/(POWER(1+E7,A7)-1),4))</f>
        <v>0.78510000000000002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44982</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12" t="s">
        <v>2177</v>
      </c>
      <c r="E8" s="2390" t="s">
        <v>3379</v>
      </c>
      <c r="F8" s="2391"/>
      <c r="G8" s="2662"/>
      <c r="H8" s="2662"/>
      <c r="I8" s="2662"/>
      <c r="J8" s="2438"/>
      <c r="K8" s="2613"/>
      <c r="L8" s="2612"/>
      <c r="M8" s="2612"/>
      <c r="N8" s="2438"/>
      <c r="O8" s="2449"/>
      <c r="P8" s="2438"/>
      <c r="Q8" s="2438"/>
      <c r="R8" s="2438"/>
    </row>
    <row r="9" spans="1:30" ht="13.8" thickBot="1">
      <c r="A9" s="2392" t="s">
        <v>2178</v>
      </c>
      <c r="B9" s="2393" t="s">
        <v>3379</v>
      </c>
      <c r="C9" s="2394"/>
      <c r="D9" s="3513"/>
      <c r="E9" s="2393"/>
      <c r="F9" s="2395"/>
      <c r="G9" s="2664"/>
      <c r="H9" s="2664"/>
      <c r="I9" s="2664"/>
      <c r="J9" s="2438"/>
      <c r="K9" s="2615"/>
      <c r="L9" s="2612"/>
      <c r="M9" s="2612"/>
      <c r="N9" s="2438"/>
      <c r="O9" s="2449"/>
      <c r="P9" s="2438"/>
      <c r="Q9" s="2438"/>
      <c r="R9" s="2438"/>
    </row>
    <row r="10" spans="1:30" ht="13.8"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3338</v>
      </c>
      <c r="B13" s="2406" t="s">
        <v>2190</v>
      </c>
      <c r="C13" s="856"/>
      <c r="D13" s="856"/>
      <c r="E13" s="856"/>
      <c r="F13" s="856"/>
      <c r="G13" s="856"/>
      <c r="H13" s="856">
        <f>I13</f>
        <v>57481</v>
      </c>
      <c r="I13" s="856">
        <v>57481</v>
      </c>
      <c r="J13" s="3061"/>
      <c r="K13" s="2612"/>
      <c r="L13" s="2612"/>
      <c r="M13" s="2438"/>
      <c r="N13" s="2449"/>
      <c r="O13" s="2438"/>
      <c r="P13" s="2438"/>
      <c r="Q13" s="2438"/>
      <c r="AD13" s="1745"/>
    </row>
    <row r="14" spans="1:30">
      <c r="A14" s="1081"/>
      <c r="B14" s="2406" t="s">
        <v>2191</v>
      </c>
      <c r="C14" s="2407"/>
      <c r="D14" s="2407"/>
      <c r="E14" s="2407"/>
      <c r="F14" s="2407"/>
      <c r="G14" s="2407"/>
      <c r="H14" s="2407">
        <v>50</v>
      </c>
      <c r="I14" s="2407">
        <v>50</v>
      </c>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34.24</v>
      </c>
      <c r="I15" s="2409">
        <f>IF(A13="出让",IF(I13="","",ROUNDDOWN(MIN((I13-$D$3)/365,I14),2)),I14)</f>
        <v>34.24</v>
      </c>
      <c r="J15" s="3063"/>
      <c r="K15" s="2450"/>
      <c r="L15" s="2450"/>
      <c r="M15" s="2508"/>
      <c r="N15" s="2450"/>
      <c r="O15" s="2508"/>
      <c r="P15" s="2438"/>
      <c r="Q15" s="2438"/>
      <c r="AD15" s="1745"/>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895.16</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3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2218</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1" t="s">
        <v>2228</v>
      </c>
      <c r="T34" s="2427" t="str">
        <f>NUMBERSTRING(7-K34,1)&amp;"通"</f>
        <v>七通</v>
      </c>
      <c r="U34" s="2438"/>
      <c r="V34" s="2438"/>
    </row>
    <row r="35" spans="1:30">
      <c r="A35" s="2428"/>
      <c r="B35" s="3538" t="s">
        <v>2229</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304</v>
      </c>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27" thickBot="1">
      <c r="A38" s="2630" t="s">
        <v>2231</v>
      </c>
      <c r="B38" s="2431"/>
      <c r="C38" s="2431" t="s">
        <v>3382</v>
      </c>
      <c r="D38" s="2431"/>
      <c r="E38" s="2431" t="s">
        <v>3426</v>
      </c>
      <c r="F38" s="2431" t="s">
        <v>3382</v>
      </c>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895.16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895.16</v>
      </c>
      <c r="H5" s="13">
        <f t="shared" ref="H5:AT5" si="0">SUM(H13:H656)</f>
        <v>895.16</v>
      </c>
      <c r="I5" s="13">
        <f t="shared" si="0"/>
        <v>895.16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895.16</v>
      </c>
      <c r="BA5" s="15">
        <f t="shared" si="1"/>
        <v>895.16</v>
      </c>
      <c r="BB5" s="15">
        <f t="shared" si="1"/>
        <v>895.16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3383</v>
      </c>
      <c r="E13" s="13">
        <f>IF($C$3="是",ROUND($A$3*G13/$B$3,2),ROUND($A$3*(G13-AT13)/$B$3,2))</f>
        <v>0</v>
      </c>
      <c r="F13" s="29"/>
      <c r="G13" s="30">
        <f>H13+AC13+AT13</f>
        <v>895.16</v>
      </c>
      <c r="H13" s="17">
        <f>SUMIF(I$12:AB$12,"总值",I13:AB13)</f>
        <v>895.16</v>
      </c>
      <c r="I13" s="1626">
        <v>895.16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895.16</v>
      </c>
      <c r="BA13" s="13">
        <f>SUM(BB13:BK13)</f>
        <v>895.16</v>
      </c>
      <c r="BB13" s="13">
        <f>IF($D13="是",I13-J13,0)</f>
        <v>895.16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1" sqref="I1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8" t="s">
        <v>1131</v>
      </c>
      <c r="B2" s="3548"/>
      <c r="C2" s="3548"/>
      <c r="D2" s="796" t="s">
        <v>1107</v>
      </c>
      <c r="E2" s="1639" t="s">
        <v>1108</v>
      </c>
      <c r="F2" s="2658"/>
      <c r="G2" s="2649"/>
      <c r="H2" s="2650"/>
      <c r="I2" s="2324" t="s">
        <v>1132</v>
      </c>
      <c r="J2" s="2658"/>
      <c r="K2" s="2658"/>
      <c r="L2" s="2658"/>
      <c r="M2" s="2658"/>
      <c r="N2" s="2660"/>
      <c r="O2" s="2658"/>
      <c r="P2" s="2658"/>
    </row>
    <row r="3" spans="1:16" ht="15" thickBot="1">
      <c r="A3" s="3549" t="s">
        <v>1105</v>
      </c>
      <c r="B3" s="3549"/>
      <c r="C3" s="3549"/>
      <c r="D3" s="43">
        <f>'数据-基础表'!AY6</f>
        <v>0</v>
      </c>
      <c r="E3" s="43">
        <f>'数据-基础表'!AZ5</f>
        <v>895.16</v>
      </c>
      <c r="F3" s="2658"/>
      <c r="G3" s="1145"/>
      <c r="H3" s="1026" t="s">
        <v>1106</v>
      </c>
      <c r="I3" s="855" t="e">
        <f>ROUND('数据-基础表'!B3/'数据-基础表'!A3,2)</f>
        <v>#DIV/0!</v>
      </c>
      <c r="J3" s="2658"/>
      <c r="K3" s="2658"/>
      <c r="L3" s="2658"/>
      <c r="M3" s="2658"/>
      <c r="N3" s="2660"/>
      <c r="O3" s="2658"/>
      <c r="P3" s="2658"/>
    </row>
    <row r="4" spans="1:16" ht="14.4">
      <c r="A4" s="3550"/>
      <c r="B4" s="3551"/>
      <c r="C4" s="355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53" t="s">
        <v>1110</v>
      </c>
      <c r="C5" s="355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3" t="s">
        <v>1111</v>
      </c>
      <c r="C6" s="3553"/>
      <c r="D6" s="45">
        <f>ROUND($D$3*E6/$E$3,2)</f>
        <v>0</v>
      </c>
      <c r="E6" s="46">
        <f>E3-E5</f>
        <v>895.16</v>
      </c>
      <c r="F6" s="2658"/>
      <c r="G6" s="2652" t="s">
        <v>1112</v>
      </c>
      <c r="H6" s="1146" t="s">
        <v>1113</v>
      </c>
      <c r="I6" s="2653" t="e">
        <f>ROUND(F31/D31,2)</f>
        <v>#DIV/0!</v>
      </c>
      <c r="J6" s="2658"/>
      <c r="K6" s="2658"/>
      <c r="L6" s="2658"/>
      <c r="M6" s="2658"/>
      <c r="N6" s="2658"/>
      <c r="O6" s="2658"/>
      <c r="P6" s="2658"/>
    </row>
    <row r="7" spans="1:16" ht="15" thickBot="1">
      <c r="A7" s="3545"/>
      <c r="B7" s="3546"/>
      <c r="C7" s="3547"/>
      <c r="D7" s="1641" t="s">
        <v>1107</v>
      </c>
      <c r="E7" s="1645" t="s">
        <v>1114</v>
      </c>
      <c r="F7" s="2658"/>
      <c r="G7" s="2654" t="s">
        <v>1115</v>
      </c>
      <c r="H7" s="2655"/>
      <c r="I7" s="2656">
        <v>2</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895.16</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895.16</v>
      </c>
      <c r="F16" s="2658"/>
      <c r="G16" s="2659"/>
      <c r="H16" s="1648" t="s">
        <v>1135</v>
      </c>
      <c r="I16" s="1649"/>
      <c r="J16" s="1139"/>
      <c r="K16" s="3542" t="s">
        <v>1135</v>
      </c>
      <c r="L16" s="3543"/>
      <c r="M16" s="3543"/>
      <c r="N16" s="3543"/>
      <c r="O16" s="3543"/>
      <c r="P16" s="3544"/>
    </row>
    <row r="17" spans="1:19" ht="14.4">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v>101</v>
      </c>
      <c r="D19" s="45">
        <f>ROUND($D$3*E19/$E$3,2)</f>
        <v>0</v>
      </c>
      <c r="E19" s="53">
        <f t="shared" ref="E19:E26" si="1">SUM(F19:G19)</f>
        <v>895.16</v>
      </c>
      <c r="F19" s="2794">
        <f>'数据-基础表'!I13</f>
        <v>895.16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895.16</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895.16</v>
      </c>
      <c r="F27" s="1140">
        <f>IF(SUM(F19:F26)=E8,SUM(F19:F26),"地上面积有误")</f>
        <v>895.16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895.16</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895.16</v>
      </c>
      <c r="F31" s="677">
        <f>F27+F30</f>
        <v>895.16</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U35" sqref="U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44982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101</v>
      </c>
      <c r="B6" s="1713" t="str">
        <f>IF(A6=0,"","经营性")</f>
        <v>经营性</v>
      </c>
      <c r="C6" s="1714" t="s">
        <v>3431</v>
      </c>
      <c r="D6" s="858">
        <f>SUMIF(项目基本情况!C$12:I$12,C6,项目基本情况!C$14:I$14)</f>
        <v>50</v>
      </c>
      <c r="E6" s="857">
        <f>IF(B6="","",SUMIF(项目基本情况!C$12:I$12,C6,项目基本情况!C$13:I$13))</f>
        <v>57481</v>
      </c>
      <c r="F6" s="64">
        <f>SUMIF(项目基本情况!C$12:I$12,C6,项目基本情况!C$15:I$15)</f>
        <v>34.24</v>
      </c>
      <c r="G6" s="65">
        <f>IF(ISERROR(ROUND(POWER(1+H6,D6-F6)*(POWER(1+H6,F6)-1)/(POWER(1+H6,D6)-1),3)),0,ROUND(POWER(1+H6,D6-F6)*(POWER(1+H6,F6)-1)/(POWER(1+H6,D6)-1),3))</f>
        <v>0.88900000000000001</v>
      </c>
      <c r="H6" s="732">
        <v>0.05</v>
      </c>
      <c r="I6" s="732">
        <v>5.5E-2</v>
      </c>
      <c r="J6" s="66">
        <v>7.0000000000000007E-2</v>
      </c>
      <c r="K6" s="1030">
        <f>SUMIF('数据-汇总表'!C$19:C$33,A6,'数据-汇总表'!E$19:E$33)</f>
        <v>895.16</v>
      </c>
      <c r="L6" s="733">
        <v>3500</v>
      </c>
      <c r="M6" s="67">
        <f t="shared" ref="M6:M14" si="0">ROUND(K6*L6/10000,0)</f>
        <v>313</v>
      </c>
      <c r="N6" s="731">
        <f>ROUND(1-(2023-2015)/60,2)</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4.5</v>
      </c>
      <c r="V6" s="70">
        <v>2.5000000000000001E-2</v>
      </c>
      <c r="W6" s="70">
        <v>0.1</v>
      </c>
      <c r="X6" s="1040"/>
      <c r="Y6" s="71">
        <f>N6</f>
        <v>0.87</v>
      </c>
      <c r="Z6" s="72"/>
      <c r="AA6" s="66"/>
      <c r="AB6" s="66"/>
      <c r="AC6" s="1040"/>
      <c r="AD6" s="73"/>
      <c r="AE6" s="1041">
        <f ca="1">IF(AN6="",0,SUMIF(INDIRECT("'"&amp;AN6&amp;"'"&amp;"!E:E"),$AE$5,INDIRECT("'"&amp;AN6&amp;"'"&amp;"!F:F")))</f>
        <v>34.24</v>
      </c>
      <c r="AF6" s="1348"/>
      <c r="AG6" s="138">
        <f>IF(AF6="",0,AE6-AF6)</f>
        <v>0</v>
      </c>
      <c r="AH6" s="74"/>
      <c r="AI6" s="76">
        <v>365</v>
      </c>
      <c r="AJ6" s="77"/>
      <c r="AK6" s="78">
        <v>0.01</v>
      </c>
      <c r="AL6" s="79">
        <v>1E-3</v>
      </c>
      <c r="AM6" s="80">
        <v>0.01</v>
      </c>
      <c r="AN6" s="1715" t="s">
        <v>3386</v>
      </c>
      <c r="AO6" s="52">
        <f ca="1">SUMIF(INDIRECT("'"&amp;AN6&amp;"'"&amp;"!A:A"),"总价",INDIRECT("'"&amp;AN6&amp;"'"&amp;"!B:B"))</f>
        <v>2188.0610999999999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0.88900000000000001</v>
      </c>
      <c r="H16" s="90">
        <f>ROUND(SUMPRODUCT(H6:H13,K6:K13)/SUMPRODUCT((H6:H13&gt;0)*(K6:K13)),3)</f>
        <v>0.05</v>
      </c>
      <c r="I16" s="91"/>
      <c r="J16" s="91"/>
      <c r="K16" s="92">
        <f>SUM(K6:K15)</f>
        <v>895.16</v>
      </c>
      <c r="L16" s="93">
        <f>ROUND(M16*10000/SUM(K6:K14),0)</f>
        <v>3497</v>
      </c>
      <c r="M16" s="93">
        <f>SUM(M6:M14)</f>
        <v>313</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 (元)'!C10</f>
        <v>179032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3387</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2" sqref="C32"/>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895.16</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44982</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1707.3387</v>
      </c>
      <c r="C5" s="2511">
        <f ca="1">IF(B5=D14,结果表!H102,ROUND(B5*10000/$B$1,0))</f>
        <v>19073</v>
      </c>
      <c r="D5" s="2511" t="e">
        <f ca="1">ROUND(B5*10000/$B$2,0)</f>
        <v>#DIV/0!</v>
      </c>
      <c r="E5" s="2685"/>
      <c r="F5" s="2686"/>
      <c r="G5" s="2686"/>
      <c r="H5" s="2687"/>
      <c r="I5" s="2687"/>
      <c r="J5" s="2687"/>
      <c r="K5" s="2687"/>
    </row>
    <row r="6" spans="1:11" ht="15.6">
      <c r="A6" s="2511" t="s">
        <v>656</v>
      </c>
      <c r="B6" s="2511">
        <f ca="1">SUM(G14:G23)</f>
        <v>1707.3387</v>
      </c>
      <c r="C6" s="2511">
        <f ca="1">IF(B6=G14,结果表!H108,ROUND(B6*10000/$B$1,0))</f>
        <v>19073</v>
      </c>
      <c r="D6" s="2511" t="e">
        <f ca="1">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3362</v>
      </c>
      <c r="D10" s="2511" t="s">
        <v>3363</v>
      </c>
      <c r="E10" s="3440"/>
      <c r="F10" s="3444" t="s">
        <v>3364</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895.16</v>
      </c>
      <c r="C14" s="2517"/>
      <c r="D14" s="2517">
        <f ca="1">结果表!H101</f>
        <v>1707.3387</v>
      </c>
      <c r="E14" s="2517">
        <f ca="1">结果表!H102</f>
        <v>19073</v>
      </c>
      <c r="F14" s="2517" t="e">
        <f ca="1">ROUND(D14*10000/C14,0)</f>
        <v>#DIV/0!</v>
      </c>
      <c r="G14" s="2517">
        <f ca="1">D14</f>
        <v>1707.3387</v>
      </c>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0" zoomScale="70" zoomScaleNormal="100" zoomScaleSheetLayoutView="70" zoomScalePageLayoutView="80" workbookViewId="0">
      <selection activeCell="H119" sqref="H119:I1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3.2">
      <c r="A3" s="3627" t="s">
        <v>1264</v>
      </c>
      <c r="B3" s="3628"/>
      <c r="C3" s="3628"/>
      <c r="D3" s="3628"/>
      <c r="E3" s="3628"/>
      <c r="F3" s="3628"/>
      <c r="G3" s="3628"/>
      <c r="H3" s="3628"/>
      <c r="I3" s="3628"/>
    </row>
    <row r="4" spans="1:12" ht="14.4">
      <c r="A4" s="1754" t="s">
        <v>1265</v>
      </c>
      <c r="B4" s="1755" t="s">
        <v>1266</v>
      </c>
      <c r="C4" s="1756" t="s">
        <v>3425</v>
      </c>
      <c r="D4" s="1756" t="s">
        <v>3386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1" t="s">
        <v>1268</v>
      </c>
      <c r="B5" s="3626">
        <v>25</v>
      </c>
      <c r="C5" s="3629"/>
      <c r="D5" s="3617"/>
      <c r="E5" s="131" t="s">
        <v>1269</v>
      </c>
      <c r="F5" s="1757"/>
      <c r="G5" s="1757"/>
      <c r="H5" s="1757"/>
      <c r="I5" s="1373"/>
    </row>
    <row r="6" spans="1:12" ht="13.2">
      <c r="A6" s="3571"/>
      <c r="B6" s="3626"/>
      <c r="C6" s="3631"/>
      <c r="D6" s="3617"/>
      <c r="E6" s="131" t="s">
        <v>1270</v>
      </c>
      <c r="F6" s="1757"/>
      <c r="G6" s="1757"/>
      <c r="H6" s="1757"/>
      <c r="I6" s="1373"/>
    </row>
    <row r="7" spans="1:12" ht="13.2">
      <c r="A7" s="3571"/>
      <c r="B7" s="3626"/>
      <c r="C7" s="3630"/>
      <c r="D7" s="3617"/>
      <c r="E7" s="131" t="s">
        <v>1271</v>
      </c>
      <c r="F7" s="1757"/>
      <c r="G7" s="1757"/>
      <c r="H7" s="1757"/>
      <c r="I7" s="1373"/>
    </row>
    <row r="8" spans="1:12" ht="13.2">
      <c r="A8" s="3571" t="s">
        <v>1272</v>
      </c>
      <c r="B8" s="3626">
        <v>15</v>
      </c>
      <c r="C8" s="3629"/>
      <c r="D8" s="3617"/>
      <c r="E8" s="131" t="s">
        <v>1273</v>
      </c>
      <c r="F8" s="1757"/>
      <c r="G8" s="1757"/>
      <c r="H8" s="1757"/>
      <c r="I8" s="1373"/>
    </row>
    <row r="9" spans="1:12" ht="13.2">
      <c r="A9" s="3571"/>
      <c r="B9" s="3626"/>
      <c r="C9" s="3630"/>
      <c r="D9" s="3617"/>
      <c r="E9" s="131" t="s">
        <v>1274</v>
      </c>
      <c r="F9" s="1757"/>
      <c r="G9" s="1757"/>
      <c r="H9" s="1757"/>
      <c r="I9" s="1373"/>
    </row>
    <row r="10" spans="1:12" ht="13.2">
      <c r="A10" s="3571" t="s">
        <v>1275</v>
      </c>
      <c r="B10" s="3626">
        <v>15</v>
      </c>
      <c r="C10" s="3629"/>
      <c r="D10" s="3617"/>
      <c r="E10" s="131" t="s">
        <v>1276</v>
      </c>
      <c r="F10" s="1757"/>
      <c r="G10" s="1757"/>
      <c r="H10" s="1757"/>
      <c r="I10" s="1373"/>
    </row>
    <row r="11" spans="1:12" ht="13.2">
      <c r="A11" s="3571"/>
      <c r="B11" s="3626"/>
      <c r="C11" s="3630"/>
      <c r="D11" s="3617"/>
      <c r="E11" s="131" t="s">
        <v>1277</v>
      </c>
      <c r="F11" s="1757"/>
      <c r="G11" s="1757"/>
      <c r="H11" s="1757"/>
      <c r="I11" s="1373"/>
    </row>
    <row r="12" spans="1:12" ht="13.2">
      <c r="A12" s="3571" t="s">
        <v>1278</v>
      </c>
      <c r="B12" s="3626">
        <v>15</v>
      </c>
      <c r="C12" s="3629"/>
      <c r="D12" s="3617"/>
      <c r="E12" s="131" t="s">
        <v>1279</v>
      </c>
      <c r="F12" s="1757"/>
      <c r="G12" s="1757"/>
      <c r="H12" s="1757"/>
      <c r="I12" s="1373"/>
    </row>
    <row r="13" spans="1:12" ht="13.2">
      <c r="A13" s="3571"/>
      <c r="B13" s="3626"/>
      <c r="C13" s="3630"/>
      <c r="D13" s="3617"/>
      <c r="E13" s="131" t="s">
        <v>1280</v>
      </c>
      <c r="F13" s="1757"/>
      <c r="G13" s="1757"/>
      <c r="H13" s="1757"/>
      <c r="I13" s="1373"/>
    </row>
    <row r="14" spans="1:12" ht="13.2">
      <c r="A14" s="3571" t="s">
        <v>1281</v>
      </c>
      <c r="B14" s="3626">
        <v>30</v>
      </c>
      <c r="C14" s="3629">
        <v>4</v>
      </c>
      <c r="D14" s="3617">
        <v>6</v>
      </c>
      <c r="E14" s="131" t="s">
        <v>1282</v>
      </c>
      <c r="F14" s="1757"/>
      <c r="G14" s="1757"/>
      <c r="H14" s="1757"/>
      <c r="I14" s="1373"/>
    </row>
    <row r="15" spans="1:12" ht="13.2">
      <c r="A15" s="3571"/>
      <c r="B15" s="3626"/>
      <c r="C15" s="3631"/>
      <c r="D15" s="3617"/>
      <c r="E15" s="131" t="s">
        <v>1283</v>
      </c>
      <c r="F15" s="1757"/>
      <c r="G15" s="1757"/>
      <c r="H15" s="1757"/>
      <c r="I15" s="1373"/>
    </row>
    <row r="16" spans="1:12" ht="13.2">
      <c r="A16" s="3571"/>
      <c r="B16" s="3626"/>
      <c r="C16" s="3630"/>
      <c r="D16" s="3617"/>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48" t="s">
        <v>2131</v>
      </c>
      <c r="F18" s="3649"/>
      <c r="G18" s="3649"/>
      <c r="H18" s="3649"/>
      <c r="I18" s="3649"/>
      <c r="K18" s="302" t="s">
        <v>1289</v>
      </c>
      <c r="L18" s="302">
        <f>IF(C1="",'数据-汇总表'!E3,SUMIF(项目类型,C1,'数据-汇总表'!E17:E26)+SUMIF(项目类型,C1,'数据-汇总表'!I17:I26))</f>
        <v>895.16</v>
      </c>
      <c r="M18" s="302">
        <f>IF(C1="",'数据-汇总表'!E3,SUMIF(项目类型,C1,'数据-汇总表'!E17:E26))</f>
        <v>895.16</v>
      </c>
    </row>
    <row r="19" spans="1:36" ht="14.4">
      <c r="A19" s="1761" t="s">
        <v>1290</v>
      </c>
      <c r="B19" s="1762" t="s">
        <v>1291</v>
      </c>
      <c r="C19" s="134">
        <f ca="1">SUMIF(INDIRECT("'"&amp;C4&amp;"'"&amp;"!A:A"),结果表!B19,INDIRECT("'"&amp;C4&amp;"'"&amp;"!B:B"))</f>
        <v>986.20780000000002</v>
      </c>
      <c r="D19" s="135">
        <f ca="1">SUMIF(INDIRECT("'"&amp;D4&amp;"'"&amp;"!A:A"),结果表!B19,INDIRECT("'"&amp;D4&amp;"'"&amp;"!B:B"))</f>
        <v>2188.0610999999999</v>
      </c>
      <c r="E19" s="1761" t="s">
        <v>1292</v>
      </c>
      <c r="F19" s="1762" t="s">
        <v>1291</v>
      </c>
      <c r="G19" s="136">
        <f ca="1">ROUND(C19*$C$18+D19*$D$18,0)</f>
        <v>1707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11017</v>
      </c>
      <c r="D20" s="138">
        <f ca="1">SUMIF(INDIRECT("'"&amp;D4&amp;"'"&amp;"!A:A"),结果表!B20,INDIRECT("'"&amp;D4&amp;"'"&amp;"!B:B"))</f>
        <v>24443</v>
      </c>
      <c r="E20" s="1764"/>
      <c r="F20" s="1026" t="s">
        <v>1295</v>
      </c>
      <c r="G20" s="139">
        <f ca="1">ROUND(C20*$C$18+D20*$D$18,0)</f>
        <v>19073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1.2186613206669019</v>
      </c>
      <c r="E22" s="129"/>
      <c r="F22" s="129"/>
      <c r="G22" s="129"/>
      <c r="H22" s="129"/>
      <c r="I22" s="129"/>
      <c r="L22" s="725">
        <f>1500000/365/L18</f>
        <v>4.5908988796370371</v>
      </c>
    </row>
    <row r="23" spans="1:36" ht="13.8" thickBot="1">
      <c r="A23" s="1747"/>
      <c r="B23" s="1747"/>
      <c r="C23" s="1747"/>
      <c r="D23" s="1747"/>
      <c r="E23" s="129"/>
      <c r="F23" s="129"/>
      <c r="G23" s="129"/>
      <c r="H23" s="129"/>
      <c r="I23" s="129"/>
    </row>
    <row r="24" spans="1:36" ht="14.4">
      <c r="A24" s="3641" t="s">
        <v>1299</v>
      </c>
      <c r="B24" s="1762" t="s">
        <v>1291</v>
      </c>
      <c r="C24" s="136">
        <f>IF(B30=0,0,D30)</f>
        <v>0</v>
      </c>
      <c r="D24" s="1769"/>
      <c r="E24" s="129"/>
      <c r="F24" s="129"/>
      <c r="G24" s="129"/>
      <c r="H24" s="129"/>
      <c r="I24" s="129"/>
    </row>
    <row r="25" spans="1:36" ht="14.4">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19073</v>
      </c>
      <c r="D32" s="1775" t="s">
        <v>3393</v>
      </c>
      <c r="E32" s="129"/>
      <c r="F32" s="129"/>
      <c r="G32" s="129"/>
      <c r="H32" s="129"/>
      <c r="I32" s="129"/>
    </row>
    <row r="33" spans="1:15" ht="14.4">
      <c r="A33" s="786" t="s">
        <v>1306</v>
      </c>
      <c r="B33" s="1776"/>
      <c r="C33" s="1777"/>
      <c r="D33" s="1778"/>
      <c r="E33" s="1779" t="s">
        <v>1307</v>
      </c>
      <c r="F33" s="1780" t="str">
        <f>IF(D32="楼面单价","取值（单价）","取值（总价）")</f>
        <v>取值（单价）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8" t="s">
        <v>1312</v>
      </c>
      <c r="B36" s="1787" t="s">
        <v>1313</v>
      </c>
      <c r="C36" s="145"/>
      <c r="D36" s="1788"/>
      <c r="E36" s="1789"/>
      <c r="F36" s="1790"/>
      <c r="G36" s="129"/>
      <c r="H36" s="129"/>
      <c r="I36" s="129"/>
    </row>
    <row r="37" spans="1:15" ht="15" thickBot="1">
      <c r="A37" s="3619"/>
      <c r="B37" s="1674" t="s">
        <v>1314</v>
      </c>
      <c r="C37" s="147"/>
      <c r="D37" s="1139"/>
      <c r="E37" s="1139"/>
      <c r="F37" s="1790"/>
      <c r="G37" s="129"/>
      <c r="H37" s="129"/>
      <c r="I37" s="129"/>
    </row>
    <row r="38" spans="1:15" ht="15" thickBot="1">
      <c r="A38" s="362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1707</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2">
        <v>1</v>
      </c>
      <c r="K46" s="3559" t="s">
        <v>1331</v>
      </c>
      <c r="L46" s="3559"/>
      <c r="M46" s="3560"/>
      <c r="N46" s="3560"/>
      <c r="O46" s="3560"/>
    </row>
    <row r="47" spans="1:15" ht="12" customHeight="1">
      <c r="A47" s="160" t="s">
        <v>1332</v>
      </c>
      <c r="B47" s="161"/>
      <c r="C47" s="162"/>
      <c r="D47" s="1087" t="s">
        <v>1333</v>
      </c>
      <c r="E47" s="302" t="s">
        <v>1334</v>
      </c>
      <c r="F47" s="163" t="s">
        <v>1335</v>
      </c>
      <c r="G47" s="2545" t="s">
        <v>1336</v>
      </c>
      <c r="H47" s="2546"/>
      <c r="I47" s="159"/>
      <c r="J47" s="2522">
        <v>2</v>
      </c>
      <c r="K47" s="3559" t="s">
        <v>1337</v>
      </c>
      <c r="L47" s="3559"/>
      <c r="M47" s="3561">
        <f>'数据-取费表'!B2</f>
        <v>44982</v>
      </c>
      <c r="N47" s="3561"/>
      <c r="O47" s="3561"/>
    </row>
    <row r="48" spans="1:15" ht="26.4">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9" t="s">
        <v>1340</v>
      </c>
      <c r="L48" s="3559"/>
      <c r="M48" s="3562">
        <f ca="1">H101</f>
        <v>1707.3387</v>
      </c>
      <c r="N48" s="3562"/>
      <c r="O48" s="3562"/>
    </row>
    <row r="49" spans="1:35" ht="25.5" customHeight="1">
      <c r="A49" s="2332" t="s">
        <v>1341</v>
      </c>
      <c r="B49" s="3607" t="s">
        <v>1342</v>
      </c>
      <c r="C49" s="3607"/>
      <c r="D49" s="1590">
        <v>0</v>
      </c>
      <c r="E49" s="324" t="s">
        <v>1343</v>
      </c>
      <c r="F49" s="2423" t="s">
        <v>28</v>
      </c>
      <c r="G49" s="3590"/>
      <c r="H49" s="2309" t="s">
        <v>2134</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1707.3387</v>
      </c>
      <c r="N49" s="3562"/>
      <c r="O49" s="3562"/>
    </row>
    <row r="50" spans="1:35" ht="25.5" customHeight="1">
      <c r="A50" s="2550"/>
      <c r="B50" s="3607" t="s">
        <v>1344</v>
      </c>
      <c r="C50" s="3607"/>
      <c r="D50" s="2551"/>
      <c r="E50" s="332"/>
      <c r="F50" s="2423"/>
      <c r="G50" s="3591"/>
      <c r="H50" s="2311" t="s">
        <v>2135</v>
      </c>
      <c r="I50" s="2310"/>
      <c r="J50" s="3558" t="s">
        <v>1345</v>
      </c>
      <c r="K50" s="3558"/>
      <c r="L50" s="3558"/>
      <c r="M50" s="3558"/>
      <c r="N50" s="3558"/>
      <c r="O50" s="3558"/>
    </row>
    <row r="51" spans="1:35" ht="20.399999999999999" customHeight="1">
      <c r="A51" s="2552"/>
      <c r="B51" s="3607" t="s">
        <v>1346</v>
      </c>
      <c r="C51" s="3607"/>
      <c r="D51" s="1087"/>
      <c r="E51" s="327"/>
      <c r="F51" s="2423"/>
      <c r="G51" s="3592"/>
      <c r="H51" s="2311" t="s">
        <v>2136</v>
      </c>
      <c r="I51" s="2310"/>
      <c r="J51" s="2523" t="s">
        <v>1347</v>
      </c>
      <c r="K51" s="3559" t="s">
        <v>1348</v>
      </c>
      <c r="L51" s="3559"/>
      <c r="M51" s="2523" t="s">
        <v>1349</v>
      </c>
      <c r="N51" s="2523" t="s">
        <v>1350</v>
      </c>
      <c r="O51" s="2523" t="s">
        <v>1351</v>
      </c>
    </row>
    <row r="52" spans="1:35" ht="24" customHeight="1">
      <c r="A52" s="2334" t="s">
        <v>1352</v>
      </c>
      <c r="B52" s="3607" t="s">
        <v>1353</v>
      </c>
      <c r="C52" s="3607"/>
      <c r="D52" s="1087">
        <f ca="1">ROUND(D45*'数据-取费表'!B41/(1+'数据-取费表'!C42),0)</f>
        <v>91</v>
      </c>
      <c r="E52" s="2333" t="s">
        <v>1354</v>
      </c>
      <c r="F52" s="2553">
        <f>'数据-取费表'!B41</f>
        <v>5.6000000000000001E-2</v>
      </c>
      <c r="G52" s="2554"/>
      <c r="H52" s="2543"/>
      <c r="I52" s="1807"/>
      <c r="J52" s="2522">
        <v>1</v>
      </c>
      <c r="K52" s="3584" t="s">
        <v>1355</v>
      </c>
      <c r="L52" s="3584"/>
      <c r="M52" s="2524" t="b">
        <f>D48</f>
        <v>0</v>
      </c>
      <c r="N52" s="2522" t="str">
        <f>E48</f>
        <v>销售额×税（费）率</v>
      </c>
      <c r="O52" s="2525">
        <f>F48</f>
        <v>5.6000000000000001E-2</v>
      </c>
    </row>
    <row r="53" spans="1:35" ht="12" customHeight="1">
      <c r="A53" s="2334" t="s">
        <v>1356</v>
      </c>
      <c r="B53" s="3608" t="s">
        <v>2291</v>
      </c>
      <c r="C53" s="3609"/>
      <c r="D53" s="1087">
        <f ca="1">ROUND(D45*'数据-取费表'!B41/(1+'数据-取费表'!C42),0)</f>
        <v>91</v>
      </c>
      <c r="E53" s="2333" t="s">
        <v>1354</v>
      </c>
      <c r="F53" s="2553">
        <f>'数据-取费表'!B41</f>
        <v>5.6000000000000001E-2</v>
      </c>
      <c r="G53" s="2554"/>
      <c r="H53" s="2543"/>
      <c r="I53" s="1807"/>
      <c r="J53" s="2522">
        <v>2</v>
      </c>
      <c r="K53" s="3584" t="s">
        <v>1357</v>
      </c>
      <c r="L53" s="3584"/>
      <c r="M53" s="2524">
        <f t="shared" ref="M53:O54" ca="1" si="0">D55</f>
        <v>1</v>
      </c>
      <c r="N53" s="2522" t="str">
        <f t="shared" si="0"/>
        <v>销售额×税（费）率</v>
      </c>
      <c r="O53" s="2525" t="str">
        <f t="shared" si="0"/>
        <v>免征</v>
      </c>
    </row>
    <row r="54" spans="1:35" ht="12" customHeight="1">
      <c r="A54" s="2334" t="s">
        <v>1358</v>
      </c>
      <c r="B54" s="3608" t="s">
        <v>2292</v>
      </c>
      <c r="C54" s="3609"/>
      <c r="D54" s="1087">
        <f ca="1">C68</f>
        <v>91</v>
      </c>
      <c r="E54" s="327" t="s">
        <v>1359</v>
      </c>
      <c r="F54" s="2553">
        <f>'数据-取费表'!B41</f>
        <v>5.6000000000000001E-2</v>
      </c>
      <c r="G54" s="2554"/>
      <c r="H54" s="2555"/>
      <c r="I54" s="1807"/>
      <c r="J54" s="2522">
        <v>3</v>
      </c>
      <c r="K54" s="3584" t="s">
        <v>1360</v>
      </c>
      <c r="L54" s="3584"/>
      <c r="M54" s="2524">
        <f t="shared" ca="1" si="0"/>
        <v>966</v>
      </c>
      <c r="N54" s="2522" t="str">
        <f t="shared" si="0"/>
        <v>增值额×税（费）率</v>
      </c>
      <c r="O54" s="2526" t="str">
        <f t="shared" si="0"/>
        <v>免征</v>
      </c>
    </row>
    <row r="55" spans="1:35" ht="24" customHeight="1">
      <c r="A55" s="3644" t="s">
        <v>1361</v>
      </c>
      <c r="B55" s="3622"/>
      <c r="C55" s="3622"/>
      <c r="D55" s="2323">
        <f ca="1">IF(H55="个人住宅",0,ROUND(D45*I55,0))</f>
        <v>1</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16</v>
      </c>
      <c r="N55" s="2039" t="str">
        <f>E59</f>
        <v>差额计税</v>
      </c>
      <c r="O55" s="2528">
        <f>F59</f>
        <v>0.01</v>
      </c>
    </row>
    <row r="56" spans="1:35" ht="25.2">
      <c r="A56" s="3644" t="s">
        <v>1363</v>
      </c>
      <c r="B56" s="3622"/>
      <c r="C56" s="3622"/>
      <c r="D56" s="2323">
        <f ca="1">IF(H56="个人住宅",D57,D58)</f>
        <v>966</v>
      </c>
      <c r="E56" s="2333" t="s">
        <v>1364</v>
      </c>
      <c r="F56" s="2553" t="str">
        <f>IF(H56="正常",F58,"免征")</f>
        <v>免征</v>
      </c>
      <c r="G56" s="2556" t="s">
        <v>1365</v>
      </c>
      <c r="H56" s="2557"/>
      <c r="I56" s="1808"/>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3.2">
      <c r="A57" s="2334" t="s">
        <v>1341</v>
      </c>
      <c r="B57" s="3608" t="s">
        <v>1366</v>
      </c>
      <c r="C57" s="3609"/>
      <c r="D57" s="1590">
        <v>0</v>
      </c>
      <c r="E57" s="324" t="s">
        <v>1343</v>
      </c>
      <c r="F57" s="302"/>
      <c r="G57" s="2554"/>
      <c r="H57" s="2558"/>
      <c r="I57" s="1808"/>
      <c r="J57" s="3584">
        <f>IF(AND(J55="",J56=""),4,IF(项目基本情况!K6="上海银行",结果表!J56+1,结果表!J55+1))</f>
        <v>5</v>
      </c>
      <c r="K57" s="3584" t="s">
        <v>1367</v>
      </c>
      <c r="L57" s="2529" t="s">
        <v>1368</v>
      </c>
      <c r="M57" s="2530"/>
      <c r="N57" s="2531">
        <f ca="1">SUMIF(M52:M56,"&lt;9e307")</f>
        <v>983</v>
      </c>
      <c r="O57" s="2532"/>
      <c r="P57" s="2689">
        <f ca="1">N57/M49</f>
        <v>0.57574984975154608</v>
      </c>
    </row>
    <row r="58" spans="1:35" ht="25.2">
      <c r="A58" s="2334" t="s">
        <v>1352</v>
      </c>
      <c r="B58" s="3608" t="s">
        <v>1369</v>
      </c>
      <c r="C58" s="3607"/>
      <c r="D58" s="2323">
        <f ca="1">IF(H58="转让取得",C81,C97)</f>
        <v>966</v>
      </c>
      <c r="E58" s="2333" t="s">
        <v>1364</v>
      </c>
      <c r="F58" s="302" t="s">
        <v>28</v>
      </c>
      <c r="G58" s="2554"/>
      <c r="H58" s="2557"/>
      <c r="I58" s="1808"/>
      <c r="J58" s="3584"/>
      <c r="K58" s="3584"/>
      <c r="L58" s="2529" t="s">
        <v>1370</v>
      </c>
      <c r="M58" s="2533"/>
      <c r="N58" s="2534" t="str">
        <f ca="1">NUMBERSTRING(INT(N57*10000),2)&amp;"元整"</f>
        <v>玖佰捌拾叁万元整</v>
      </c>
      <c r="O58" s="2535"/>
    </row>
    <row r="59" spans="1:35" ht="24.6" thickBot="1">
      <c r="A59" s="3588" t="s">
        <v>1371</v>
      </c>
      <c r="B59" s="3589"/>
      <c r="C59" s="3589"/>
      <c r="D59" s="2559">
        <f ca="1">IF(H59="非个人房产","——",IF(H59="个人住宅（满五唯一有凭证）",0,IF(H59="个人其他（无凭证）",ROUND(D45*F59,0),ROUND(C67*F59,0))))</f>
        <v>16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6">
        <f>J57+1</f>
        <v>6</v>
      </c>
      <c r="K59" s="3584" t="s">
        <v>1372</v>
      </c>
      <c r="L59" s="2522" t="s">
        <v>1368</v>
      </c>
      <c r="M59" s="2536"/>
      <c r="N59" s="2537">
        <f ca="1">M49-N57</f>
        <v>724.33870000000002</v>
      </c>
      <c r="O59" s="2538"/>
    </row>
    <row r="60" spans="1:35" ht="12" customHeight="1">
      <c r="A60" s="1809"/>
      <c r="B60" s="1747"/>
      <c r="C60" s="1747"/>
      <c r="D60" s="1747"/>
      <c r="E60" s="1578"/>
      <c r="F60" s="1808"/>
      <c r="G60" s="1808"/>
      <c r="H60" s="1810"/>
      <c r="I60" s="129"/>
      <c r="J60" s="3587"/>
      <c r="K60" s="3584"/>
      <c r="L60" s="2529" t="s">
        <v>1370</v>
      </c>
      <c r="M60" s="2533"/>
      <c r="N60" s="2534" t="str">
        <f ca="1">NUMBERSTRING(INT(N59*10000),2)&amp;"元整"</f>
        <v>柒佰贰拾肆万叁仟叁佰捌拾柒元整</v>
      </c>
      <c r="O60" s="2535"/>
    </row>
    <row r="61" spans="1:35" ht="13.8" thickBot="1">
      <c r="A61" s="3643" t="s">
        <v>1373</v>
      </c>
      <c r="B61" s="3643"/>
      <c r="C61" s="3643"/>
      <c r="D61" s="3643"/>
      <c r="E61" s="3643"/>
      <c r="F61" s="1808"/>
      <c r="G61" s="1808"/>
      <c r="H61" s="1810"/>
      <c r="I61" s="129"/>
      <c r="J61" s="2522">
        <f>J59+1</f>
        <v>7</v>
      </c>
      <c r="K61" s="3584" t="s">
        <v>1374</v>
      </c>
      <c r="L61" s="3584"/>
      <c r="M61" s="2539"/>
      <c r="N61" s="2540">
        <f ca="1">ROUND(N59*10000/'数据-汇总表'!E3,0)</f>
        <v>8092</v>
      </c>
      <c r="O61" s="2541"/>
    </row>
    <row r="62" spans="1:35" ht="13.2">
      <c r="A62" s="3603" t="s">
        <v>1375</v>
      </c>
      <c r="B62" s="3604"/>
      <c r="C62" s="2020"/>
      <c r="D62" s="2020" t="s">
        <v>1376</v>
      </c>
      <c r="E62" s="166" t="s">
        <v>1377</v>
      </c>
      <c r="F62" s="1808"/>
      <c r="G62" s="1808"/>
      <c r="H62" s="1810"/>
      <c r="I62" s="129"/>
    </row>
    <row r="63" spans="1:35" ht="13.2">
      <c r="A63" s="173" t="s">
        <v>330</v>
      </c>
      <c r="B63" s="167" t="s">
        <v>1378</v>
      </c>
      <c r="C63" s="2563">
        <f ca="1">ROUND((C64+C65)/(1+'数据-取费表'!C42),0)</f>
        <v>1626</v>
      </c>
      <c r="D63" s="167"/>
      <c r="E63" s="168"/>
      <c r="F63" s="1808"/>
      <c r="G63" s="1808"/>
      <c r="H63" s="1810"/>
      <c r="I63" s="129"/>
      <c r="J63" s="3567" t="s">
        <v>1379</v>
      </c>
      <c r="K63" s="1332" t="s">
        <v>1380</v>
      </c>
      <c r="L63" s="1332">
        <f ca="1">IF(M49&gt;10000,M49*0.5%,IF(AND(M49&gt;1000,M49&lt;=10000),M49*1%,IF(AND(M49&gt;100,M49&lt;=1000),M49*3%,IF(AND(M49&gt;10,M49&lt;=100),M49*5%,M49*8%))))</f>
        <v>17.073387</v>
      </c>
      <c r="M63" s="302">
        <f ca="1">ROUND(L63,1)</f>
        <v>17.100000000000001</v>
      </c>
      <c r="N63" s="2542"/>
      <c r="Z63" s="1752"/>
      <c r="AI63" s="1753"/>
    </row>
    <row r="64" spans="1:35" ht="14.25" customHeight="1">
      <c r="A64" s="169" t="s">
        <v>325</v>
      </c>
      <c r="B64" s="170" t="s">
        <v>1381</v>
      </c>
      <c r="C64" s="2564">
        <f ca="1">D45</f>
        <v>1707</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10.244032199999999</v>
      </c>
      <c r="M64" s="302">
        <f t="shared" ref="M64:M65" ca="1" si="1">ROUND(L64,1)</f>
        <v>10.199999999999999</v>
      </c>
      <c r="N64" s="2543" t="s">
        <v>1383</v>
      </c>
      <c r="Z64" s="1752"/>
      <c r="AI64" s="1753"/>
    </row>
    <row r="65" spans="1:35" ht="14.25" customHeight="1">
      <c r="A65" s="169" t="s">
        <v>326</v>
      </c>
      <c r="B65" s="170" t="s">
        <v>1384</v>
      </c>
      <c r="C65" s="2565"/>
      <c r="D65" s="170"/>
      <c r="E65" s="172"/>
      <c r="F65" s="1808"/>
      <c r="G65" s="1808"/>
      <c r="H65" s="1810"/>
      <c r="I65" s="129"/>
      <c r="J65" s="3567"/>
      <c r="K65" s="1332" t="s">
        <v>1385</v>
      </c>
      <c r="L65" s="1332">
        <f ca="1">IF(M49&gt;1000,M49*0.1%,IF(AND(M49&gt;500,M49&lt;=1000),M49*0.5%,IF(AND(M49&gt;50,M49&lt;=500),M49*1%,IF(AND(M49&gt;1,M49&lt;=50),M49*1.5%))))</f>
        <v>1.7073387</v>
      </c>
      <c r="M65" s="302">
        <f t="shared" ca="1" si="1"/>
        <v>1.7</v>
      </c>
      <c r="N65" s="2543" t="s">
        <v>1383</v>
      </c>
      <c r="Z65" s="1752"/>
      <c r="AI65" s="1753"/>
    </row>
    <row r="66" spans="1:35" ht="14.25" customHeight="1">
      <c r="A66" s="173" t="s">
        <v>327</v>
      </c>
      <c r="B66" s="174" t="s">
        <v>1386</v>
      </c>
      <c r="C66" s="2566"/>
      <c r="D66" s="174" t="s">
        <v>26</v>
      </c>
      <c r="E66" s="1338" t="s">
        <v>671</v>
      </c>
      <c r="F66" s="1808"/>
      <c r="G66" s="1808"/>
      <c r="H66" s="1810"/>
      <c r="I66" s="129"/>
      <c r="J66" s="3567"/>
      <c r="K66" s="1332" t="s">
        <v>1387</v>
      </c>
      <c r="L66" s="1332">
        <f ca="1">M49*0.5%</f>
        <v>8.5366935000000002</v>
      </c>
      <c r="M66" s="302">
        <f ca="1">IF(L66&gt;0.5,0.5,ROUND(L66,0))</f>
        <v>0.5</v>
      </c>
      <c r="N66" s="2543" t="s">
        <v>1388</v>
      </c>
      <c r="Z66" s="1752"/>
      <c r="AI66" s="1753"/>
    </row>
    <row r="67" spans="1:35" ht="14.25" customHeight="1">
      <c r="A67" s="173" t="s">
        <v>328</v>
      </c>
      <c r="B67" s="174" t="s">
        <v>1389</v>
      </c>
      <c r="C67" s="2567">
        <f ca="1">C63-C66</f>
        <v>1626</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3.8110080499999999</v>
      </c>
      <c r="M67" s="302">
        <f ca="1">ROUND(L67*0.9,1)</f>
        <v>3.4</v>
      </c>
      <c r="N67" s="2542"/>
      <c r="Z67" s="1752"/>
      <c r="AI67" s="1753"/>
    </row>
    <row r="68" spans="1:35" ht="14.25" customHeight="1" thickBot="1">
      <c r="A68" s="176" t="s">
        <v>329</v>
      </c>
      <c r="B68" s="177" t="s">
        <v>1391</v>
      </c>
      <c r="C68" s="2568">
        <f ca="1">IF(C67&lt;=0,0,ROUND(C67*D68,0))</f>
        <v>91</v>
      </c>
      <c r="D68" s="2569">
        <f>'数据-取费表'!B41</f>
        <v>5.6000000000000001E-2</v>
      </c>
      <c r="E68" s="178"/>
      <c r="F68" s="1808"/>
      <c r="G68" s="1808"/>
      <c r="H68" s="1810"/>
      <c r="I68" s="129"/>
      <c r="J68" s="3567"/>
      <c r="K68" s="1332" t="s">
        <v>1392</v>
      </c>
      <c r="L68" s="1332">
        <f ca="1">IF(M49&gt;10000,M49*0.5%,IF(AND(M49&gt;5000,M49&lt;=10000),M49*1%,IF(AND(M49&gt;1000,M49&lt;=5000),M49*2%,IF(AND(M49&gt;200,M49&lt;=1000),M49*3%,M49*5%))))</f>
        <v>34.146774000000001</v>
      </c>
      <c r="M68" s="302">
        <f ca="1">ROUND(L68,1)</f>
        <v>34.1</v>
      </c>
      <c r="N68" s="2542"/>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67</v>
      </c>
      <c r="N69" s="2544">
        <f ca="1">M69/M49</f>
        <v>3.9242360054276282E-2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1626</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10</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10</v>
      </c>
      <c r="D78" s="2576">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1616</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161.6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966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1626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10</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6"/>
      <c r="G90" s="3569" t="s">
        <v>2129</v>
      </c>
      <c r="H90" s="357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0" t="s">
        <v>1422</v>
      </c>
      <c r="F92" s="3601"/>
      <c r="G92" s="3601"/>
      <c r="H92" s="360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10</v>
      </c>
      <c r="D93" s="2576">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1616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161.6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966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成本法 (元)</v>
      </c>
      <c r="D101" s="2585" t="str">
        <f>D4</f>
        <v>收益法 (元)</v>
      </c>
      <c r="E101" s="3563" t="s">
        <v>1431</v>
      </c>
      <c r="F101" s="3564"/>
      <c r="G101" s="1827" t="s">
        <v>1432</v>
      </c>
      <c r="H101" s="2594">
        <f ca="1">H118</f>
        <v>1707.3387</v>
      </c>
      <c r="I101" s="129"/>
    </row>
    <row r="102" spans="1:35" ht="18.75" customHeight="1">
      <c r="A102" s="3595" t="s">
        <v>1433</v>
      </c>
      <c r="B102" s="2583" t="s">
        <v>1432</v>
      </c>
      <c r="C102" s="2584">
        <f ca="1">IF(D32="楼面单价",ROUND(C19,0),C19)</f>
        <v>986</v>
      </c>
      <c r="D102" s="2585">
        <f ca="1">IF(D32="楼面单价",ROUND(D19,0),D19)</f>
        <v>2188</v>
      </c>
      <c r="E102" s="3563"/>
      <c r="F102" s="3564"/>
      <c r="G102" s="1827" t="s">
        <v>1434</v>
      </c>
      <c r="H102" s="2554">
        <f ca="1">I118</f>
        <v>19073</v>
      </c>
      <c r="I102" s="129"/>
    </row>
    <row r="103" spans="1:35" ht="42.75" customHeight="1">
      <c r="A103" s="3595"/>
      <c r="B103" s="2583" t="s">
        <v>1434</v>
      </c>
      <c r="C103" s="2586">
        <f ca="1">C20</f>
        <v>11017</v>
      </c>
      <c r="D103" s="2587">
        <f ca="1">D20</f>
        <v>24443</v>
      </c>
      <c r="E103" s="3556" t="s">
        <v>1435</v>
      </c>
      <c r="F103" s="3557"/>
      <c r="G103" s="1828" t="s">
        <v>1436</v>
      </c>
      <c r="H103" s="2594">
        <f>IF(D36="正常操作",H104+H105+H106,H105+H106)</f>
        <v>0</v>
      </c>
      <c r="I103" s="129"/>
    </row>
    <row r="104" spans="1:35" ht="18.75" customHeight="1">
      <c r="A104" s="3595" t="s">
        <v>1437</v>
      </c>
      <c r="B104" s="2588" t="s">
        <v>1432</v>
      </c>
      <c r="C104" s="2589">
        <f ca="1">H118</f>
        <v>1707.3387</v>
      </c>
      <c r="D104" s="2590"/>
      <c r="E104" s="1674" t="s">
        <v>1438</v>
      </c>
      <c r="F104" s="1666"/>
      <c r="G104" s="1828" t="s">
        <v>1436</v>
      </c>
      <c r="H104" s="2595">
        <f>IF(D36="同一抵押权人同一抵押物续贷",C36&amp;"（续贷，未扣减，详见特别提示）",C36)</f>
        <v>0</v>
      </c>
      <c r="I104" s="129"/>
    </row>
    <row r="105" spans="1:35" ht="18.75" customHeight="1" thickBot="1">
      <c r="A105" s="3605"/>
      <c r="B105" s="2591" t="s">
        <v>1434</v>
      </c>
      <c r="C105" s="2592">
        <f ca="1">I118</f>
        <v>19073</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64"/>
      <c r="G107" s="1827" t="s">
        <v>1432</v>
      </c>
      <c r="H107" s="2594">
        <f ca="1">IF(E107="——","——",H101-H103)</f>
        <v>1707.3387</v>
      </c>
      <c r="I107" s="129"/>
    </row>
    <row r="108" spans="1:35" ht="18.75" customHeight="1">
      <c r="A108" s="129"/>
      <c r="B108" s="129"/>
      <c r="C108" s="129"/>
      <c r="D108" s="129"/>
      <c r="E108" s="3596"/>
      <c r="F108" s="3564"/>
      <c r="G108" s="1827" t="s">
        <v>1434</v>
      </c>
      <c r="H108" s="2554">
        <f ca="1">IF(H107=H101,H102,ROUND(H107*10000/'数据-汇总表'!E3,0))</f>
        <v>19073</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7" t="str">
        <f>IF(E109="——","——",H101-H105-H106)</f>
        <v>——</v>
      </c>
      <c r="I109" s="129"/>
    </row>
    <row r="110" spans="1:35" ht="18.75" customHeight="1">
      <c r="A110" s="129"/>
      <c r="B110" s="129"/>
      <c r="C110" s="129"/>
      <c r="D110" s="129"/>
      <c r="E110" s="3596"/>
      <c r="F110" s="3564"/>
      <c r="G110" s="1827"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598"/>
      <c r="F112" s="3599"/>
      <c r="G112" s="1830"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895.16</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ROUND(IF(D32="总价",C32,I118*B118/10000),4)</f>
        <v>1707.3387</v>
      </c>
      <c r="I118" s="2328">
        <f ca="1">ROUND(IF(D32="楼面单价",C32,H118*10000/B118),0)</f>
        <v>19073</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壹仟柒佰零柒万叁仟叁佰捌拾柒元整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1707.3387</v>
      </c>
      <c r="E122" s="3573"/>
      <c r="F122" s="3573"/>
      <c r="G122" s="3573"/>
      <c r="H122" s="3573"/>
      <c r="I122" s="3574"/>
      <c r="AA122" s="725"/>
    </row>
    <row r="123" spans="1:27" ht="18.75" customHeight="1">
      <c r="A123" s="3571" t="s">
        <v>1452</v>
      </c>
      <c r="B123" s="3571"/>
      <c r="C123" s="3571"/>
      <c r="D123" s="3577" t="str">
        <f ca="1">NUMBERSTRING(INT(D122*10000),2)&amp;"元整"</f>
        <v>壹仟柒佰零柒万叁仟叁佰捌拾柒元整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254752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2845882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179032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179032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18</v>
      </c>
      <c r="D10" s="845">
        <f ca="1">IF(B1="",'数据-汇总表'!E6,IF(INDIRECT("'数据-取费表'!c"&amp;$G$1)="住宅",INDIRECT("'数据-取费表'!s"&amp;$G$1),INDIRECT("'数据-取费表'!k"&amp;$G$1)+INDIRECT("'数据-取费表'!s"&amp;$G$1)))</f>
        <v>895.16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v>
      </c>
      <c r="D19" s="849">
        <f ca="1">D9+D10</f>
        <v>895.16</v>
      </c>
      <c r="E19" s="211">
        <f>'数据-取费表'!B31</f>
        <v>200</v>
      </c>
      <c r="F19" s="231"/>
      <c r="G19" s="1856"/>
    </row>
    <row r="20" spans="1:7" s="214" customFormat="1" ht="13.5" customHeight="1">
      <c r="A20" s="255" t="s">
        <v>1493</v>
      </c>
      <c r="B20" s="210" t="s">
        <v>1494</v>
      </c>
      <c r="C20" s="232">
        <f ca="1">ROUND((C5+C19)*F20,0)</f>
        <v>3581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15319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15168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149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36526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36526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254340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313</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18</v>
      </c>
      <c r="D37" s="217">
        <f ca="1">D19</f>
        <v>895.16</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70</v>
      </c>
      <c r="D45" s="235">
        <f ca="1">C47</f>
        <v>4.0000000000000001E-3</v>
      </c>
      <c r="E45" s="236" t="s">
        <v>1539</v>
      </c>
      <c r="F45" s="246">
        <f ca="1">F27</f>
        <v>0.2</v>
      </c>
      <c r="G45" s="247" t="s">
        <v>1548</v>
      </c>
    </row>
    <row r="46" spans="1:7" s="214" customFormat="1" ht="13.5" customHeight="1">
      <c r="A46" s="780" t="s">
        <v>346</v>
      </c>
      <c r="B46" s="248" t="s">
        <v>1549</v>
      </c>
      <c r="C46" s="249">
        <f ca="1">ROUND((C33+C39)*F27,0)</f>
        <v>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473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412</v>
      </c>
      <c r="D51" s="232"/>
      <c r="E51" s="232"/>
      <c r="F51" s="264"/>
      <c r="G51" s="234" t="s">
        <v>1560</v>
      </c>
    </row>
    <row r="52" spans="1:7" s="208" customFormat="1" ht="16.8" thickBot="1">
      <c r="A52" s="265" t="s">
        <v>1561</v>
      </c>
      <c r="B52" s="266"/>
      <c r="C52" s="267">
        <f ca="1">C31+C51</f>
        <v>254752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5" sqref="L4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986.20780000000002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11017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4037692</v>
      </c>
      <c r="D5" s="211" t="s">
        <v>1469</v>
      </c>
      <c r="E5" s="212" t="s">
        <v>1470</v>
      </c>
      <c r="F5" s="212" t="s">
        <v>1471</v>
      </c>
      <c r="G5" s="213"/>
    </row>
    <row r="6" spans="1:8" s="214" customFormat="1" ht="13.5" customHeight="1">
      <c r="A6" s="778" t="s">
        <v>1472</v>
      </c>
      <c r="B6" s="215" t="s">
        <v>1473</v>
      </c>
      <c r="C6" s="216">
        <f>ROUND(基准地价修正!C33*基准地价修正!D33,0)</f>
        <v>3744454</v>
      </c>
      <c r="D6" s="217"/>
      <c r="E6" s="218"/>
      <c r="F6" s="218"/>
      <c r="G6" s="219"/>
    </row>
    <row r="7" spans="1:8" s="214" customFormat="1" ht="13.5" customHeight="1">
      <c r="A7" s="778" t="s">
        <v>1474</v>
      </c>
      <c r="B7" s="215" t="s">
        <v>1475</v>
      </c>
      <c r="C7" s="220">
        <f>ROUND(C6*F7,0)</f>
        <v>114206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179032</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179032</v>
      </c>
      <c r="D10" s="845">
        <f ca="1">IF(B1="",'数据-汇总表'!E6,IF(INDIRECT("'数据-取费表'!c"&amp;$G$1)="住宅",INDIRECT("'数据-取费表'!s"&amp;$G$1),INDIRECT("'数据-取费表'!k"&amp;$G$1)+INDIRECT("'数据-取费表'!s"&amp;$G$1)))</f>
        <v>895.16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895.16</v>
      </c>
      <c r="E19" s="211">
        <f>'数据-取费表'!B31</f>
        <v>200</v>
      </c>
      <c r="F19" s="231"/>
      <c r="G19" s="1856" t="s">
        <v>3404</v>
      </c>
    </row>
    <row r="20" spans="1:7" s="214" customFormat="1" ht="13.5" customHeight="1">
      <c r="A20" s="255" t="s">
        <v>1574</v>
      </c>
      <c r="B20" s="210" t="s">
        <v>1575</v>
      </c>
      <c r="C20" s="232">
        <f ca="1">ROUND((C5+C19)*F20,0)</f>
        <v>80754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345433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342082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823689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823689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5735511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3453080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3133060</v>
      </c>
      <c r="D34" s="217"/>
      <c r="E34" s="220"/>
      <c r="F34" s="257"/>
      <c r="G34" s="219"/>
    </row>
    <row r="35" spans="1:7" ht="13.5" customHeight="1">
      <c r="A35" s="780" t="s">
        <v>351</v>
      </c>
      <c r="B35" s="215" t="s">
        <v>1527</v>
      </c>
      <c r="C35" s="220">
        <f ca="1">ROUND(C34*F35,0)</f>
        <v>93992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179032</v>
      </c>
      <c r="D37" s="217">
        <f ca="1">D19</f>
        <v>895.16</v>
      </c>
      <c r="E37" s="249">
        <f>'数据-取费表'!B35</f>
        <v>200</v>
      </c>
      <c r="F37" s="259"/>
      <c r="G37" s="261"/>
    </row>
    <row r="38" spans="1:7" ht="13.5" customHeight="1">
      <c r="A38" s="780" t="s">
        <v>354</v>
      </c>
      <c r="B38" s="215" t="s">
        <v>1533</v>
      </c>
      <c r="C38" s="220">
        <f ca="1">ROUND(C34*F38,0)</f>
        <v>46996</v>
      </c>
      <c r="D38" s="220"/>
      <c r="E38" s="220"/>
      <c r="F38" s="259">
        <f>'数据-取费表'!B36</f>
        <v>1.4999999999999999E-2</v>
      </c>
      <c r="G38" s="219" t="s">
        <v>1528</v>
      </c>
    </row>
    <row r="39" spans="1:7" s="214" customFormat="1" ht="13.5" customHeight="1">
      <c r="A39" s="255" t="s">
        <v>1534</v>
      </c>
      <c r="B39" s="210" t="s">
        <v>1535</v>
      </c>
      <c r="C39" s="232">
        <f ca="1">ROUND(C33*F20,0)</f>
        <v>69062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146169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143303</v>
      </c>
      <c r="D42" s="238"/>
      <c r="E42" s="238"/>
      <c r="F42" s="239"/>
      <c r="G42" s="3650" t="s">
        <v>1591</v>
      </c>
    </row>
    <row r="43" spans="1:7" ht="13.5" customHeight="1">
      <c r="A43" s="780" t="s">
        <v>347</v>
      </c>
      <c r="B43" s="215" t="s">
        <v>1545</v>
      </c>
      <c r="C43" s="238">
        <f ca="1">ROUND(IF('数据-取费表'!B22&lt;=1,C39*F22*'数据-取费表'!B20/2,C39*(POWER((1+F22),'数据-取费表'!B20/2)-1)),0)</f>
        <v>2866</v>
      </c>
      <c r="D43" s="238"/>
      <c r="E43" s="238"/>
      <c r="F43" s="239"/>
      <c r="G43" s="3651"/>
    </row>
    <row r="44" spans="1:7" ht="13.5" customHeight="1">
      <c r="A44" s="780"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704428</v>
      </c>
      <c r="D45" s="235">
        <f ca="1">C47</f>
        <v>4.0000000000000001E-3</v>
      </c>
      <c r="E45" s="236" t="s">
        <v>1539</v>
      </c>
      <c r="F45" s="246">
        <f ca="1">F27</f>
        <v>0.2</v>
      </c>
      <c r="G45" s="247" t="s">
        <v>1548</v>
      </c>
    </row>
    <row r="46" spans="1:7" s="214" customFormat="1" ht="13.5" customHeight="1">
      <c r="A46" s="780" t="s">
        <v>346</v>
      </c>
      <c r="B46" s="248" t="s">
        <v>1549</v>
      </c>
      <c r="C46" s="249">
        <f ca="1">ROUND((C33+C39)*F27,0)</f>
        <v>704428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4743181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4126567</v>
      </c>
      <c r="D51" s="232"/>
      <c r="E51" s="232"/>
      <c r="F51" s="264"/>
      <c r="G51" s="234" t="s">
        <v>1560</v>
      </c>
    </row>
    <row r="52" spans="1:7" s="208" customFormat="1" ht="16.8" thickBot="1">
      <c r="A52" s="265" t="s">
        <v>1561</v>
      </c>
      <c r="B52" s="266"/>
      <c r="C52" s="267">
        <f ca="1">C31+C51</f>
        <v>9862078</v>
      </c>
      <c r="D52" s="266"/>
      <c r="E52" s="266"/>
      <c r="F52" s="266"/>
      <c r="G52" s="268"/>
    </row>
    <row r="55" spans="1:7" ht="15">
      <c r="B55" s="270" t="s">
        <v>1562</v>
      </c>
      <c r="C55" s="271"/>
    </row>
    <row r="56" spans="1:7">
      <c r="B56" s="273" t="s">
        <v>802</v>
      </c>
      <c r="C56" s="275">
        <f ca="1">1-C57</f>
        <v>0.58200000000000007</v>
      </c>
    </row>
    <row r="57" spans="1:7">
      <c r="B57" s="273" t="s">
        <v>803</v>
      </c>
      <c r="C57" s="274">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212938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895.16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895.16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-179014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18</v>
      </c>
      <c r="D20" s="846">
        <f ca="1">IF(C1="",'数据-汇总表'!E6,IF(INDIRECT("'数据-取费表'!c"&amp;$K$1)="住宅",INDIRECT("'数据-取费表'!s"&amp;$K$1),INDIRECT("'数据-取费表'!k"&amp;$K$1)+INDIRECT("'数据-取费表'!s"&amp;$K$1)))</f>
        <v>895.16</v>
      </c>
      <c r="E20" s="21">
        <f>'数据-取费表'!B28</f>
        <v>200</v>
      </c>
      <c r="F20" s="804"/>
      <c r="G20" s="12"/>
      <c r="H20" s="809"/>
      <c r="I20" s="809"/>
      <c r="J20" s="809"/>
      <c r="K20" s="810"/>
    </row>
    <row r="21" spans="1:33" s="803" customFormat="1" ht="13.5" customHeight="1">
      <c r="A21" s="790" t="s">
        <v>357</v>
      </c>
      <c r="B21" s="813" t="s">
        <v>1628</v>
      </c>
      <c r="C21" s="814">
        <f ca="1">C16+C17+C18</f>
        <v>-179014</v>
      </c>
      <c r="D21" s="815"/>
      <c r="E21" s="281"/>
      <c r="F21" s="281"/>
      <c r="G21" s="131" t="s">
        <v>1629</v>
      </c>
      <c r="H21" s="807"/>
      <c r="I21" s="807"/>
      <c r="J21" s="807"/>
      <c r="K21" s="808"/>
    </row>
    <row r="22" spans="1:33" s="803" customFormat="1" ht="13.5" customHeight="1">
      <c r="A22" s="790" t="s">
        <v>1601</v>
      </c>
      <c r="B22" s="813" t="s">
        <v>1630</v>
      </c>
      <c r="C22" s="814">
        <f ca="1">ROUND(C21*F22,0)</f>
        <v>-3580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-36519</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-36519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212938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38" sqref="C38"/>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895.16</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374</v>
      </c>
      <c r="C2" s="1998" t="s">
        <v>1935</v>
      </c>
      <c r="D2" s="1999" t="s">
        <v>1936</v>
      </c>
      <c r="E2" s="3421" t="s">
        <v>3431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6283</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4178</v>
      </c>
      <c r="C3" s="1998" t="s">
        <v>1941</v>
      </c>
      <c r="D3" s="1999" t="s">
        <v>1942</v>
      </c>
      <c r="E3" s="3419" t="s">
        <v>2461</v>
      </c>
      <c r="F3" s="2003" t="s">
        <v>3388</v>
      </c>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4952</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665"/>
      <c r="B4" s="3666"/>
      <c r="C4" s="3666"/>
      <c r="D4" s="3667"/>
      <c r="E4" s="3667"/>
      <c r="F4" s="3667"/>
      <c r="G4" s="3667"/>
      <c r="H4" s="3667"/>
      <c r="I4" s="3667"/>
      <c r="J4" s="3668"/>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4186</v>
      </c>
      <c r="U4" s="1213"/>
      <c r="V4" s="3360">
        <f t="shared" si="1"/>
        <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f>ROUND(IF(E2="商业",C6*C7*C17+C20,(IF(E2="住宅",C6*C13*C17+C20,IF(E2="办公",C6*C12*C17+C20,C6+C20)))),0)</f>
        <v>5450</v>
      </c>
      <c r="D5" s="1339">
        <f>ROUND(C6*C17+C20,0)</f>
        <v>5450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3691</v>
      </c>
      <c r="U5" s="1213"/>
      <c r="V5" s="3360">
        <f t="shared" si="1"/>
        <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5450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3548</v>
      </c>
      <c r="U6" s="1213"/>
      <c r="V6" s="3360">
        <f t="shared" si="1"/>
        <v>0</v>
      </c>
      <c r="W6" s="1216"/>
      <c r="X6" s="1216"/>
      <c r="Y6" s="1216"/>
      <c r="Z6" s="1216"/>
      <c r="AA6" s="1216"/>
      <c r="AB6" s="1216"/>
      <c r="AC6" s="2010"/>
      <c r="AD6" s="2011"/>
      <c r="AE6" s="2011"/>
      <c r="AF6" s="2011"/>
      <c r="AG6" s="2011"/>
      <c r="AH6" s="2011"/>
      <c r="AI6" s="2011"/>
      <c r="AJ6" s="2012"/>
    </row>
    <row r="7" spans="1:36" ht="24.6"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5450</v>
      </c>
      <c r="N7" s="866">
        <f>SUMPRODUCT((因素修正幅度!B190:B233=I2)*(因素修正幅度!C3:G3=E2)*(因素修正幅度!C190:G233))</f>
        <v>0.13</v>
      </c>
      <c r="O7" s="1119"/>
      <c r="P7" s="1119"/>
      <c r="Q7" s="1119"/>
      <c r="R7" s="1212">
        <v>6</v>
      </c>
      <c r="S7" s="3418"/>
      <c r="T7" s="3360">
        <f t="shared" si="0"/>
        <v>0</v>
      </c>
      <c r="U7" s="1213"/>
      <c r="V7" s="3360">
        <f t="shared" si="1"/>
        <v>0</v>
      </c>
      <c r="W7" s="1358" t="s">
        <v>1955</v>
      </c>
      <c r="X7" s="1214" t="str">
        <f>G2</f>
        <v>七级</v>
      </c>
      <c r="Y7" s="1214" t="s">
        <v>1956</v>
      </c>
      <c r="Z7" s="1215">
        <f>G3</f>
        <v>2</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62" t="s">
        <v>1960</v>
      </c>
      <c r="X8" s="36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66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6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3245</v>
      </c>
      <c r="B12" s="3304" t="s">
        <v>3246</v>
      </c>
      <c r="C12" s="3305"/>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3249</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3255</v>
      </c>
      <c r="E18" s="3328"/>
      <c r="F18" s="3323" t="s">
        <v>3258</v>
      </c>
      <c r="G18" s="3327">
        <f>ROUND(1-(1/(POWER(1+G24,E18))),4)</f>
        <v>0</v>
      </c>
      <c r="H18" s="3323" t="s">
        <v>3260</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669" t="s">
        <v>3261</v>
      </c>
      <c r="B20" s="167" t="s">
        <v>1994</v>
      </c>
      <c r="C20" s="3324">
        <f>ROUND(IF(F21="与级别开发程度一致",0,(G21-E21)/C21),0)</f>
        <v>0</v>
      </c>
      <c r="D20" s="3340" t="s">
        <v>1998</v>
      </c>
      <c r="E20" s="3341"/>
      <c r="F20" s="3675" t="s">
        <v>1995</v>
      </c>
      <c r="G20" s="3676"/>
      <c r="H20" s="3325" t="s">
        <v>3394</v>
      </c>
      <c r="I20" s="3325" t="s">
        <v>3395</v>
      </c>
      <c r="J20" s="3326" t="s">
        <v>3396</v>
      </c>
      <c r="K20" s="2046" t="s">
        <v>3397</v>
      </c>
      <c r="L20" s="2046" t="s">
        <v>3398</v>
      </c>
      <c r="M20" s="2046" t="s">
        <v>3399</v>
      </c>
      <c r="N20" s="2046" t="s">
        <v>3427</v>
      </c>
      <c r="O20" s="2047" t="s">
        <v>3430</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7" thickBot="1">
      <c r="A21" s="3670"/>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3429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44982</v>
      </c>
      <c r="H23" s="3342" t="s">
        <v>3262</v>
      </c>
      <c r="I23" s="3343" t="str">
        <f>IF(H23="季度增幅（自定义）",SUMIF(N25:N28,E2,O25:O28),"")</f>
        <v/>
      </c>
      <c r="J23" s="3445" t="s">
        <v>3428</v>
      </c>
      <c r="K23" s="1125"/>
      <c r="L23" s="2054" t="s">
        <v>2004</v>
      </c>
      <c r="M23" s="1328">
        <f>ROUND(SUMIF(地价!B2:G2,E2,地价!B16:G16),0)</f>
        <v>0</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0.88939999999999997</v>
      </c>
      <c r="D24" s="2059" t="s">
        <v>2007</v>
      </c>
      <c r="E24" s="1335">
        <f>存贷款利率!E22/100</f>
        <v>4.3499999999999997E-2</v>
      </c>
      <c r="F24" s="2059" t="s">
        <v>1999</v>
      </c>
      <c r="G24" s="768">
        <f>SUMIF(M30:Q30,E2,M33:Q33)</f>
        <v>0.05</v>
      </c>
      <c r="H24" s="2059" t="s">
        <v>2008</v>
      </c>
      <c r="I24" s="769">
        <f>SUMIF('数据-取费表'!C6:C15,E2,'数据-取费表'!F6:F15)/COUNTIF('数据-取费表'!C6:C15,E2)</f>
        <v>34.24</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3341</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5" t="s">
        <v>2014</v>
      </c>
      <c r="B26" s="2069" t="s">
        <v>2015</v>
      </c>
      <c r="C26" s="3344" t="s">
        <v>3263</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1.0633999999999999</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374</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4183</v>
      </c>
      <c r="D33" s="2097">
        <f>'数据-汇总表'!F19</f>
        <v>895.16</v>
      </c>
      <c r="E33" s="773">
        <f>ROUND(C33*D33/10000,0)</f>
        <v>374</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1046</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673"/>
      <c r="B37" s="2112" t="s">
        <v>2036</v>
      </c>
      <c r="C37" s="175">
        <f>ROUND(D5*C22*C23*C24*C28*F37,0)</f>
        <v>2510</v>
      </c>
      <c r="D37" s="2097"/>
      <c r="E37" s="171">
        <f>ROUND(C37*D37/10000,0)</f>
        <v>0</v>
      </c>
      <c r="F37" s="171">
        <f>SUMIF(修正!A57:A68,G2,修正!B57:B68)</f>
        <v>0.6</v>
      </c>
      <c r="G37" s="171">
        <f>ROUND(IF(E2="工业",C37*$M$42,C37*$M$41),0)</f>
        <v>628</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74"/>
      <c r="B38" s="2040" t="s">
        <v>2037</v>
      </c>
      <c r="C38" s="175">
        <f>ROUND(D5*C22*C23*C24*C28*F38,0)</f>
        <v>1255</v>
      </c>
      <c r="D38" s="2097"/>
      <c r="E38" s="171">
        <f t="shared" ref="E38:E42" si="4">ROUND(C38*D38/10000,0)</f>
        <v>0</v>
      </c>
      <c r="F38" s="171">
        <f>SUMIF(修正!A57:A68,G2,修正!C57:C68)</f>
        <v>0.3</v>
      </c>
      <c r="G38" s="171">
        <f>ROUND(IF(E2="工业",C38*$M$42,C38*$M$41),0)</f>
        <v>314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674"/>
      <c r="B39" s="2040" t="s">
        <v>3265</v>
      </c>
      <c r="C39" s="175">
        <f>ROUND(D5*C22*C23*C24*C28*F39,0)</f>
        <v>1046</v>
      </c>
      <c r="D39" s="2097"/>
      <c r="E39" s="171">
        <f t="shared" si="4"/>
        <v>0</v>
      </c>
      <c r="F39" s="171">
        <f>SUMIF(修正!A57:A68,G2,修正!D57:D68)</f>
        <v>0.25</v>
      </c>
      <c r="G39" s="171">
        <f>ROUND(IF(E2="工业",C39*$M$42,C39*$M$41),0)</f>
        <v>262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1046</v>
      </c>
      <c r="D40" s="2097"/>
      <c r="E40" s="171">
        <f t="shared" si="4"/>
        <v>0</v>
      </c>
      <c r="F40" s="175">
        <f>SUMIF(修正!A57:A68,G2,修正!E57:E68)</f>
        <v>0.25</v>
      </c>
      <c r="G40" s="171">
        <f>ROUND(IF(E2="工业",C40*$M$42,C40*$M$41),0)</f>
        <v>262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t="s">
        <v>3401</v>
      </c>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t="s">
        <v>3401</v>
      </c>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3276</v>
      </c>
      <c r="B85" s="2133">
        <f>估价对象房地状况!G17</f>
        <v>0</v>
      </c>
      <c r="C85" s="2043" t="s">
        <v>3401</v>
      </c>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t="s">
        <v>3400</v>
      </c>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t="s">
        <v>3400</v>
      </c>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t="s">
        <v>3401</v>
      </c>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t="s">
        <v>3401</v>
      </c>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t="s">
        <v>3401</v>
      </c>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2615</v>
      </c>
      <c r="B91" s="3377">
        <f>1+E93</f>
        <v>1.0633999999999999</v>
      </c>
      <c r="C91" s="3370"/>
      <c r="D91" s="3371"/>
      <c r="E91" s="1814"/>
      <c r="F91" s="1814"/>
      <c r="G91" s="3372"/>
      <c r="H91" s="3373"/>
      <c r="I91" s="3374"/>
      <c r="J91" s="3375"/>
      <c r="K91" s="3375"/>
      <c r="L91" s="3375"/>
      <c r="M91" s="3375"/>
      <c r="N91" s="3375"/>
    </row>
    <row r="92" spans="1:37" ht="25.2">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t="s">
        <v>3401</v>
      </c>
      <c r="D93" s="3365">
        <f>SUMIF($J$92:$N$92,C93,J93:N93)</f>
        <v>1.6199999999999999E-2</v>
      </c>
      <c r="E93" s="3381">
        <f>ROUND(SUM(D93:D101),4)</f>
        <v>6.3399999999999998E-2</v>
      </c>
      <c r="F93" s="1814">
        <f>IF(E2="公共服务",SUMIF(L1:L12,G2,N1:N12),"——")</f>
        <v>0.13</v>
      </c>
      <c r="G93" s="3372">
        <f>H93</f>
        <v>1.6199999999999999E-2</v>
      </c>
      <c r="H93" s="3420">
        <f>IFERROR(ROUNDDOWN($F$93*I93/2,4),"——")</f>
        <v>1.6199999999999999E-2</v>
      </c>
      <c r="I93" s="3366">
        <v>0.25</v>
      </c>
      <c r="J93" s="3344">
        <f t="shared" ref="J93:J101" si="27">K93+$G93</f>
        <v>3.2399999999999998E-2</v>
      </c>
      <c r="K93" s="3344">
        <f t="shared" ref="K93:K101" si="28">$L93+$G93</f>
        <v>1.6199999999999999E-2</v>
      </c>
      <c r="L93" s="3344">
        <v>0</v>
      </c>
      <c r="M93" s="3344">
        <f t="shared" ref="M93:N101" si="29">L93-$G93</f>
        <v>-1.6199999999999999E-2</v>
      </c>
      <c r="N93" s="3344">
        <f t="shared" si="29"/>
        <v>-3.2399999999999998E-2</v>
      </c>
    </row>
    <row r="94" spans="1:37" ht="52.8">
      <c r="A94" s="3378" t="s">
        <v>3279</v>
      </c>
      <c r="B94" s="3369" t="str">
        <f>估价对象房地状况!C18</f>
        <v>估价对象周边道路状况、公共交通通达情况、停车便捷程度，综合评价交通便捷度较好</v>
      </c>
      <c r="C94" s="2043" t="s">
        <v>3401</v>
      </c>
      <c r="D94" s="3365">
        <f t="shared" ref="D94:D101" si="30">SUMIF($J$60:$N$60,C94,J94:N94)</f>
        <v>1.6899999999999998E-2</v>
      </c>
      <c r="E94" s="3382"/>
      <c r="F94" s="1814"/>
      <c r="G94" s="3372">
        <f t="shared" ref="G94:G101" si="31">H94</f>
        <v>1.6899999999999998E-2</v>
      </c>
      <c r="H94" s="3420">
        <f>IFERROR(ROUNDDOWN($F$93*I94/2,4),"——")</f>
        <v>1.6899999999999998E-2</v>
      </c>
      <c r="I94" s="3366">
        <v>0.26</v>
      </c>
      <c r="J94" s="3344">
        <f t="shared" si="27"/>
        <v>3.3799999999999997E-2</v>
      </c>
      <c r="K94" s="3344">
        <f t="shared" si="28"/>
        <v>1.6899999999999998E-2</v>
      </c>
      <c r="L94" s="3344">
        <v>0</v>
      </c>
      <c r="M94" s="3344">
        <f t="shared" si="29"/>
        <v>-1.6899999999999998E-2</v>
      </c>
      <c r="N94" s="3344">
        <f t="shared" si="29"/>
        <v>-3.3799999999999997E-2</v>
      </c>
    </row>
    <row r="95" spans="1:37" ht="48">
      <c r="A95" s="3368" t="s">
        <v>3275</v>
      </c>
      <c r="B95" s="3369">
        <f>估价对象房地状况!C19</f>
        <v>0</v>
      </c>
      <c r="C95" s="2043" t="s">
        <v>3401</v>
      </c>
      <c r="D95" s="3365">
        <f t="shared" si="30"/>
        <v>7.1000000000000004E-3</v>
      </c>
      <c r="E95" s="3382"/>
      <c r="F95" s="1814"/>
      <c r="G95" s="3372">
        <f t="shared" si="31"/>
        <v>7.1000000000000004E-3</v>
      </c>
      <c r="H95" s="3420">
        <f t="shared" ref="H95:H101" si="32">IFERROR(ROUNDDOWN($F$93*I95/2,4),"——")</f>
        <v>7.1000000000000004E-3</v>
      </c>
      <c r="I95" s="3366">
        <v>0.11</v>
      </c>
      <c r="J95" s="3344">
        <f t="shared" si="27"/>
        <v>1.4200000000000001E-2</v>
      </c>
      <c r="K95" s="3344">
        <f t="shared" si="28"/>
        <v>7.1000000000000004E-3</v>
      </c>
      <c r="L95" s="3344">
        <v>0</v>
      </c>
      <c r="M95" s="3344">
        <f t="shared" si="29"/>
        <v>-7.1000000000000004E-3</v>
      </c>
      <c r="N95" s="3344">
        <f t="shared" si="29"/>
        <v>-1.4200000000000001E-2</v>
      </c>
    </row>
    <row r="96" spans="1:37" ht="37.200000000000003">
      <c r="A96" s="3378" t="s">
        <v>3280</v>
      </c>
      <c r="B96" s="3384" t="s">
        <v>3291</v>
      </c>
      <c r="C96" s="2043" t="s">
        <v>3401</v>
      </c>
      <c r="D96" s="3365">
        <f t="shared" si="30"/>
        <v>3.2000000000000002E-3</v>
      </c>
      <c r="E96" s="3382"/>
      <c r="F96" s="1814"/>
      <c r="G96" s="3372">
        <f t="shared" si="31"/>
        <v>3.2000000000000002E-3</v>
      </c>
      <c r="H96" s="3420">
        <f t="shared" si="32"/>
        <v>3.2000000000000002E-3</v>
      </c>
      <c r="I96" s="3366">
        <v>0.05</v>
      </c>
      <c r="J96" s="3344">
        <f t="shared" si="27"/>
        <v>6.4000000000000003E-3</v>
      </c>
      <c r="K96" s="3344">
        <f t="shared" si="28"/>
        <v>3.2000000000000002E-3</v>
      </c>
      <c r="L96" s="3344">
        <v>0</v>
      </c>
      <c r="M96" s="3344">
        <f t="shared" si="29"/>
        <v>-3.2000000000000002E-3</v>
      </c>
      <c r="N96" s="3344">
        <f t="shared" si="29"/>
        <v>-6.4000000000000003E-3</v>
      </c>
    </row>
    <row r="97" spans="1:14" ht="24">
      <c r="A97" s="3378" t="s">
        <v>3281</v>
      </c>
      <c r="B97" s="3369">
        <f>估价对象房地状况!C24</f>
        <v>0</v>
      </c>
      <c r="C97" s="2043" t="s">
        <v>3400</v>
      </c>
      <c r="D97" s="3365">
        <f t="shared" si="30"/>
        <v>0</v>
      </c>
      <c r="E97" s="3382"/>
      <c r="F97" s="1814"/>
      <c r="G97" s="3372">
        <f t="shared" si="31"/>
        <v>3.2000000000000002E-3</v>
      </c>
      <c r="H97" s="3420">
        <f t="shared" si="32"/>
        <v>3.2000000000000002E-3</v>
      </c>
      <c r="I97" s="3366">
        <v>0.05</v>
      </c>
      <c r="J97" s="3344">
        <f t="shared" si="27"/>
        <v>6.4000000000000003E-3</v>
      </c>
      <c r="K97" s="3344">
        <f t="shared" si="28"/>
        <v>3.2000000000000002E-3</v>
      </c>
      <c r="L97" s="3344">
        <v>0</v>
      </c>
      <c r="M97" s="3344">
        <f t="shared" si="29"/>
        <v>-3.2000000000000002E-3</v>
      </c>
      <c r="N97" s="3344">
        <f t="shared" si="29"/>
        <v>-6.4000000000000003E-3</v>
      </c>
    </row>
    <row r="98" spans="1:14" ht="36">
      <c r="A98" s="3378" t="s">
        <v>3282</v>
      </c>
      <c r="B98" s="3385" t="s">
        <v>3292</v>
      </c>
      <c r="C98" s="2043" t="s">
        <v>3401</v>
      </c>
      <c r="D98" s="3365">
        <f t="shared" si="30"/>
        <v>3.8999999999999998E-3</v>
      </c>
      <c r="E98" s="3382"/>
      <c r="F98" s="1814"/>
      <c r="G98" s="3372">
        <f t="shared" si="31"/>
        <v>3.8999999999999998E-3</v>
      </c>
      <c r="H98" s="3420">
        <f t="shared" si="32"/>
        <v>3.8999999999999998E-3</v>
      </c>
      <c r="I98" s="3366">
        <v>0.06</v>
      </c>
      <c r="J98" s="3344">
        <f t="shared" si="27"/>
        <v>7.7999999999999996E-3</v>
      </c>
      <c r="K98" s="3344">
        <f t="shared" si="28"/>
        <v>3.8999999999999998E-3</v>
      </c>
      <c r="L98" s="3344">
        <v>0</v>
      </c>
      <c r="M98" s="3344">
        <f t="shared" si="29"/>
        <v>-3.8999999999999998E-3</v>
      </c>
      <c r="N98" s="3344">
        <f t="shared" si="29"/>
        <v>-7.7999999999999996E-3</v>
      </c>
    </row>
    <row r="99" spans="1:14" ht="26.4">
      <c r="A99" s="3378" t="s">
        <v>3283</v>
      </c>
      <c r="B99" s="3369" t="str">
        <f>估价对象房地状况!C21</f>
        <v>估价对象所在区域公共配套设施齐备情况</v>
      </c>
      <c r="C99" s="2043" t="s">
        <v>3400</v>
      </c>
      <c r="D99" s="3365">
        <f t="shared" si="30"/>
        <v>0</v>
      </c>
      <c r="E99" s="3382"/>
      <c r="F99" s="1814"/>
      <c r="G99" s="3372">
        <f t="shared" si="31"/>
        <v>3.8999999999999998E-3</v>
      </c>
      <c r="H99" s="3420">
        <f t="shared" si="32"/>
        <v>3.8999999999999998E-3</v>
      </c>
      <c r="I99" s="3366">
        <v>0.06</v>
      </c>
      <c r="J99" s="3344">
        <f t="shared" si="27"/>
        <v>7.7999999999999996E-3</v>
      </c>
      <c r="K99" s="3344">
        <f t="shared" si="28"/>
        <v>3.8999999999999998E-3</v>
      </c>
      <c r="L99" s="3344">
        <v>0</v>
      </c>
      <c r="M99" s="3344">
        <f t="shared" si="29"/>
        <v>-3.8999999999999998E-3</v>
      </c>
      <c r="N99" s="3344">
        <f t="shared" si="29"/>
        <v>-7.7999999999999996E-3</v>
      </c>
    </row>
    <row r="100" spans="1:14" ht="26.4">
      <c r="A100" s="3378" t="s">
        <v>3284</v>
      </c>
      <c r="B100" s="3369" t="str">
        <f>估价对象房地状况!C22</f>
        <v>估价对象所在区域基础设施水平</v>
      </c>
      <c r="C100" s="2043" t="s">
        <v>3402</v>
      </c>
      <c r="D100" s="3365">
        <f t="shared" si="30"/>
        <v>1.1599999999999999E-2</v>
      </c>
      <c r="E100" s="3382"/>
      <c r="F100" s="1814"/>
      <c r="G100" s="3372">
        <f t="shared" si="31"/>
        <v>5.7999999999999996E-3</v>
      </c>
      <c r="H100" s="3420">
        <f t="shared" si="32"/>
        <v>5.7999999999999996E-3</v>
      </c>
      <c r="I100" s="3366">
        <v>0.09</v>
      </c>
      <c r="J100" s="3344">
        <f t="shared" si="27"/>
        <v>1.1599999999999999E-2</v>
      </c>
      <c r="K100" s="3344">
        <f t="shared" si="28"/>
        <v>5.7999999999999996E-3</v>
      </c>
      <c r="L100" s="3344">
        <v>0</v>
      </c>
      <c r="M100" s="3344">
        <f t="shared" si="29"/>
        <v>-5.7999999999999996E-3</v>
      </c>
      <c r="N100" s="3344">
        <f t="shared" si="29"/>
        <v>-1.1599999999999999E-2</v>
      </c>
    </row>
    <row r="101" spans="1:14" ht="40.200000000000003" thickBot="1">
      <c r="A101" s="3379" t="s">
        <v>3285</v>
      </c>
      <c r="B101" s="3386" t="str">
        <f>估价对象房地状况!C20</f>
        <v>区域自然环境：；人文环境；综合评价环境状况一般</v>
      </c>
      <c r="C101" s="2043" t="s">
        <v>3401</v>
      </c>
      <c r="D101" s="3365">
        <f t="shared" si="30"/>
        <v>4.4999999999999997E-3</v>
      </c>
      <c r="E101" s="3383"/>
      <c r="F101" s="1814"/>
      <c r="G101" s="3372">
        <f t="shared" si="31"/>
        <v>4.4999999999999997E-3</v>
      </c>
      <c r="H101" s="3420">
        <f t="shared" si="32"/>
        <v>4.4999999999999997E-3</v>
      </c>
      <c r="I101" s="3367">
        <v>7.0000000000000007E-2</v>
      </c>
      <c r="J101" s="3344">
        <f t="shared" si="27"/>
        <v>8.9999999999999993E-3</v>
      </c>
      <c r="K101" s="3344">
        <f t="shared" si="28"/>
        <v>4.4999999999999997E-3</v>
      </c>
      <c r="L101" s="3344">
        <v>0</v>
      </c>
      <c r="M101" s="3344">
        <f t="shared" si="29"/>
        <v>-4.4999999999999997E-3</v>
      </c>
      <c r="N101" s="3344">
        <f t="shared" si="29"/>
        <v>-8.9999999999999993E-3</v>
      </c>
    </row>
    <row r="103" spans="1:14">
      <c r="A103" s="3671" t="s">
        <v>3300</v>
      </c>
      <c r="B103" s="3671"/>
      <c r="C103" s="3671"/>
      <c r="D103" s="3671"/>
      <c r="E103" s="3671"/>
      <c r="F103" s="3671"/>
      <c r="G103" s="3671"/>
      <c r="H103" s="3671"/>
      <c r="I103" s="3671"/>
      <c r="J103" s="3671"/>
      <c r="K103" s="3389"/>
      <c r="L103" s="3389"/>
      <c r="M103" s="3389"/>
      <c r="N103" s="3389"/>
    </row>
    <row r="104" spans="1:14">
      <c r="A104" s="3672" t="s">
        <v>3301</v>
      </c>
      <c r="B104" s="3672" t="s">
        <v>3302</v>
      </c>
      <c r="C104" s="3390" t="s">
        <v>3303</v>
      </c>
      <c r="D104" s="3391"/>
      <c r="E104" s="3391"/>
      <c r="F104" s="3391"/>
      <c r="G104" s="3391"/>
      <c r="H104" s="3391"/>
      <c r="I104" s="3391"/>
      <c r="J104" s="3392"/>
      <c r="K104" s="3393"/>
      <c r="L104" s="3393"/>
      <c r="M104" s="3393"/>
      <c r="N104" s="3393"/>
    </row>
    <row r="105" spans="1:14">
      <c r="A105" s="3672"/>
      <c r="B105" s="367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65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9"/>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6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61" t="s">
        <v>3317</v>
      </c>
      <c r="B113" s="3661"/>
      <c r="C113" s="3661"/>
      <c r="D113" s="3661"/>
      <c r="E113" s="3661"/>
      <c r="F113" s="3661"/>
      <c r="G113" s="3661"/>
      <c r="H113" s="3661"/>
      <c r="I113" s="3661"/>
      <c r="J113" s="36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3318</v>
      </c>
      <c r="B116" s="3415">
        <f>G3</f>
        <v>2</v>
      </c>
      <c r="C116" s="3399" t="s">
        <v>3319</v>
      </c>
      <c r="D116" s="3400">
        <f>SUMPRODUCT((A118:A122=F116)*(B117:M117=H116)*B118:M122)</f>
        <v>0.86850000000000005</v>
      </c>
      <c r="E116" s="1999" t="s">
        <v>3320</v>
      </c>
      <c r="F116" s="3401" t="str">
        <f>E2</f>
        <v>公共服务</v>
      </c>
      <c r="G116" s="1999" t="s">
        <v>3321</v>
      </c>
      <c r="H116" s="3401" t="str">
        <f>G2</f>
        <v>七级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8" thickBot="1">
      <c r="A121" s="3411" t="s">
        <v>3337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M16" sqref="M1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v>101</v>
      </c>
      <c r="E1" s="3432" t="s">
        <v>3405</v>
      </c>
      <c r="F1" s="1879" t="s">
        <v>3406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1564.4711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17477</v>
      </c>
      <c r="C3" s="354" t="s">
        <v>1768</v>
      </c>
      <c r="D3" s="353">
        <f>IF(D1="",'数据-汇总表'!E3,SUMIF('数据-汇总表'!$C19:$C33,D1,'数据-汇总表'!$E19:$E33))</f>
        <v>895.16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98" t="s">
        <v>1770</v>
      </c>
      <c r="D4" s="3699"/>
      <c r="E4" s="3700" t="s">
        <v>1771</v>
      </c>
      <c r="F4" s="3701"/>
      <c r="G4" s="3698" t="s">
        <v>1772</v>
      </c>
      <c r="H4" s="3699"/>
      <c r="I4" s="3698" t="s">
        <v>1773</v>
      </c>
      <c r="J4" s="3699"/>
      <c r="K4" s="559" t="s">
        <v>1774</v>
      </c>
      <c r="L4" s="2714"/>
      <c r="M4" s="2715"/>
      <c r="N4" s="2715"/>
      <c r="O4" s="2715"/>
      <c r="P4" s="3702" t="s">
        <v>1775</v>
      </c>
      <c r="Q4" s="3703"/>
      <c r="R4" s="3682" t="s">
        <v>1771</v>
      </c>
      <c r="S4" s="3683"/>
      <c r="T4" s="3682" t="s">
        <v>1772</v>
      </c>
      <c r="U4" s="3683"/>
      <c r="V4" s="3710" t="s">
        <v>1773</v>
      </c>
      <c r="W4" s="3710"/>
      <c r="X4" s="1958"/>
      <c r="Y4" s="3682" t="s">
        <v>1775</v>
      </c>
      <c r="Z4" s="3683"/>
      <c r="AA4" s="3677" t="s">
        <v>1771</v>
      </c>
      <c r="AB4" s="3677" t="s">
        <v>1772</v>
      </c>
      <c r="AC4" s="3695" t="s">
        <v>1773</v>
      </c>
    </row>
    <row r="5" spans="1:29">
      <c r="A5" s="358"/>
      <c r="B5" s="359"/>
      <c r="C5" s="3688" t="s">
        <v>1673</v>
      </c>
      <c r="D5" s="3689"/>
      <c r="E5" s="3686" t="str">
        <f>Sheet1!D149</f>
        <v>石龙高科大厦</v>
      </c>
      <c r="F5" s="3687"/>
      <c r="G5" s="3688" t="str">
        <f>Sheet1!D150</f>
        <v>长安天街</v>
      </c>
      <c r="H5" s="3689"/>
      <c r="I5" s="3688" t="str">
        <f>Sheet1!D151</f>
        <v>远洋长安国际中心</v>
      </c>
      <c r="J5" s="3689"/>
      <c r="K5" s="559"/>
      <c r="L5" s="2714"/>
      <c r="M5" s="2715"/>
      <c r="N5" s="2715"/>
      <c r="O5" s="2715"/>
      <c r="P5" s="3704"/>
      <c r="Q5" s="3705"/>
      <c r="R5" s="3684"/>
      <c r="S5" s="3685"/>
      <c r="T5" s="3684"/>
      <c r="U5" s="3685"/>
      <c r="V5" s="3711"/>
      <c r="W5" s="3711"/>
      <c r="X5" s="1355"/>
      <c r="Y5" s="3684"/>
      <c r="Z5" s="3685"/>
      <c r="AA5" s="3678"/>
      <c r="AB5" s="3678"/>
      <c r="AC5" s="3696"/>
    </row>
    <row r="6" spans="1:29" ht="15" thickBot="1">
      <c r="A6" s="360"/>
      <c r="B6" s="361"/>
      <c r="C6" s="3690" t="s">
        <v>1677</v>
      </c>
      <c r="D6" s="3691"/>
      <c r="E6" s="3692" t="s">
        <v>1677</v>
      </c>
      <c r="F6" s="3693"/>
      <c r="G6" s="3690" t="s">
        <v>1677</v>
      </c>
      <c r="H6" s="3691"/>
      <c r="I6" s="3690" t="s">
        <v>1677</v>
      </c>
      <c r="J6" s="3691"/>
      <c r="K6" s="559" t="s">
        <v>1678</v>
      </c>
      <c r="L6" s="2714"/>
      <c r="M6" s="2715"/>
      <c r="N6" s="2715"/>
      <c r="O6" s="2715"/>
      <c r="P6" s="3706"/>
      <c r="Q6" s="3707"/>
      <c r="R6" s="3684"/>
      <c r="S6" s="3685"/>
      <c r="T6" s="3708"/>
      <c r="U6" s="3709"/>
      <c r="V6" s="3711"/>
      <c r="W6" s="3711"/>
      <c r="X6" s="1355"/>
      <c r="Y6" s="3708"/>
      <c r="Z6" s="3709"/>
      <c r="AA6" s="3679"/>
      <c r="AB6" s="3679"/>
      <c r="AC6" s="3697"/>
    </row>
    <row r="7" spans="1:29" s="108" customFormat="1" ht="15" thickBot="1">
      <c r="A7" s="362" t="s">
        <v>1679</v>
      </c>
      <c r="B7" s="363"/>
      <c r="C7" s="364">
        <f>'数据-取费表'!B2</f>
        <v>44982</v>
      </c>
      <c r="D7" s="365">
        <v>100</v>
      </c>
      <c r="E7" s="366">
        <f>C7</f>
        <v>44982</v>
      </c>
      <c r="F7" s="367">
        <f>SUMIF(59:59,YEAR(E7)&amp;"-"&amp;MONTH(E7),60:60)</f>
        <v>100</v>
      </c>
      <c r="G7" s="366">
        <f>C7</f>
        <v>44982</v>
      </c>
      <c r="H7" s="365">
        <f>SUMIF(59:59,YEAR(G7)&amp;"-"&amp;MONTH(G7),60:60)</f>
        <v>100</v>
      </c>
      <c r="I7" s="366">
        <f>C7</f>
        <v>44982</v>
      </c>
      <c r="J7" s="365">
        <f>SUMIF(59:59,YEAR(I7)&amp;"-"&amp;MONTH(I7),60:60)</f>
        <v>100</v>
      </c>
      <c r="K7" s="560"/>
      <c r="L7" s="2716"/>
      <c r="M7" s="2717"/>
      <c r="N7" s="2717"/>
      <c r="O7" s="2717"/>
      <c r="P7" s="3712" t="s">
        <v>1680</v>
      </c>
      <c r="Q7" s="3713"/>
      <c r="R7" s="701" t="s">
        <v>14</v>
      </c>
      <c r="S7" s="702">
        <f t="shared" ref="S7:S15" si="0">F7</f>
        <v>100</v>
      </c>
      <c r="T7" s="701" t="s">
        <v>14</v>
      </c>
      <c r="U7" s="702">
        <f t="shared" ref="U7:U15" si="1">H7</f>
        <v>100</v>
      </c>
      <c r="V7" s="701" t="s">
        <v>14</v>
      </c>
      <c r="W7" s="702">
        <f t="shared" ref="W7:W15" si="2">J7</f>
        <v>100</v>
      </c>
      <c r="X7" s="703"/>
      <c r="Y7" s="3680" t="s">
        <v>1680</v>
      </c>
      <c r="Z7" s="3681"/>
      <c r="AA7" s="704">
        <f>D7/F7</f>
        <v>1</v>
      </c>
      <c r="AB7" s="704">
        <f>D7/H7</f>
        <v>1</v>
      </c>
      <c r="AC7" s="1959">
        <f>D7/J7</f>
        <v>1</v>
      </c>
    </row>
    <row r="8" spans="1:29" s="108" customFormat="1" ht="15" thickBot="1">
      <c r="A8" s="362" t="s">
        <v>1681</v>
      </c>
      <c r="B8" s="363"/>
      <c r="C8" s="3449" t="s">
        <v>3407</v>
      </c>
      <c r="D8" s="365">
        <v>100</v>
      </c>
      <c r="E8" s="3449" t="s">
        <v>3423</v>
      </c>
      <c r="F8" s="367">
        <f>SUMIF(62:62,E8,63:63)-SUMIF(62:62,C8,63:63)+100</f>
        <v>105</v>
      </c>
      <c r="G8" s="3449" t="s">
        <v>3423</v>
      </c>
      <c r="H8" s="365">
        <f>SUMIF(62:62,G8,63:63)-SUMIF(62:62,C8,63:63)+100</f>
        <v>105</v>
      </c>
      <c r="I8" s="3449" t="s">
        <v>3423</v>
      </c>
      <c r="J8" s="365">
        <f>SUMIF(62:62,I8,63:63)-SUMIF(62:62,C8,63:63)+100</f>
        <v>105</v>
      </c>
      <c r="K8" s="560"/>
      <c r="L8" s="2716"/>
      <c r="M8" s="2717"/>
      <c r="N8" s="2717"/>
      <c r="O8" s="2717"/>
      <c r="P8" s="3712" t="s">
        <v>1683</v>
      </c>
      <c r="Q8" s="3681"/>
      <c r="R8" s="701" t="s">
        <v>14</v>
      </c>
      <c r="S8" s="702">
        <f t="shared" si="0"/>
        <v>105</v>
      </c>
      <c r="T8" s="701" t="s">
        <v>14</v>
      </c>
      <c r="U8" s="702">
        <f t="shared" si="1"/>
        <v>105</v>
      </c>
      <c r="V8" s="701" t="s">
        <v>14</v>
      </c>
      <c r="W8" s="702">
        <f t="shared" si="2"/>
        <v>105</v>
      </c>
      <c r="X8" s="703"/>
      <c r="Y8" s="3680" t="s">
        <v>1683</v>
      </c>
      <c r="Z8" s="3681"/>
      <c r="AA8" s="704">
        <f t="shared" ref="AA8:AA47" si="3">D8/F8</f>
        <v>0.95238095238095233</v>
      </c>
      <c r="AB8" s="704">
        <f t="shared" ref="AB8:AB47" si="4">D8/H8</f>
        <v>0.95238095238095233</v>
      </c>
      <c r="AC8" s="1959">
        <f t="shared" ref="AC8:AC47" si="5">D8/J8</f>
        <v>0.95238095238095233</v>
      </c>
    </row>
    <row r="9" spans="1:29" s="108" customFormat="1" ht="14.4">
      <c r="A9" s="369" t="s">
        <v>1684</v>
      </c>
      <c r="B9" s="63" t="s">
        <v>1685</v>
      </c>
      <c r="C9" s="3450" t="s">
        <v>3408</v>
      </c>
      <c r="D9" s="126">
        <v>100</v>
      </c>
      <c r="E9" s="3451" t="s">
        <v>3409</v>
      </c>
      <c r="F9" s="126">
        <f>SUMIF(64:64,E9,65:65)-SUMIF(64:64,C9,65:65)+100</f>
        <v>110</v>
      </c>
      <c r="G9" s="3452" t="s">
        <v>3409</v>
      </c>
      <c r="H9" s="126">
        <f>SUMIF(64:64,G9,65:65)-SUMIF(64:64,C9,65:65)+100</f>
        <v>110</v>
      </c>
      <c r="I9" s="3452" t="s">
        <v>3409</v>
      </c>
      <c r="J9" s="126">
        <f>SUMIF(64:64,I9,65:65)-SUMIF(64:64,C9,65:65)+100</f>
        <v>110</v>
      </c>
      <c r="K9" s="560"/>
      <c r="L9" s="2716"/>
      <c r="M9" s="2717"/>
      <c r="N9" s="2717"/>
      <c r="O9" s="2717"/>
      <c r="P9" s="3694" t="s">
        <v>1686</v>
      </c>
      <c r="Q9" s="1343" t="str">
        <f t="shared" ref="Q9:Q15" si="6">B9</f>
        <v>用途</v>
      </c>
      <c r="R9" s="701" t="s">
        <v>14</v>
      </c>
      <c r="S9" s="702">
        <f t="shared" si="0"/>
        <v>110</v>
      </c>
      <c r="T9" s="701" t="s">
        <v>14</v>
      </c>
      <c r="U9" s="702">
        <f t="shared" si="1"/>
        <v>110</v>
      </c>
      <c r="V9" s="701" t="s">
        <v>14</v>
      </c>
      <c r="W9" s="702">
        <f t="shared" si="2"/>
        <v>110</v>
      </c>
      <c r="X9" s="703"/>
      <c r="Y9" s="3626" t="s">
        <v>1687</v>
      </c>
      <c r="Z9" s="52" t="str">
        <f t="shared" ref="Z9:Z15" si="7">Q9</f>
        <v>用途</v>
      </c>
      <c r="AA9" s="704">
        <f t="shared" si="3"/>
        <v>0.90909090909090906</v>
      </c>
      <c r="AB9" s="704">
        <f t="shared" si="4"/>
        <v>0.90909090909090906</v>
      </c>
      <c r="AC9" s="1959">
        <f t="shared" si="5"/>
        <v>0.90909090909090906</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3455" t="s">
        <v>3401</v>
      </c>
      <c r="D16" s="399"/>
      <c r="E16" s="3456" t="s">
        <v>3414</v>
      </c>
      <c r="F16" s="399"/>
      <c r="G16" s="3455" t="s">
        <v>3414</v>
      </c>
      <c r="H16" s="401"/>
      <c r="I16" s="3456" t="s">
        <v>3414</v>
      </c>
      <c r="J16" s="399"/>
      <c r="K16" s="564"/>
      <c r="L16" s="2721"/>
      <c r="M16" s="2715"/>
      <c r="N16" s="2715"/>
      <c r="O16" s="2715"/>
      <c r="P16" s="3715"/>
      <c r="Q16" s="1352"/>
      <c r="R16" s="705"/>
      <c r="S16" s="706"/>
      <c r="T16" s="705"/>
      <c r="U16" s="706"/>
      <c r="V16" s="705"/>
      <c r="W16" s="706"/>
      <c r="X16" s="1355"/>
      <c r="Y16" s="371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3457" t="s">
        <v>3414</v>
      </c>
      <c r="D18" s="401"/>
      <c r="E18" s="3458" t="s">
        <v>3414</v>
      </c>
      <c r="F18" s="401"/>
      <c r="G18" s="3459" t="s">
        <v>3414</v>
      </c>
      <c r="H18" s="399"/>
      <c r="I18" s="3459" t="s">
        <v>3415</v>
      </c>
      <c r="J18" s="399"/>
      <c r="K18" s="564"/>
      <c r="L18" s="2721"/>
      <c r="M18" s="2715"/>
      <c r="N18" s="2715"/>
      <c r="O18" s="2715"/>
      <c r="P18" s="3715"/>
      <c r="Q18" s="1352"/>
      <c r="R18" s="705"/>
      <c r="S18" s="706"/>
      <c r="T18" s="705"/>
      <c r="U18" s="706"/>
      <c r="V18" s="705"/>
      <c r="W18" s="706"/>
      <c r="X18" s="1355"/>
      <c r="Y18" s="371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3455" t="s">
        <v>3414</v>
      </c>
      <c r="D20" s="399"/>
      <c r="E20" s="3460" t="s">
        <v>3414</v>
      </c>
      <c r="F20" s="399"/>
      <c r="G20" s="3461" t="s">
        <v>3414</v>
      </c>
      <c r="H20" s="399"/>
      <c r="I20" s="3461" t="s">
        <v>3414</v>
      </c>
      <c r="J20" s="399"/>
      <c r="K20" s="564"/>
      <c r="L20" s="2721"/>
      <c r="M20" s="2715"/>
      <c r="N20" s="2715"/>
      <c r="O20" s="2715"/>
      <c r="P20" s="3715"/>
      <c r="Q20" s="1352"/>
      <c r="R20" s="705"/>
      <c r="S20" s="706"/>
      <c r="T20" s="705"/>
      <c r="U20" s="706"/>
      <c r="V20" s="705"/>
      <c r="W20" s="706"/>
      <c r="X20" s="1355"/>
      <c r="Y20" s="371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3457" t="s">
        <v>3416</v>
      </c>
      <c r="D22" s="399"/>
      <c r="E22" s="3456" t="s">
        <v>3417</v>
      </c>
      <c r="F22" s="399"/>
      <c r="G22" s="3455" t="s">
        <v>3418</v>
      </c>
      <c r="H22" s="399"/>
      <c r="I22" s="3455" t="s">
        <v>3416</v>
      </c>
      <c r="J22" s="399"/>
      <c r="K22" s="1130"/>
      <c r="L22" s="2721"/>
      <c r="M22" s="2715"/>
      <c r="N22" s="2715"/>
      <c r="O22" s="2715"/>
      <c r="P22" s="3715"/>
      <c r="Q22" s="1352"/>
      <c r="R22" s="705"/>
      <c r="S22" s="706"/>
      <c r="T22" s="705"/>
      <c r="U22" s="706"/>
      <c r="V22" s="705"/>
      <c r="W22" s="706"/>
      <c r="X22" s="1355"/>
      <c r="Y22" s="371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3455" t="s">
        <v>3414</v>
      </c>
      <c r="D24" s="399"/>
      <c r="E24" s="3460" t="s">
        <v>3414</v>
      </c>
      <c r="F24" s="399"/>
      <c r="G24" s="3461" t="s">
        <v>3414</v>
      </c>
      <c r="H24" s="399"/>
      <c r="I24" s="3461" t="s">
        <v>3414</v>
      </c>
      <c r="J24" s="399"/>
      <c r="K24" s="564"/>
      <c r="L24" s="2721"/>
      <c r="M24" s="2715"/>
      <c r="N24" s="2715"/>
      <c r="O24" s="2715"/>
      <c r="P24" s="3715"/>
      <c r="Q24" s="1352"/>
      <c r="R24" s="705"/>
      <c r="S24" s="706"/>
      <c r="T24" s="705"/>
      <c r="U24" s="706"/>
      <c r="V24" s="705"/>
      <c r="W24" s="706"/>
      <c r="X24" s="1355"/>
      <c r="Y24" s="371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17"/>
      <c r="Z26" s="1356"/>
      <c r="AA26" s="1353">
        <v>1</v>
      </c>
      <c r="AB26" s="1353">
        <v>1</v>
      </c>
      <c r="AC26" s="1962">
        <v>1</v>
      </c>
    </row>
    <row r="27" spans="1:29" ht="15">
      <c r="A27" s="379"/>
      <c r="B27" s="580" t="s">
        <v>1783</v>
      </c>
      <c r="C27" s="3463" t="s">
        <v>3420</v>
      </c>
      <c r="D27" s="386">
        <v>100</v>
      </c>
      <c r="E27" s="3464" t="s">
        <v>3421</v>
      </c>
      <c r="F27" s="386">
        <f>SUMIF(89:89,E27,90:90)-SUMIF(89:89,C27,90:90)+100</f>
        <v>105</v>
      </c>
      <c r="G27" s="3463" t="s">
        <v>3421</v>
      </c>
      <c r="H27" s="386">
        <f>SUMIF(89:89,G27,90:90)-SUMIF(89:89,C27,90:90)+100</f>
        <v>105</v>
      </c>
      <c r="I27" s="3464" t="s">
        <v>3421</v>
      </c>
      <c r="J27" s="386">
        <f>SUMIF(89:89,I27,90:90)-SUMIF(89:89,C27,90:90)+100</f>
        <v>105</v>
      </c>
      <c r="K27" s="561">
        <v>5</v>
      </c>
      <c r="L27" s="2721"/>
      <c r="M27" s="2715"/>
      <c r="N27" s="2715"/>
      <c r="O27" s="2715"/>
      <c r="P27" s="3715"/>
      <c r="Q27" s="1352" t="str">
        <f t="shared" ref="Q27:Q47" si="11">B27</f>
        <v>楼层</v>
      </c>
      <c r="R27" s="705" t="s">
        <v>14</v>
      </c>
      <c r="S27" s="706">
        <f>F27</f>
        <v>105</v>
      </c>
      <c r="T27" s="705" t="s">
        <v>14</v>
      </c>
      <c r="U27" s="706">
        <f>H27</f>
        <v>105</v>
      </c>
      <c r="V27" s="705" t="s">
        <v>14</v>
      </c>
      <c r="W27" s="706">
        <f>J27</f>
        <v>105</v>
      </c>
      <c r="X27" s="1355"/>
      <c r="Y27" s="3717"/>
      <c r="Z27" s="1356" t="str">
        <f>Q27</f>
        <v>楼层</v>
      </c>
      <c r="AA27" s="1353">
        <f t="shared" si="3"/>
        <v>0.95238095238095233</v>
      </c>
      <c r="AB27" s="1353">
        <f t="shared" si="4"/>
        <v>0.95238095238095233</v>
      </c>
      <c r="AC27" s="1962">
        <f t="shared" si="5"/>
        <v>0.95238095238095233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f>D3</f>
        <v>895.16</v>
      </c>
      <c r="D34" s="127">
        <v>100</v>
      </c>
      <c r="E34" s="381">
        <f>Sheet1!E149</f>
        <v>1200</v>
      </c>
      <c r="F34" s="376">
        <f>LOOKUP(E34,104:104,105:105)-LOOKUP(C34,104:104,105:105)+100</f>
        <v>96</v>
      </c>
      <c r="G34" s="380">
        <f>Sheet1!E150</f>
        <v>655</v>
      </c>
      <c r="H34" s="127">
        <f>LOOKUP(G34,104:104,105:105)-LOOKUP(C34,104:104,105:105)+100</f>
        <v>102</v>
      </c>
      <c r="I34" s="380">
        <f>Sheet1!E151</f>
        <v>1100</v>
      </c>
      <c r="J34" s="127">
        <f>LOOKUP(I34,104:104,105:105)-LOOKUP(C34,104:104,105:105)+100</f>
        <v>98</v>
      </c>
      <c r="K34" s="562"/>
      <c r="L34" s="2720"/>
      <c r="M34" s="2722"/>
      <c r="N34" s="2722"/>
      <c r="O34" s="2722"/>
      <c r="P34" s="3719"/>
      <c r="Q34" s="707" t="str">
        <f t="shared" si="11"/>
        <v>项目建筑规模</v>
      </c>
      <c r="R34" s="708" t="s">
        <v>14</v>
      </c>
      <c r="S34" s="709">
        <f t="shared" si="12"/>
        <v>96</v>
      </c>
      <c r="T34" s="708" t="s">
        <v>14</v>
      </c>
      <c r="U34" s="709">
        <f t="shared" si="13"/>
        <v>102</v>
      </c>
      <c r="V34" s="708" t="s">
        <v>14</v>
      </c>
      <c r="W34" s="709">
        <f t="shared" si="14"/>
        <v>98</v>
      </c>
      <c r="X34" s="710"/>
      <c r="Y34" s="3721"/>
      <c r="Z34" s="711" t="str">
        <f t="shared" si="15"/>
        <v>项目建筑规模</v>
      </c>
      <c r="AA34" s="1353">
        <f t="shared" si="3"/>
        <v>1.0416666666666667</v>
      </c>
      <c r="AB34" s="1353">
        <f t="shared" si="4"/>
        <v>0.98039215686274506</v>
      </c>
      <c r="AC34" s="1962">
        <f t="shared" si="5"/>
        <v>1.0204081632653061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1"/>
      <c r="M37" s="2715"/>
      <c r="N37" s="2715"/>
      <c r="O37" s="2715"/>
      <c r="P37" s="3719"/>
      <c r="Q37" s="1352" t="str">
        <f t="shared" si="11"/>
        <v>成新度</v>
      </c>
      <c r="R37" s="705" t="s">
        <v>14</v>
      </c>
      <c r="S37" s="706">
        <f t="shared" si="12"/>
        <v>100</v>
      </c>
      <c r="T37" s="705" t="s">
        <v>14</v>
      </c>
      <c r="U37" s="706">
        <f t="shared" si="13"/>
        <v>100</v>
      </c>
      <c r="V37" s="705" t="s">
        <v>14</v>
      </c>
      <c r="W37" s="706">
        <f t="shared" si="14"/>
        <v>100</v>
      </c>
      <c r="X37" s="1355"/>
      <c r="Y37" s="372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3462" t="s">
        <v>3419</v>
      </c>
      <c r="D43" s="386">
        <v>100</v>
      </c>
      <c r="E43" s="3462" t="s">
        <v>3419</v>
      </c>
      <c r="F43" s="412">
        <f>SUMIF(123:123,E43,124:124)-SUMIF(123:123,C43,124:124)+100</f>
        <v>100</v>
      </c>
      <c r="G43" s="3462" t="s">
        <v>3419</v>
      </c>
      <c r="H43" s="386">
        <f>SUMIF(123:123,G43,124:124)-SUMIF(123:123,C43,124:124)+100</f>
        <v>100</v>
      </c>
      <c r="I43" s="3462" t="s">
        <v>3419</v>
      </c>
      <c r="J43" s="386">
        <f>SUMIF(123:123,I43,124:124)-SUMIF(123:123,C43,124:124)+100</f>
        <v>100</v>
      </c>
      <c r="K43" s="561"/>
      <c r="L43" s="2721"/>
      <c r="M43" s="2715"/>
      <c r="N43" s="2715"/>
      <c r="O43" s="2715"/>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4.4">
      <c r="A48" s="430" t="s">
        <v>1708</v>
      </c>
      <c r="B48" s="431"/>
      <c r="C48" s="1154" t="s">
        <v>0</v>
      </c>
      <c r="D48" s="1155"/>
      <c r="E48" s="1156">
        <f>Sheet1!F149</f>
        <v>20000</v>
      </c>
      <c r="F48" s="1157"/>
      <c r="G48" s="1158">
        <f>Sheet1!F150</f>
        <v>23000</v>
      </c>
      <c r="H48" s="1159"/>
      <c r="I48" s="1156">
        <f>Sheet1!F151</f>
        <v>19800</v>
      </c>
      <c r="J48" s="436"/>
      <c r="K48" s="714"/>
      <c r="L48" s="2723"/>
      <c r="M48" s="2715"/>
      <c r="N48" s="2715"/>
      <c r="O48" s="2715"/>
      <c r="P48" s="3694" t="str">
        <f>A48</f>
        <v>成交单价（元/平方米）</v>
      </c>
      <c r="Q48" s="3723"/>
      <c r="R48" s="3724">
        <f>E48</f>
        <v>20000</v>
      </c>
      <c r="S48" s="3724"/>
      <c r="T48" s="3724">
        <f>G48</f>
        <v>23000</v>
      </c>
      <c r="U48" s="3724"/>
      <c r="V48" s="3724">
        <f>I48</f>
        <v>19800</v>
      </c>
      <c r="W48" s="3724"/>
      <c r="X48" s="397"/>
      <c r="Y48" s="712"/>
      <c r="Z48" s="397"/>
      <c r="AA48" s="397"/>
      <c r="AB48" s="397"/>
      <c r="AC48" s="578"/>
    </row>
    <row r="49" spans="1:29" ht="15" thickBot="1">
      <c r="A49" s="437" t="s">
        <v>1793</v>
      </c>
      <c r="B49" s="438"/>
      <c r="C49" s="1160">
        <f>R50</f>
        <v>17477</v>
      </c>
      <c r="D49" s="2316" t="s">
        <v>2138</v>
      </c>
      <c r="E49" s="1161">
        <f>R49</f>
        <v>17179</v>
      </c>
      <c r="F49" s="2317"/>
      <c r="G49" s="1160">
        <f>T49</f>
        <v>18593</v>
      </c>
      <c r="H49" s="2317"/>
      <c r="I49" s="1161">
        <f>V49</f>
        <v>16660</v>
      </c>
      <c r="J49" s="2317"/>
      <c r="K49" s="2319">
        <f>F49+H49+J49</f>
        <v>0</v>
      </c>
      <c r="L49" s="2723"/>
      <c r="M49" s="2715"/>
      <c r="N49" s="2715"/>
      <c r="O49" s="2715"/>
      <c r="P49" s="3694" t="str">
        <f>A49</f>
        <v>比较价值（元/平方米）</v>
      </c>
      <c r="Q49" s="3723"/>
      <c r="R49" s="3724">
        <f>IF(F1="售价",ROUND(PRODUCT(R48,AA7:AA47),0),ROUND(PRODUCT(R48,AA7:AA47),1))</f>
        <v>17179</v>
      </c>
      <c r="S49" s="3724"/>
      <c r="T49" s="3724">
        <f>IF(F1="售价",ROUND(PRODUCT(T48,AB7:AB47),0),ROUND(PRODUCT(T48,AB7:AB47),1))</f>
        <v>18593</v>
      </c>
      <c r="U49" s="3724"/>
      <c r="V49" s="3724">
        <f>IF(F1="售价",ROUND(PRODUCT(V48,AC7:AC47),0),ROUND(PRODUCT(V48,AC7:AC47),1))</f>
        <v>16660</v>
      </c>
      <c r="W49" s="3724"/>
      <c r="X49" s="397"/>
      <c r="Y49" s="397"/>
      <c r="Z49" s="397"/>
      <c r="AA49" s="397"/>
      <c r="AB49" s="397"/>
      <c r="AC49" s="578"/>
    </row>
    <row r="50" spans="1:29" ht="15" thickBot="1">
      <c r="A50" s="441" t="s">
        <v>1794</v>
      </c>
      <c r="B50" s="442"/>
      <c r="C50" s="1163">
        <f>R50</f>
        <v>17477</v>
      </c>
      <c r="D50" s="1163"/>
      <c r="E50" s="1163"/>
      <c r="F50" s="1163"/>
      <c r="G50" s="1163"/>
      <c r="H50" s="1163"/>
      <c r="I50" s="1163"/>
      <c r="J50" s="443"/>
      <c r="K50" s="715"/>
      <c r="L50" s="2723"/>
      <c r="M50" s="2715"/>
      <c r="N50" s="2715"/>
      <c r="O50" s="2715"/>
      <c r="P50" s="3725" t="str">
        <f>A50</f>
        <v>估价对象XX用房的比较价值（楼面单价，元/平方米）</v>
      </c>
      <c r="Q50" s="3726"/>
      <c r="R50" s="3727">
        <f>IF(F1="售价",ROUND(IF(D49="简单平均",AVERAGE(R49:V49),R49*F49+T49*H49+V49*J49),0),ROUND(IF(D49="简单平均",AVERAGE(R49:V49),R49*F49+T49*H49+V49*J49),1))</f>
        <v>17477</v>
      </c>
      <c r="S50" s="3727"/>
      <c r="T50" s="3727"/>
      <c r="U50" s="3727"/>
      <c r="V50" s="3727"/>
      <c r="W50" s="372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0.16421211944816339</v>
      </c>
      <c r="F53" s="449" t="str">
        <f>IF(OR(E53&gt;=0.3,E53&lt;=-0.3),"超过30%","")</f>
        <v/>
      </c>
      <c r="G53" s="448">
        <f>IF(G48&lt;G49,G49/G48-1,G48/G49-1)</f>
        <v>0.23702468671005228</v>
      </c>
      <c r="H53" s="449" t="str">
        <f>IF(OR(G53&gt;=0.3,G53&lt;=-0.3),"超过30%","")</f>
        <v/>
      </c>
      <c r="I53" s="448">
        <f>IF(I48&lt;I49,I49/I48-1,I48/I49-1)</f>
        <v>0.18847539015606252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8.2309796844985073E-2</v>
      </c>
      <c r="F54" s="449" t="str">
        <f>IF(OR(E54&gt;=0.2,E54&lt;=-0.2),"超过20%","")</f>
        <v/>
      </c>
      <c r="G54" s="448">
        <f>IF(G49&lt;I49,I49/G49-1,G49/I49-1)</f>
        <v>0.11602641056422569</v>
      </c>
      <c r="H54" s="449" t="str">
        <f>IF(OR(G54&gt;=0.2,G54&lt;=-0.2),"超过20%","")</f>
        <v/>
      </c>
      <c r="I54" s="448">
        <f>IF(I49&lt;E49,E49/I49-1,I49/E49-1)</f>
        <v>3.1152460984393837E-2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0.14999999999999991</v>
      </c>
      <c r="F55" s="449" t="str">
        <f>IF(OR(E55&gt;=0.3,E55&lt;=-0.3),"超过30%","")</f>
        <v/>
      </c>
      <c r="G55" s="448">
        <f>IF(G48&lt;I48,I48/G48-1,G48/I48-1)</f>
        <v>0.16161616161616155</v>
      </c>
      <c r="H55" s="449" t="str">
        <f>IF(OR(G55&gt;=0.3,G55&lt;=-0.3),"超过30%","")</f>
        <v/>
      </c>
      <c r="I55" s="448">
        <f>IF(I48&lt;E48,E48/I48-1,I48/E48-1)</f>
        <v>1.0101010101010166E-2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3466" t="s">
        <v>3424</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t="str">
        <f>C9</f>
        <v>公共配套</v>
      </c>
      <c r="D64" s="3453" t="s">
        <v>3409</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v>110</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5" t="s">
        <v>3422</v>
      </c>
      <c r="D89" s="3465" t="s">
        <v>3421</v>
      </c>
      <c r="E89" s="3465" t="s">
        <v>3420</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8.2"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1000(含)-1200</v>
      </c>
      <c r="I103" s="527" t="str">
        <f t="shared" si="23"/>
        <v>1200(含)-1400</v>
      </c>
      <c r="J103" s="527" t="str">
        <f t="shared" si="23"/>
        <v>1400(含)-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v>800</v>
      </c>
      <c r="H104" s="544">
        <v>1000</v>
      </c>
      <c r="I104" s="544">
        <v>1200</v>
      </c>
      <c r="J104" s="545">
        <v>1400</v>
      </c>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98</v>
      </c>
      <c r="F105" s="485">
        <v>96</v>
      </c>
      <c r="G105" s="485">
        <v>94</v>
      </c>
      <c r="H105" s="485">
        <v>92</v>
      </c>
      <c r="I105" s="485">
        <v>90</v>
      </c>
      <c r="J105" s="485">
        <v>88</v>
      </c>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9" zoomScale="70" zoomScaleNormal="70" zoomScaleSheetLayoutView="70" workbookViewId="0">
      <selection activeCell="K42" sqref="K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v>101</v>
      </c>
      <c r="D1" s="1362" t="s">
        <v>43</v>
      </c>
      <c r="E1" s="1363" t="s">
        <v>678</v>
      </c>
      <c r="F1" s="1062">
        <f ca="1">J53</f>
        <v>34.24</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2188.0610999999999</v>
      </c>
      <c r="C2" s="1387" t="s">
        <v>879</v>
      </c>
      <c r="D2" s="1471">
        <f ca="1">C40+J29+L46</f>
        <v>21880611</v>
      </c>
      <c r="E2" s="1388" t="s">
        <v>880</v>
      </c>
      <c r="F2" s="1389"/>
      <c r="G2" s="2705"/>
      <c r="H2" s="2694"/>
      <c r="I2" s="2694"/>
      <c r="J2" s="2694"/>
      <c r="K2" s="2695"/>
      <c r="L2" s="2694"/>
      <c r="M2" s="2694"/>
    </row>
    <row r="3" spans="1:37" ht="18" customHeight="1" thickBot="1">
      <c r="A3" s="1390" t="s">
        <v>881</v>
      </c>
      <c r="B3" s="1391">
        <f ca="1">IF(ISERROR(D2/F43),0,ROUND(D2/F43,0))</f>
        <v>24443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1324924</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1323270</v>
      </c>
      <c r="D6" s="155" t="s">
        <v>2106</v>
      </c>
      <c r="E6" s="302" t="s">
        <v>696</v>
      </c>
      <c r="F6" s="303">
        <f ca="1">INDIRECT("'数据-取费表'!u"&amp;$G$1)</f>
        <v>4.5</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895.16</v>
      </c>
      <c r="G7" s="1384"/>
      <c r="H7" s="304"/>
      <c r="I7" s="3656"/>
      <c r="J7" s="306"/>
      <c r="K7" s="307"/>
      <c r="L7" s="302" t="s">
        <v>697</v>
      </c>
      <c r="M7" s="303">
        <f ca="1">F7</f>
        <v>895.16</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1654</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4126567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3133060</v>
      </c>
      <c r="D14" s="1345" t="s">
        <v>708</v>
      </c>
      <c r="E14" s="1342"/>
      <c r="F14" s="319"/>
      <c r="G14" s="1384"/>
      <c r="H14" s="982" t="s">
        <v>398</v>
      </c>
      <c r="I14" s="302" t="s">
        <v>709</v>
      </c>
      <c r="J14" s="21">
        <f ca="1">C29</f>
        <v>4743181</v>
      </c>
      <c r="K14" s="12"/>
      <c r="L14" s="807"/>
      <c r="M14" s="808"/>
    </row>
    <row r="15" spans="1:37" s="1397" customFormat="1" ht="18" customHeight="1" thickBot="1">
      <c r="A15" s="982" t="s">
        <v>399</v>
      </c>
      <c r="B15" s="302" t="s">
        <v>710</v>
      </c>
      <c r="C15" s="21">
        <f ca="1">ROUND(C14*F15,0)</f>
        <v>93992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47432</v>
      </c>
      <c r="K16" s="1087" t="s">
        <v>715</v>
      </c>
      <c r="L16" s="1088"/>
      <c r="M16" s="1072"/>
    </row>
    <row r="17" spans="1:37" s="1397" customFormat="1" ht="18" customHeight="1">
      <c r="A17" s="982" t="s">
        <v>681</v>
      </c>
      <c r="B17" s="302" t="s">
        <v>716</v>
      </c>
      <c r="C17" s="21">
        <f ca="1">ROUND(F17*(F43+INDIRECT("'数据-取费表'!S"&amp;$G$1)),0)</f>
        <v>179032</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46996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3453080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69062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47432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146169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-47432</v>
      </c>
      <c r="K25" s="1095" t="s">
        <v>753</v>
      </c>
      <c r="L25" s="1096"/>
      <c r="M25" s="1097"/>
    </row>
    <row r="26" spans="1:37" ht="18" customHeight="1">
      <c r="A26" s="982" t="s">
        <v>397</v>
      </c>
      <c r="B26" s="302" t="s">
        <v>754</v>
      </c>
      <c r="C26" s="21">
        <f ca="1">ROUND((C19+C20)*F26,0)</f>
        <v>704428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4743181</v>
      </c>
      <c r="D29" s="1092"/>
      <c r="E29" s="1090"/>
      <c r="F29" s="1093"/>
      <c r="G29" s="1396"/>
      <c r="H29" s="334" t="s">
        <v>396</v>
      </c>
      <c r="I29" s="335" t="s">
        <v>768</v>
      </c>
      <c r="J29" s="336">
        <f ca="1">ROUND(J26/(1+F40)^F41,0)</f>
        <v>0</v>
      </c>
      <c r="K29" s="337" t="s">
        <v>769</v>
      </c>
      <c r="L29" s="338"/>
      <c r="M29" s="339">
        <f ca="1">INDIRECT("'数据-取费表'!k"&amp;$G$1)</f>
        <v>895.16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286613</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221805</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70574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151231</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47432</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4127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13249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1038311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21721132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34.24</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24265</v>
      </c>
      <c r="D43" s="337" t="s">
        <v>777</v>
      </c>
      <c r="E43" s="338" t="s">
        <v>778</v>
      </c>
      <c r="F43" s="339">
        <f ca="1">INDIRECT("'数据-取费表'!k"&amp;$G$1)</f>
        <v>895.16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-2250.8676999999998</v>
      </c>
      <c r="D45" s="3431" t="s">
        <v>3359</v>
      </c>
      <c r="E45" s="1400"/>
      <c r="F45" s="1400"/>
      <c r="O45" s="1403" t="s">
        <v>808</v>
      </c>
      <c r="P45" s="1461"/>
      <c r="Q45" s="1461"/>
      <c r="R45" s="1461"/>
    </row>
    <row r="46" spans="1:18" s="1384" customFormat="1" ht="13.8" thickBot="1">
      <c r="A46" s="1404" t="s">
        <v>809</v>
      </c>
      <c r="C46" s="1405">
        <f ca="1">ROUND(C45,0)</f>
        <v>-2251</v>
      </c>
      <c r="D46" s="1406" t="str">
        <f>C2</f>
        <v>万元</v>
      </c>
      <c r="I46" s="1407" t="s">
        <v>810</v>
      </c>
      <c r="J46" s="1408"/>
      <c r="K46" s="1409"/>
      <c r="L46" s="1410">
        <f ca="1">IF(M47="住宅",0,IF(L48&gt;J51,L60,J60))</f>
        <v>159479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21721132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3391</v>
      </c>
      <c r="K48" s="1423" t="s">
        <v>820</v>
      </c>
      <c r="L48" s="1424">
        <f ca="1">INDIRECT("'数据-取费表'!f"&amp;$G$1)</f>
        <v>34.24</v>
      </c>
      <c r="O48" s="1418" t="s">
        <v>404</v>
      </c>
      <c r="P48" s="1419" t="s">
        <v>821</v>
      </c>
      <c r="Q48" s="1420">
        <f ca="1">J60</f>
        <v>159479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4743181</v>
      </c>
      <c r="R49" s="1420" t="s">
        <v>818</v>
      </c>
    </row>
    <row r="50" spans="1:18" s="1384" customFormat="1" ht="13.8" thickBot="1">
      <c r="A50" s="976"/>
      <c r="B50" s="979"/>
      <c r="C50" s="980"/>
      <c r="D50" s="953"/>
      <c r="E50" s="1056" t="s">
        <v>697</v>
      </c>
      <c r="F50" s="1057">
        <f ca="1">F7</f>
        <v>895.16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13803449</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34.24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34.24</v>
      </c>
      <c r="K53" s="3653" t="s">
        <v>837</v>
      </c>
      <c r="L53" s="3654"/>
      <c r="O53" s="1418" t="s">
        <v>409</v>
      </c>
      <c r="P53" s="1419" t="s">
        <v>838</v>
      </c>
      <c r="Q53" s="1420">
        <f ca="1">Q47+Q48</f>
        <v>21880611</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0.29599999999999999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4126567</v>
      </c>
      <c r="D56" s="1447"/>
      <c r="E56" s="1448"/>
      <c r="F56" s="1440"/>
      <c r="I56" s="1449" t="s">
        <v>842</v>
      </c>
      <c r="J56" s="1450" t="s">
        <v>3392</v>
      </c>
      <c r="K56" s="1421" t="s">
        <v>843</v>
      </c>
      <c r="L56" s="1424" t="str">
        <f ca="1">IF(L48&lt;J51,"——",L48-J51)</f>
        <v>——</v>
      </c>
      <c r="O56" s="1418" t="s">
        <v>403</v>
      </c>
      <c r="P56" s="1419" t="s">
        <v>817</v>
      </c>
      <c r="Q56" s="1420">
        <f ca="1">C40+J29</f>
        <v>21721132</v>
      </c>
      <c r="R56" s="1420" t="s">
        <v>818</v>
      </c>
    </row>
    <row r="57" spans="1:18" s="1384" customFormat="1" ht="24.6" thickBot="1">
      <c r="A57" s="1451"/>
      <c r="B57" s="950" t="s">
        <v>767</v>
      </c>
      <c r="C57" s="238">
        <f ca="1">C29</f>
        <v>4743181</v>
      </c>
      <c r="D57" s="1452"/>
      <c r="E57" s="1453"/>
      <c r="F57" s="1454"/>
      <c r="I57" s="1455" t="s">
        <v>844</v>
      </c>
      <c r="J57" s="1456">
        <f ca="1">IF(OR(M47="住宅",J51&lt;L48,J56="是"),"——",J51-L48)</f>
        <v>17.759999999999998</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51559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1897272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159479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21721132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47432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4127</v>
      </c>
      <c r="D65" s="964" t="s">
        <v>743</v>
      </c>
      <c r="E65" s="950" t="s">
        <v>744</v>
      </c>
      <c r="F65" s="330">
        <f t="shared" ca="1" si="0"/>
        <v>1E-3</v>
      </c>
      <c r="I65" s="1462" t="s">
        <v>867</v>
      </c>
      <c r="J65" s="1463">
        <v>40</v>
      </c>
      <c r="K65" s="1463">
        <v>30</v>
      </c>
      <c r="L65" s="1463">
        <v>50</v>
      </c>
      <c r="M65" s="1465">
        <v>0.02</v>
      </c>
      <c r="O65" s="1418" t="s">
        <v>403</v>
      </c>
      <c r="P65" s="1419" t="s">
        <v>868</v>
      </c>
      <c r="Q65" s="1420">
        <f ca="1">C40+J29</f>
        <v>21721132</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-51559</v>
      </c>
      <c r="D67" s="963" t="s">
        <v>753</v>
      </c>
      <c r="E67" s="968"/>
      <c r="F67" s="969"/>
      <c r="O67" s="1428" t="s">
        <v>405</v>
      </c>
      <c r="P67" s="1419" t="s">
        <v>850</v>
      </c>
      <c r="Q67" s="1466">
        <f ca="1">L51</f>
        <v>13803449</v>
      </c>
      <c r="R67" s="1420" t="s">
        <v>870</v>
      </c>
    </row>
    <row r="68" spans="1:18" s="1384" customFormat="1" ht="16.2" thickBot="1">
      <c r="A68" s="947" t="s">
        <v>395</v>
      </c>
      <c r="B68" s="948" t="s">
        <v>774</v>
      </c>
      <c r="C68" s="301">
        <f ca="1">ROUND(C67*(1-((1+F70)/(1+F68))^F69)/(F68-F70),0)</f>
        <v>-787545</v>
      </c>
      <c r="D68" s="965" t="s">
        <v>758</v>
      </c>
      <c r="E68" s="950" t="s">
        <v>759</v>
      </c>
      <c r="F68" s="312">
        <f ca="1">F40</f>
        <v>5.5E-2</v>
      </c>
      <c r="O68" s="1428" t="s">
        <v>406</v>
      </c>
      <c r="P68" s="1467" t="s">
        <v>871</v>
      </c>
      <c r="Q68" s="1420">
        <f ca="1">ROUND(Q69-Q70*Q71,0)</f>
        <v>749451</v>
      </c>
      <c r="R68" s="1420" t="s">
        <v>414</v>
      </c>
    </row>
    <row r="69" spans="1:18" s="1384" customFormat="1" ht="13.8" thickBot="1">
      <c r="A69" s="951"/>
      <c r="B69" s="952"/>
      <c r="C69" s="306"/>
      <c r="D69" s="970" t="s">
        <v>762</v>
      </c>
      <c r="E69" s="950" t="s">
        <v>763</v>
      </c>
      <c r="F69" s="333">
        <f ca="1">F41</f>
        <v>34.24</v>
      </c>
      <c r="O69" s="1428" t="s">
        <v>411</v>
      </c>
      <c r="P69" s="1467" t="s">
        <v>872</v>
      </c>
      <c r="Q69" s="1420">
        <f ca="1">C39</f>
        <v>1038311</v>
      </c>
      <c r="R69" s="1420" t="s">
        <v>818</v>
      </c>
    </row>
    <row r="70" spans="1:18" s="1384" customFormat="1" ht="13.8" thickBot="1">
      <c r="A70" s="954"/>
      <c r="B70" s="955"/>
      <c r="C70" s="310"/>
      <c r="D70" s="966"/>
      <c r="E70" s="950" t="s">
        <v>766</v>
      </c>
      <c r="F70" s="1054"/>
      <c r="O70" s="1428" t="s">
        <v>412</v>
      </c>
      <c r="P70" s="1467" t="s">
        <v>873</v>
      </c>
      <c r="Q70" s="1420">
        <f ca="1">C13</f>
        <v>4126567</v>
      </c>
      <c r="R70" s="1420" t="s">
        <v>818</v>
      </c>
    </row>
    <row r="71" spans="1:18" s="1384" customFormat="1" ht="13.8" thickBot="1">
      <c r="A71" s="971" t="s">
        <v>396</v>
      </c>
      <c r="B71" s="972" t="s">
        <v>776</v>
      </c>
      <c r="C71" s="336">
        <f ca="1">ROUND(C68/F71,0)</f>
        <v>-880</v>
      </c>
      <c r="D71" s="973" t="s">
        <v>777</v>
      </c>
      <c r="E71" s="974" t="s">
        <v>778</v>
      </c>
      <c r="F71" s="339">
        <f ca="1">F43</f>
        <v>895.16</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288860</v>
      </c>
      <c r="D75" s="1384"/>
      <c r="E75" s="1384"/>
      <c r="F75" s="1384"/>
      <c r="K75" s="1402"/>
      <c r="L75" s="1384"/>
      <c r="O75" s="1418" t="s">
        <v>409</v>
      </c>
      <c r="P75" s="1419" t="s">
        <v>838</v>
      </c>
      <c r="Q75" s="1420">
        <f ca="1">Q65+Q66</f>
        <v>21721132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0.81</v>
      </c>
    </row>
    <row r="83" spans="2:3">
      <c r="B83" s="273" t="s">
        <v>803</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5" t="s">
        <v>2318</v>
      </c>
      <c r="B2" s="2842" t="e">
        <f>IF(D2="——",C40,C40+E2)</f>
        <v>#DIV/0!</v>
      </c>
      <c r="C2" s="2843" t="s">
        <v>2319</v>
      </c>
      <c r="D2" s="3442" t="s">
        <v>3365</v>
      </c>
      <c r="E2" s="3443"/>
      <c r="F2" s="2845"/>
      <c r="G2" s="2846"/>
      <c r="H2" s="2847"/>
      <c r="I2" s="2848"/>
      <c r="J2" s="3728" t="s">
        <v>2320</v>
      </c>
      <c r="K2" s="3729"/>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730" t="s">
        <v>2330</v>
      </c>
      <c r="K3" s="3731"/>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730" t="s">
        <v>2332</v>
      </c>
      <c r="K4" s="3731"/>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732" t="s">
        <v>2336</v>
      </c>
      <c r="B6" s="3733"/>
      <c r="C6" s="3734"/>
      <c r="D6" s="2869"/>
      <c r="E6" s="2870"/>
      <c r="F6" s="2871"/>
      <c r="G6" s="2872"/>
      <c r="H6" s="2847"/>
      <c r="I6" s="2848"/>
      <c r="J6" s="3735">
        <v>1</v>
      </c>
      <c r="K6" s="373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735"/>
      <c r="K7" s="3737"/>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739" t="s">
        <v>2350</v>
      </c>
      <c r="C8" s="3740"/>
      <c r="D8" s="2888" t="s">
        <v>2351</v>
      </c>
      <c r="E8" s="2889" t="s">
        <v>2352</v>
      </c>
      <c r="F8" s="2890" t="s">
        <v>2353</v>
      </c>
      <c r="G8" s="2891"/>
      <c r="H8" s="2847"/>
      <c r="I8" s="2848"/>
      <c r="J8" s="3735"/>
      <c r="K8" s="3737"/>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739" t="s">
        <v>2356</v>
      </c>
      <c r="C9" s="3740"/>
      <c r="D9" s="2888">
        <f>ROUND(D6*E9,0)</f>
        <v>0</v>
      </c>
      <c r="E9" s="2892"/>
      <c r="F9" s="2893" t="s">
        <v>2357</v>
      </c>
      <c r="G9" s="2872"/>
      <c r="H9" s="2847"/>
      <c r="I9" s="2848"/>
      <c r="J9" s="3735"/>
      <c r="K9" s="3737"/>
      <c r="L9" s="2882" t="s">
        <v>2358</v>
      </c>
      <c r="M9" s="2883"/>
      <c r="N9" s="2859"/>
      <c r="O9" s="2884"/>
      <c r="P9" s="2884"/>
      <c r="Q9" s="2885">
        <v>365</v>
      </c>
      <c r="R9" s="2886">
        <f t="shared" si="0"/>
        <v>0</v>
      </c>
      <c r="S9" s="2840"/>
      <c r="T9" s="2840"/>
      <c r="U9" s="2840"/>
      <c r="V9" s="2848"/>
    </row>
    <row r="10" spans="1:22" s="2852" customFormat="1" ht="13.2" customHeight="1">
      <c r="A10" s="2887">
        <v>2</v>
      </c>
      <c r="B10" s="3739" t="s">
        <v>2359</v>
      </c>
      <c r="C10" s="3740"/>
      <c r="D10" s="2888">
        <f>ROUND(D6*E10,0)</f>
        <v>0</v>
      </c>
      <c r="E10" s="2892"/>
      <c r="F10" s="2893" t="s">
        <v>2360</v>
      </c>
      <c r="G10" s="2872"/>
      <c r="H10" s="2847"/>
      <c r="I10" s="2848"/>
      <c r="J10" s="3735"/>
      <c r="K10" s="3737"/>
      <c r="L10" s="2882" t="s">
        <v>2361</v>
      </c>
      <c r="M10" s="2883"/>
      <c r="N10" s="2859"/>
      <c r="O10" s="2884"/>
      <c r="P10" s="2884"/>
      <c r="Q10" s="2885">
        <v>365</v>
      </c>
      <c r="R10" s="2886">
        <f t="shared" si="0"/>
        <v>0</v>
      </c>
      <c r="S10" s="2840"/>
      <c r="T10" s="2840"/>
      <c r="U10" s="2840"/>
      <c r="V10" s="2848"/>
    </row>
    <row r="11" spans="1:22" s="2852" customFormat="1" ht="13.2" customHeight="1">
      <c r="A11" s="2887">
        <v>3</v>
      </c>
      <c r="B11" s="3739" t="s">
        <v>2362</v>
      </c>
      <c r="C11" s="3740"/>
      <c r="D11" s="2888">
        <f>D12+D14+D15+D16</f>
        <v>0</v>
      </c>
      <c r="E11" s="2894" t="e">
        <f>D11/D6</f>
        <v>#DIV/0!</v>
      </c>
      <c r="F11" s="2890"/>
      <c r="G11" s="2891"/>
      <c r="H11" s="2847"/>
      <c r="I11" s="2848"/>
      <c r="J11" s="3735"/>
      <c r="K11" s="3737"/>
      <c r="L11" s="2882" t="s">
        <v>2363</v>
      </c>
      <c r="M11" s="2883"/>
      <c r="N11" s="2859"/>
      <c r="O11" s="2884"/>
      <c r="P11" s="2884"/>
      <c r="Q11" s="2885">
        <v>365</v>
      </c>
      <c r="R11" s="2886">
        <f t="shared" si="0"/>
        <v>0</v>
      </c>
      <c r="S11" s="2840"/>
      <c r="T11" s="2840"/>
      <c r="U11" s="2840"/>
      <c r="V11" s="2848"/>
    </row>
    <row r="12" spans="1:22" s="2852" customFormat="1" ht="13.2" customHeight="1">
      <c r="A12" s="2895" t="s">
        <v>2364</v>
      </c>
      <c r="B12" s="3741" t="s">
        <v>2365</v>
      </c>
      <c r="C12" s="3742"/>
      <c r="D12" s="2896">
        <f>ROUND(D13*1.2%*(1-30%),0)</f>
        <v>0</v>
      </c>
      <c r="E12" s="2897">
        <v>1.2E-2</v>
      </c>
      <c r="F12" s="2890" t="s">
        <v>2366</v>
      </c>
      <c r="G12" s="2891"/>
      <c r="H12" s="2847"/>
      <c r="I12" s="2848"/>
      <c r="J12" s="3735"/>
      <c r="K12" s="3737"/>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735"/>
      <c r="K13" s="3737"/>
      <c r="L13" s="2882" t="s">
        <v>2369</v>
      </c>
      <c r="M13" s="2883"/>
      <c r="N13" s="2859"/>
      <c r="O13" s="2884"/>
      <c r="P13" s="2884"/>
      <c r="Q13" s="2885">
        <v>365</v>
      </c>
      <c r="R13" s="2886">
        <f t="shared" si="0"/>
        <v>0</v>
      </c>
      <c r="S13" s="2840"/>
      <c r="T13" s="2840"/>
      <c r="U13" s="2840"/>
      <c r="V13" s="2848"/>
    </row>
    <row r="14" spans="1:22" s="2852" customFormat="1" ht="13.2" customHeight="1">
      <c r="A14" s="2895" t="s">
        <v>2370</v>
      </c>
      <c r="B14" s="3741" t="s">
        <v>2371</v>
      </c>
      <c r="C14" s="3742"/>
      <c r="D14" s="2896">
        <f>ROUND(E14*B5/10000,0)</f>
        <v>0</v>
      </c>
      <c r="E14" s="2885"/>
      <c r="F14" s="2890" t="s">
        <v>2372</v>
      </c>
      <c r="G14" s="2891"/>
      <c r="H14" s="2847"/>
      <c r="I14" s="2848"/>
      <c r="J14" s="3735"/>
      <c r="K14" s="373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741" t="s">
        <v>2375</v>
      </c>
      <c r="C15" s="3742"/>
      <c r="D15" s="2896">
        <f>ROUND(D6*E15,0)</f>
        <v>0</v>
      </c>
      <c r="E15" s="2897">
        <v>5.5E-2</v>
      </c>
      <c r="F15" s="2890" t="s">
        <v>2376</v>
      </c>
      <c r="G15" s="2872"/>
      <c r="H15" s="2847"/>
      <c r="I15" s="2848"/>
      <c r="J15" s="3735">
        <v>2</v>
      </c>
      <c r="K15" s="373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741" t="s">
        <v>2384</v>
      </c>
      <c r="C16" s="3742"/>
      <c r="D16" s="2907">
        <f>D6*E16</f>
        <v>0</v>
      </c>
      <c r="E16" s="2908"/>
      <c r="F16" s="2893" t="s">
        <v>2385</v>
      </c>
      <c r="G16" s="2872"/>
      <c r="H16" s="2847"/>
      <c r="I16" s="2848"/>
      <c r="J16" s="3735"/>
      <c r="K16" s="3737"/>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743" t="s">
        <v>2387</v>
      </c>
      <c r="C17" s="3744"/>
      <c r="D17" s="2910">
        <f>ROUND(D6*E17,0)</f>
        <v>0</v>
      </c>
      <c r="E17" s="2911"/>
      <c r="F17" s="2912" t="s">
        <v>2388</v>
      </c>
      <c r="G17" s="2872"/>
      <c r="H17" s="2847"/>
      <c r="I17" s="2848"/>
      <c r="J17" s="3735"/>
      <c r="K17" s="3737"/>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735"/>
      <c r="K18" s="3737"/>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735"/>
      <c r="K19" s="373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35">
        <v>3</v>
      </c>
      <c r="K20" s="373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735"/>
      <c r="K21" s="3737"/>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735"/>
      <c r="K22" s="3737"/>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735"/>
      <c r="K23" s="3737"/>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735"/>
      <c r="K24" s="373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74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746"/>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728" t="s">
        <v>2320</v>
      </c>
      <c r="K32" s="3729"/>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730" t="s">
        <v>2330</v>
      </c>
      <c r="K33" s="3731"/>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730" t="s">
        <v>2332</v>
      </c>
      <c r="K34" s="3731"/>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735">
        <v>1</v>
      </c>
      <c r="K36" s="3736"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735"/>
      <c r="K37" s="3737"/>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35"/>
      <c r="K38" s="3737"/>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735"/>
      <c r="K39" s="3737"/>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735"/>
      <c r="K40" s="3738"/>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745">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746"/>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2188.0610999999999</v>
      </c>
      <c r="C2" s="1872" t="s">
        <v>1651</v>
      </c>
      <c r="D2" s="1873" t="s">
        <v>1652</v>
      </c>
      <c r="E2" s="2606">
        <f>SUM(E6:E13)</f>
        <v>895.16</v>
      </c>
      <c r="F2" s="2706"/>
      <c r="G2" s="1489"/>
      <c r="H2" s="1489"/>
      <c r="I2" s="1489"/>
      <c r="J2" s="1489"/>
      <c r="K2" s="1489"/>
      <c r="L2" s="1489"/>
      <c r="M2" s="1489"/>
      <c r="N2" s="1489"/>
      <c r="O2" s="1489"/>
      <c r="P2" s="1489"/>
      <c r="Q2" s="1489"/>
      <c r="R2" s="1489"/>
      <c r="S2" s="1489"/>
    </row>
    <row r="3" spans="1:22" ht="15.6">
      <c r="A3" s="1870" t="s">
        <v>686</v>
      </c>
      <c r="B3" s="2600">
        <f ca="1">ROUND(B2*10000/E2,0)</f>
        <v>24443</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47" t="s">
        <v>1654</v>
      </c>
      <c r="C5" s="3748"/>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2188.0610999999999</v>
      </c>
      <c r="C6" s="1872" t="s">
        <v>1651</v>
      </c>
      <c r="D6" s="2708"/>
      <c r="E6" s="2605">
        <f>IF(OR(A6=0,F6="否"),0,'数据-取费表'!K6+'数据-取费表'!S6)</f>
        <v>895.16</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895.16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98" t="s">
        <v>1667</v>
      </c>
      <c r="D4" s="3699"/>
      <c r="E4" s="3700" t="s">
        <v>1668</v>
      </c>
      <c r="F4" s="3701"/>
      <c r="G4" s="3698" t="s">
        <v>1669</v>
      </c>
      <c r="H4" s="3699"/>
      <c r="I4" s="3698" t="s">
        <v>1670</v>
      </c>
      <c r="J4" s="3699"/>
      <c r="K4" s="1889" t="s">
        <v>1671</v>
      </c>
      <c r="L4" s="2714"/>
      <c r="M4" s="2715"/>
      <c r="N4" s="2715"/>
      <c r="O4" s="2715"/>
      <c r="P4" s="3752" t="s">
        <v>1672</v>
      </c>
      <c r="Q4" s="3753"/>
      <c r="R4" s="3750" t="s">
        <v>1668</v>
      </c>
      <c r="S4" s="3751"/>
      <c r="T4" s="3750" t="s">
        <v>1669</v>
      </c>
      <c r="U4" s="3751"/>
      <c r="V4" s="3711" t="s">
        <v>1670</v>
      </c>
      <c r="W4" s="3711"/>
      <c r="X4" s="1355"/>
      <c r="Y4" s="3750" t="s">
        <v>1672</v>
      </c>
      <c r="Z4" s="3751"/>
      <c r="AA4" s="3749" t="s">
        <v>1668</v>
      </c>
      <c r="AB4" s="3749" t="s">
        <v>1669</v>
      </c>
      <c r="AC4" s="3749" t="s">
        <v>1670</v>
      </c>
    </row>
    <row r="5" spans="1:29">
      <c r="A5" s="358"/>
      <c r="B5" s="359"/>
      <c r="C5" s="3688" t="s">
        <v>1673</v>
      </c>
      <c r="D5" s="3689"/>
      <c r="E5" s="3686" t="s">
        <v>1674</v>
      </c>
      <c r="F5" s="3687"/>
      <c r="G5" s="3688" t="s">
        <v>1675</v>
      </c>
      <c r="H5" s="3689"/>
      <c r="I5" s="3688" t="s">
        <v>1676</v>
      </c>
      <c r="J5" s="3689"/>
      <c r="K5" s="1890"/>
      <c r="L5" s="2714"/>
      <c r="M5" s="2715"/>
      <c r="N5" s="2715"/>
      <c r="O5" s="2715"/>
      <c r="P5" s="3754"/>
      <c r="Q5" s="3705"/>
      <c r="R5" s="3684"/>
      <c r="S5" s="3685"/>
      <c r="T5" s="3684"/>
      <c r="U5" s="3685"/>
      <c r="V5" s="3711"/>
      <c r="W5" s="3711"/>
      <c r="X5" s="1355"/>
      <c r="Y5" s="3684"/>
      <c r="Z5" s="3685"/>
      <c r="AA5" s="3678"/>
      <c r="AB5" s="3678"/>
      <c r="AC5" s="3678"/>
    </row>
    <row r="6" spans="1:29" ht="15" thickBot="1">
      <c r="A6" s="360"/>
      <c r="B6" s="361"/>
      <c r="C6" s="3690" t="s">
        <v>1677</v>
      </c>
      <c r="D6" s="3691"/>
      <c r="E6" s="3692" t="s">
        <v>1677</v>
      </c>
      <c r="F6" s="3693"/>
      <c r="G6" s="3690" t="s">
        <v>1677</v>
      </c>
      <c r="H6" s="3691"/>
      <c r="I6" s="3690" t="s">
        <v>1677</v>
      </c>
      <c r="J6" s="3691"/>
      <c r="K6" s="1890" t="s">
        <v>1678</v>
      </c>
      <c r="L6" s="2714"/>
      <c r="M6" s="2715"/>
      <c r="N6" s="2715"/>
      <c r="O6" s="2715"/>
      <c r="P6" s="3755"/>
      <c r="Q6" s="3707"/>
      <c r="R6" s="3684"/>
      <c r="S6" s="3685"/>
      <c r="T6" s="3708"/>
      <c r="U6" s="3709"/>
      <c r="V6" s="3711"/>
      <c r="W6" s="3711"/>
      <c r="X6" s="1355"/>
      <c r="Y6" s="3708"/>
      <c r="Z6" s="3709"/>
      <c r="AA6" s="3679"/>
      <c r="AB6" s="3679"/>
      <c r="AC6" s="3679"/>
    </row>
    <row r="7" spans="1:29" s="108" customFormat="1" ht="15" thickBot="1">
      <c r="A7" s="362" t="s">
        <v>1679</v>
      </c>
      <c r="B7" s="363"/>
      <c r="C7" s="364">
        <f>'数据-取费表'!B2</f>
        <v>44982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0" t="s">
        <v>1680</v>
      </c>
      <c r="Q7" s="3713"/>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4"/>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4"/>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4"/>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5"/>
      <c r="Q16" s="1352"/>
      <c r="R16" s="705"/>
      <c r="S16" s="706"/>
      <c r="T16" s="705"/>
      <c r="U16" s="706"/>
      <c r="V16" s="705"/>
      <c r="W16" s="706"/>
      <c r="X16" s="1355"/>
      <c r="Y16" s="371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5"/>
      <c r="Q18" s="1352"/>
      <c r="R18" s="705"/>
      <c r="S18" s="706"/>
      <c r="T18" s="705"/>
      <c r="U18" s="706"/>
      <c r="V18" s="705"/>
      <c r="W18" s="706"/>
      <c r="X18" s="1355"/>
      <c r="Y18" s="371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5"/>
      <c r="Q20" s="1352"/>
      <c r="R20" s="705"/>
      <c r="S20" s="706"/>
      <c r="T20" s="705"/>
      <c r="U20" s="706"/>
      <c r="V20" s="705"/>
      <c r="W20" s="706"/>
      <c r="X20" s="1355"/>
      <c r="Y20" s="371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5"/>
      <c r="Q22" s="1352"/>
      <c r="R22" s="705"/>
      <c r="S22" s="706"/>
      <c r="T22" s="705"/>
      <c r="U22" s="706"/>
      <c r="V22" s="705"/>
      <c r="W22" s="706"/>
      <c r="X22" s="1355"/>
      <c r="Y22" s="371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5"/>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5"/>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895.16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98" t="s">
        <v>1770</v>
      </c>
      <c r="D4" s="3699"/>
      <c r="E4" s="3700" t="s">
        <v>1771</v>
      </c>
      <c r="F4" s="3701"/>
      <c r="G4" s="3698" t="s">
        <v>1772</v>
      </c>
      <c r="H4" s="3699"/>
      <c r="I4" s="3698" t="s">
        <v>1773</v>
      </c>
      <c r="J4" s="3699"/>
      <c r="K4" s="559" t="s">
        <v>1774</v>
      </c>
      <c r="L4" s="2714"/>
      <c r="M4" s="2715"/>
      <c r="N4" s="2715"/>
      <c r="O4" s="2715"/>
      <c r="P4" s="3752" t="s">
        <v>1775</v>
      </c>
      <c r="Q4" s="3753"/>
      <c r="R4" s="3750" t="s">
        <v>1771</v>
      </c>
      <c r="S4" s="3751"/>
      <c r="T4" s="3750" t="s">
        <v>1772</v>
      </c>
      <c r="U4" s="3751"/>
      <c r="V4" s="3711" t="s">
        <v>1773</v>
      </c>
      <c r="W4" s="3711"/>
      <c r="X4" s="1355"/>
      <c r="Y4" s="3750" t="s">
        <v>1775</v>
      </c>
      <c r="Z4" s="3751"/>
      <c r="AA4" s="3749" t="s">
        <v>1771</v>
      </c>
      <c r="AB4" s="3711" t="s">
        <v>1772</v>
      </c>
      <c r="AC4" s="3749" t="s">
        <v>1773</v>
      </c>
    </row>
    <row r="5" spans="1:29">
      <c r="A5" s="358"/>
      <c r="B5" s="359"/>
      <c r="C5" s="3688" t="s">
        <v>1673</v>
      </c>
      <c r="D5" s="3689"/>
      <c r="E5" s="3686" t="s">
        <v>1674</v>
      </c>
      <c r="F5" s="3687"/>
      <c r="G5" s="3688" t="s">
        <v>1675</v>
      </c>
      <c r="H5" s="3689"/>
      <c r="I5" s="3688" t="s">
        <v>1676</v>
      </c>
      <c r="J5" s="3689"/>
      <c r="K5" s="559"/>
      <c r="L5" s="2714"/>
      <c r="M5" s="2715"/>
      <c r="N5" s="2715"/>
      <c r="O5" s="2715"/>
      <c r="P5" s="3754"/>
      <c r="Q5" s="3705"/>
      <c r="R5" s="3684"/>
      <c r="S5" s="3685"/>
      <c r="T5" s="3684"/>
      <c r="U5" s="3685"/>
      <c r="V5" s="3711"/>
      <c r="W5" s="3711"/>
      <c r="X5" s="1355"/>
      <c r="Y5" s="3684"/>
      <c r="Z5" s="3685"/>
      <c r="AA5" s="3678"/>
      <c r="AB5" s="3711"/>
      <c r="AC5" s="3678"/>
    </row>
    <row r="6" spans="1:29" ht="15" thickBot="1">
      <c r="A6" s="360"/>
      <c r="B6" s="361"/>
      <c r="C6" s="3690" t="s">
        <v>1677</v>
      </c>
      <c r="D6" s="3691"/>
      <c r="E6" s="3692" t="s">
        <v>1677</v>
      </c>
      <c r="F6" s="3693"/>
      <c r="G6" s="3690" t="s">
        <v>1677</v>
      </c>
      <c r="H6" s="3691"/>
      <c r="I6" s="3690" t="s">
        <v>1677</v>
      </c>
      <c r="J6" s="3691"/>
      <c r="K6" s="559" t="s">
        <v>1678</v>
      </c>
      <c r="L6" s="2714"/>
      <c r="M6" s="2715"/>
      <c r="N6" s="2715"/>
      <c r="O6" s="2715"/>
      <c r="P6" s="3755"/>
      <c r="Q6" s="3707"/>
      <c r="R6" s="3684"/>
      <c r="S6" s="3685"/>
      <c r="T6" s="3708"/>
      <c r="U6" s="3709"/>
      <c r="V6" s="3711"/>
      <c r="W6" s="3711"/>
      <c r="X6" s="1355"/>
      <c r="Y6" s="3708"/>
      <c r="Z6" s="3709"/>
      <c r="AA6" s="3679"/>
      <c r="AB6" s="3711"/>
      <c r="AC6" s="3679"/>
    </row>
    <row r="7" spans="1:29" s="108" customFormat="1" ht="15" thickBot="1">
      <c r="A7" s="362" t="s">
        <v>1679</v>
      </c>
      <c r="B7" s="363"/>
      <c r="C7" s="364">
        <f>'数据-取费表'!B2</f>
        <v>44982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0" t="s">
        <v>1680</v>
      </c>
      <c r="Q7" s="3713"/>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1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1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1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1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23" t="str">
        <f>A47</f>
        <v>成交单价（元/平方米）</v>
      </c>
      <c r="Q47" s="3723"/>
      <c r="R47" s="3711">
        <f>E47</f>
        <v>0</v>
      </c>
      <c r="S47" s="3711"/>
      <c r="T47" s="3711">
        <f>G47</f>
        <v>0</v>
      </c>
      <c r="U47" s="3711"/>
      <c r="V47" s="3711">
        <f>I47</f>
        <v>0</v>
      </c>
      <c r="W47" s="3711"/>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估价对象为北京市房地产，为所有。根据《国有土地使用证》[]，估价对象（分摊）出让国有建设用地使用权面积为0平方米，建筑面积为895.16平方米。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估价对象为北京市房地产,属开发建设的，该项目尚在开发建设中。根据《国有土地使用证》[]，估价对象（分摊）出让国有建设用地使用权面积为0平方米，规划建筑面积为895.16平方米。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2023年2月25日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895.16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913"/>
      <c r="M4" s="914"/>
      <c r="N4" s="914"/>
      <c r="O4" s="914"/>
      <c r="P4" s="3752" t="s">
        <v>1775</v>
      </c>
      <c r="Q4" s="3753"/>
      <c r="R4" s="3750" t="s">
        <v>1771</v>
      </c>
      <c r="S4" s="3751"/>
      <c r="T4" s="3750" t="s">
        <v>1772</v>
      </c>
      <c r="U4" s="3751"/>
      <c r="V4" s="3711" t="s">
        <v>1773</v>
      </c>
      <c r="W4" s="3711"/>
      <c r="X4" s="1355"/>
      <c r="Y4" s="3750" t="s">
        <v>1775</v>
      </c>
      <c r="Z4" s="3751"/>
      <c r="AA4" s="3749" t="s">
        <v>1771</v>
      </c>
      <c r="AB4" s="3678" t="s">
        <v>1772</v>
      </c>
      <c r="AC4" s="3749" t="s">
        <v>1773</v>
      </c>
    </row>
    <row r="5" spans="1:29">
      <c r="A5" s="358"/>
      <c r="B5" s="359"/>
      <c r="C5" s="3688" t="s">
        <v>1673</v>
      </c>
      <c r="D5" s="3689"/>
      <c r="E5" s="3686" t="s">
        <v>1674</v>
      </c>
      <c r="F5" s="3687"/>
      <c r="G5" s="3688" t="s">
        <v>1675</v>
      </c>
      <c r="H5" s="3689"/>
      <c r="I5" s="3688" t="s">
        <v>1676</v>
      </c>
      <c r="J5" s="3689"/>
      <c r="K5" s="559"/>
      <c r="L5" s="913"/>
      <c r="M5" s="914"/>
      <c r="N5" s="914"/>
      <c r="O5" s="914"/>
      <c r="P5" s="3754"/>
      <c r="Q5" s="3705"/>
      <c r="R5" s="3684"/>
      <c r="S5" s="3685"/>
      <c r="T5" s="3684"/>
      <c r="U5" s="3685"/>
      <c r="V5" s="3711"/>
      <c r="W5" s="3711"/>
      <c r="X5" s="1355"/>
      <c r="Y5" s="3684"/>
      <c r="Z5" s="3685"/>
      <c r="AA5" s="3678"/>
      <c r="AB5" s="3678"/>
      <c r="AC5" s="3678"/>
    </row>
    <row r="6" spans="1:29" ht="15" thickBot="1">
      <c r="A6" s="360"/>
      <c r="B6" s="361"/>
      <c r="C6" s="3690" t="s">
        <v>1677</v>
      </c>
      <c r="D6" s="3691"/>
      <c r="E6" s="3692" t="s">
        <v>1677</v>
      </c>
      <c r="F6" s="3693"/>
      <c r="G6" s="3690" t="s">
        <v>1677</v>
      </c>
      <c r="H6" s="3691"/>
      <c r="I6" s="3690" t="s">
        <v>1677</v>
      </c>
      <c r="J6" s="3691"/>
      <c r="K6" s="559" t="s">
        <v>1678</v>
      </c>
      <c r="L6" s="913"/>
      <c r="M6" s="914"/>
      <c r="N6" s="914"/>
      <c r="O6" s="914"/>
      <c r="P6" s="3755"/>
      <c r="Q6" s="3707"/>
      <c r="R6" s="3684"/>
      <c r="S6" s="3685"/>
      <c r="T6" s="3708"/>
      <c r="U6" s="3709"/>
      <c r="V6" s="3711"/>
      <c r="W6" s="3711"/>
      <c r="X6" s="1355"/>
      <c r="Y6" s="3708"/>
      <c r="Z6" s="3709"/>
      <c r="AA6" s="3679"/>
      <c r="AB6" s="3679"/>
      <c r="AC6" s="3679"/>
    </row>
    <row r="7" spans="1:29" s="108" customFormat="1" ht="15" thickBot="1">
      <c r="A7" s="362" t="s">
        <v>1679</v>
      </c>
      <c r="B7" s="363"/>
      <c r="C7" s="364">
        <f>'数据-取费表'!B2</f>
        <v>44982</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13"/>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4"/>
      <c r="M4" s="2715"/>
      <c r="N4" s="2715"/>
      <c r="O4" s="2715"/>
      <c r="P4" s="3752" t="s">
        <v>1775</v>
      </c>
      <c r="Q4" s="3753"/>
      <c r="R4" s="3750" t="s">
        <v>1771</v>
      </c>
      <c r="S4" s="3751"/>
      <c r="T4" s="3750" t="s">
        <v>1772</v>
      </c>
      <c r="U4" s="3751"/>
      <c r="V4" s="3711" t="s">
        <v>1773</v>
      </c>
      <c r="W4" s="3711"/>
      <c r="X4" s="1355"/>
      <c r="Y4" s="3750" t="s">
        <v>1775</v>
      </c>
      <c r="Z4" s="3751"/>
      <c r="AA4" s="3749" t="s">
        <v>1771</v>
      </c>
      <c r="AB4" s="3678" t="s">
        <v>1772</v>
      </c>
      <c r="AC4" s="3749" t="s">
        <v>1773</v>
      </c>
    </row>
    <row r="5" spans="1:29">
      <c r="A5" s="358"/>
      <c r="B5" s="359"/>
      <c r="C5" s="3688" t="s">
        <v>1673</v>
      </c>
      <c r="D5" s="3689"/>
      <c r="E5" s="3686" t="s">
        <v>1674</v>
      </c>
      <c r="F5" s="3687"/>
      <c r="G5" s="3688" t="s">
        <v>1675</v>
      </c>
      <c r="H5" s="3689"/>
      <c r="I5" s="3688" t="s">
        <v>1676</v>
      </c>
      <c r="J5" s="3689"/>
      <c r="K5" s="559"/>
      <c r="L5" s="2714"/>
      <c r="M5" s="2715"/>
      <c r="N5" s="2715"/>
      <c r="O5" s="2715"/>
      <c r="P5" s="3754"/>
      <c r="Q5" s="3705"/>
      <c r="R5" s="3684"/>
      <c r="S5" s="3685"/>
      <c r="T5" s="3684"/>
      <c r="U5" s="3685"/>
      <c r="V5" s="3711"/>
      <c r="W5" s="3711"/>
      <c r="X5" s="1355"/>
      <c r="Y5" s="3684"/>
      <c r="Z5" s="3685"/>
      <c r="AA5" s="3678"/>
      <c r="AB5" s="3678"/>
      <c r="AC5" s="3678"/>
    </row>
    <row r="6" spans="1:29" ht="15" thickBot="1">
      <c r="A6" s="360"/>
      <c r="B6" s="361"/>
      <c r="C6" s="3690" t="s">
        <v>1677</v>
      </c>
      <c r="D6" s="3691"/>
      <c r="E6" s="3692" t="s">
        <v>1677</v>
      </c>
      <c r="F6" s="3693"/>
      <c r="G6" s="3690" t="s">
        <v>1677</v>
      </c>
      <c r="H6" s="3691"/>
      <c r="I6" s="3690" t="s">
        <v>1677</v>
      </c>
      <c r="J6" s="3691"/>
      <c r="K6" s="559" t="s">
        <v>1678</v>
      </c>
      <c r="L6" s="2714"/>
      <c r="M6" s="2715"/>
      <c r="N6" s="2715"/>
      <c r="O6" s="2715"/>
      <c r="P6" s="3755"/>
      <c r="Q6" s="3707"/>
      <c r="R6" s="3684"/>
      <c r="S6" s="3685"/>
      <c r="T6" s="3708"/>
      <c r="U6" s="3709"/>
      <c r="V6" s="3711"/>
      <c r="W6" s="3711"/>
      <c r="X6" s="1355"/>
      <c r="Y6" s="3708"/>
      <c r="Z6" s="3709"/>
      <c r="AA6" s="3679"/>
      <c r="AB6" s="3679"/>
      <c r="AC6" s="3679"/>
    </row>
    <row r="7" spans="1:29" s="108" customFormat="1" ht="15" thickBot="1">
      <c r="A7" s="362" t="s">
        <v>1679</v>
      </c>
      <c r="B7" s="363"/>
      <c r="C7" s="364">
        <f>'数据-取费表'!B2</f>
        <v>44982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0" t="s">
        <v>1680</v>
      </c>
      <c r="Q7" s="3713"/>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3"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3"/>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7"/>
      <c r="Q15" s="1352"/>
      <c r="R15" s="705"/>
      <c r="S15" s="706"/>
      <c r="T15" s="705"/>
      <c r="U15" s="706"/>
      <c r="V15" s="705"/>
      <c r="W15" s="706"/>
      <c r="X15" s="1355"/>
      <c r="Y15" s="371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7"/>
      <c r="Q17" s="1352"/>
      <c r="R17" s="705"/>
      <c r="S17" s="706"/>
      <c r="T17" s="705"/>
      <c r="U17" s="706"/>
      <c r="V17" s="705"/>
      <c r="W17" s="706"/>
      <c r="X17" s="1355"/>
      <c r="Y17" s="371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7"/>
      <c r="Q19" s="1352"/>
      <c r="R19" s="705"/>
      <c r="S19" s="706"/>
      <c r="T19" s="705"/>
      <c r="U19" s="706"/>
      <c r="V19" s="705"/>
      <c r="W19" s="706"/>
      <c r="X19" s="1355"/>
      <c r="Y19" s="371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4.4">
      <c r="A37" s="430" t="s">
        <v>1844</v>
      </c>
      <c r="B37" s="1972" t="s">
        <v>3360</v>
      </c>
      <c r="C37" s="1154" t="s">
        <v>0</v>
      </c>
      <c r="D37" s="1155"/>
      <c r="E37" s="1156"/>
      <c r="F37" s="1157"/>
      <c r="G37" s="1158"/>
      <c r="H37" s="1159"/>
      <c r="I37" s="1156"/>
      <c r="J37" s="1159"/>
      <c r="K37" s="568"/>
      <c r="L37" s="2723"/>
      <c r="M37" s="2724"/>
      <c r="N37" s="2715"/>
      <c r="O37" s="2724"/>
      <c r="P37" s="3723" t="str">
        <f>A37</f>
        <v>成交单价</v>
      </c>
      <c r="Q37" s="3723"/>
      <c r="R37" s="3724">
        <f>E37</f>
        <v>0</v>
      </c>
      <c r="S37" s="3724"/>
      <c r="T37" s="3724">
        <f>G37</f>
        <v>0</v>
      </c>
      <c r="U37" s="3724"/>
      <c r="V37" s="3724">
        <f>I37</f>
        <v>0</v>
      </c>
      <c r="W37" s="3724"/>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56" t="str">
        <f>A39</f>
        <v>估价对象XX用房的比较价值（楼面单价，元/平方米）</v>
      </c>
      <c r="Q39" s="3757"/>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4"/>
      <c r="M4" s="2715"/>
      <c r="N4" s="2715"/>
      <c r="O4" s="2715"/>
      <c r="P4" s="3752" t="s">
        <v>1775</v>
      </c>
      <c r="Q4" s="3753"/>
      <c r="R4" s="3750" t="s">
        <v>1771</v>
      </c>
      <c r="S4" s="3751"/>
      <c r="T4" s="3750" t="s">
        <v>1772</v>
      </c>
      <c r="U4" s="3751"/>
      <c r="V4" s="3711" t="s">
        <v>1773</v>
      </c>
      <c r="W4" s="3711"/>
      <c r="X4" s="1355"/>
      <c r="Y4" s="3750" t="s">
        <v>1775</v>
      </c>
      <c r="Z4" s="3751"/>
      <c r="AA4" s="3749" t="s">
        <v>1771</v>
      </c>
      <c r="AB4" s="3678" t="s">
        <v>1772</v>
      </c>
      <c r="AC4" s="3749" t="s">
        <v>1773</v>
      </c>
    </row>
    <row r="5" spans="1:29">
      <c r="A5" s="358"/>
      <c r="B5" s="359"/>
      <c r="C5" s="3688" t="s">
        <v>1673</v>
      </c>
      <c r="D5" s="3689"/>
      <c r="E5" s="3686" t="s">
        <v>1674</v>
      </c>
      <c r="F5" s="3687"/>
      <c r="G5" s="3688" t="s">
        <v>1675</v>
      </c>
      <c r="H5" s="3689"/>
      <c r="I5" s="3688" t="s">
        <v>1676</v>
      </c>
      <c r="J5" s="3689"/>
      <c r="K5" s="559"/>
      <c r="L5" s="2714"/>
      <c r="M5" s="2715"/>
      <c r="N5" s="2715"/>
      <c r="O5" s="2715"/>
      <c r="P5" s="3754"/>
      <c r="Q5" s="3705"/>
      <c r="R5" s="3684"/>
      <c r="S5" s="3685"/>
      <c r="T5" s="3684"/>
      <c r="U5" s="3685"/>
      <c r="V5" s="3711"/>
      <c r="W5" s="3711"/>
      <c r="X5" s="1355"/>
      <c r="Y5" s="3684"/>
      <c r="Z5" s="3685"/>
      <c r="AA5" s="3678"/>
      <c r="AB5" s="3678"/>
      <c r="AC5" s="3678"/>
    </row>
    <row r="6" spans="1:29" ht="15" thickBot="1">
      <c r="A6" s="360"/>
      <c r="B6" s="361"/>
      <c r="C6" s="3690" t="s">
        <v>1677</v>
      </c>
      <c r="D6" s="3691"/>
      <c r="E6" s="3692" t="s">
        <v>1677</v>
      </c>
      <c r="F6" s="3693"/>
      <c r="G6" s="3690" t="s">
        <v>1677</v>
      </c>
      <c r="H6" s="3691"/>
      <c r="I6" s="3690" t="s">
        <v>1677</v>
      </c>
      <c r="J6" s="3691"/>
      <c r="K6" s="559" t="s">
        <v>1678</v>
      </c>
      <c r="L6" s="2714"/>
      <c r="M6" s="2715"/>
      <c r="N6" s="2715"/>
      <c r="O6" s="2715"/>
      <c r="P6" s="3755"/>
      <c r="Q6" s="3707"/>
      <c r="R6" s="3684"/>
      <c r="S6" s="3685"/>
      <c r="T6" s="3708"/>
      <c r="U6" s="3709"/>
      <c r="V6" s="3711"/>
      <c r="W6" s="3711"/>
      <c r="X6" s="1355"/>
      <c r="Y6" s="3708"/>
      <c r="Z6" s="3709"/>
      <c r="AA6" s="3679"/>
      <c r="AB6" s="3679"/>
      <c r="AC6" s="3679"/>
    </row>
    <row r="7" spans="1:29" s="108" customFormat="1" ht="15" thickBot="1">
      <c r="A7" s="362" t="s">
        <v>1679</v>
      </c>
      <c r="B7" s="363"/>
      <c r="C7" s="364">
        <f>'数据-取费表'!B2</f>
        <v>44982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0" t="s">
        <v>1680</v>
      </c>
      <c r="Q7" s="3713"/>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3"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3"/>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7"/>
      <c r="Q15" s="1352"/>
      <c r="R15" s="705"/>
      <c r="S15" s="706"/>
      <c r="T15" s="705"/>
      <c r="U15" s="706"/>
      <c r="V15" s="705"/>
      <c r="W15" s="706"/>
      <c r="X15" s="1355"/>
      <c r="Y15" s="371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7"/>
      <c r="Q17" s="1352"/>
      <c r="R17" s="705"/>
      <c r="S17" s="706"/>
      <c r="T17" s="705"/>
      <c r="U17" s="706"/>
      <c r="V17" s="705"/>
      <c r="W17" s="706"/>
      <c r="X17" s="1355"/>
      <c r="Y17" s="371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7"/>
      <c r="Q19" s="1352"/>
      <c r="R19" s="705"/>
      <c r="S19" s="706"/>
      <c r="T19" s="705"/>
      <c r="U19" s="706"/>
      <c r="V19" s="705"/>
      <c r="W19" s="706"/>
      <c r="X19" s="1355"/>
      <c r="Y19" s="371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7"/>
      <c r="Q21" s="1352"/>
      <c r="R21" s="705"/>
      <c r="S21" s="706"/>
      <c r="T21" s="705"/>
      <c r="U21" s="706"/>
      <c r="V21" s="705"/>
      <c r="W21" s="706"/>
      <c r="X21" s="1355"/>
      <c r="Y21" s="371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2">
        <f t="shared" si="11"/>
        <v>111</v>
      </c>
      <c r="R32" s="705" t="s">
        <v>14</v>
      </c>
      <c r="S32" s="706">
        <f t="shared" si="12"/>
        <v>100</v>
      </c>
      <c r="T32" s="705" t="s">
        <v>14</v>
      </c>
      <c r="U32" s="706">
        <f t="shared" si="13"/>
        <v>100</v>
      </c>
      <c r="V32" s="705" t="s">
        <v>14</v>
      </c>
      <c r="W32" s="706">
        <f t="shared" si="14"/>
        <v>100</v>
      </c>
      <c r="X32" s="1355"/>
      <c r="Y32" s="372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56" t="str">
        <f>A37</f>
        <v>估价对象XX用房的比较价值（楼面单价，元/平方米）</v>
      </c>
      <c r="Q37" s="3757"/>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98" t="s">
        <v>1770</v>
      </c>
      <c r="D4" s="3699"/>
      <c r="E4" s="3700" t="s">
        <v>1771</v>
      </c>
      <c r="F4" s="3701"/>
      <c r="G4" s="3698" t="s">
        <v>1772</v>
      </c>
      <c r="H4" s="3699"/>
      <c r="I4" s="3698" t="s">
        <v>1773</v>
      </c>
      <c r="J4" s="3699"/>
      <c r="K4" s="559" t="s">
        <v>1774</v>
      </c>
      <c r="L4" s="2714"/>
      <c r="M4" s="2715"/>
      <c r="N4" s="2715"/>
      <c r="O4" s="2715"/>
      <c r="P4" s="3752" t="s">
        <v>1775</v>
      </c>
      <c r="Q4" s="3753"/>
      <c r="R4" s="3750" t="s">
        <v>1771</v>
      </c>
      <c r="S4" s="3751"/>
      <c r="T4" s="3750" t="s">
        <v>1772</v>
      </c>
      <c r="U4" s="3751"/>
      <c r="V4" s="3711" t="s">
        <v>1773</v>
      </c>
      <c r="W4" s="3711"/>
      <c r="X4" s="1355"/>
      <c r="Y4" s="3750" t="s">
        <v>1775</v>
      </c>
      <c r="Z4" s="3751"/>
      <c r="AA4" s="3749" t="s">
        <v>1771</v>
      </c>
      <c r="AB4" s="3678" t="s">
        <v>1772</v>
      </c>
      <c r="AC4" s="3749" t="s">
        <v>1773</v>
      </c>
    </row>
    <row r="5" spans="1:30">
      <c r="A5" s="358"/>
      <c r="B5" s="359"/>
      <c r="C5" s="3688" t="s">
        <v>1673</v>
      </c>
      <c r="D5" s="3689"/>
      <c r="E5" s="3686" t="s">
        <v>1674</v>
      </c>
      <c r="F5" s="3687"/>
      <c r="G5" s="3688" t="s">
        <v>1675</v>
      </c>
      <c r="H5" s="3689"/>
      <c r="I5" s="3688" t="s">
        <v>1676</v>
      </c>
      <c r="J5" s="3689"/>
      <c r="K5" s="559"/>
      <c r="L5" s="2714"/>
      <c r="M5" s="2715"/>
      <c r="N5" s="2715"/>
      <c r="O5" s="2715"/>
      <c r="P5" s="3754"/>
      <c r="Q5" s="3705"/>
      <c r="R5" s="3684"/>
      <c r="S5" s="3685"/>
      <c r="T5" s="3684"/>
      <c r="U5" s="3685"/>
      <c r="V5" s="3711"/>
      <c r="W5" s="3711"/>
      <c r="X5" s="1355"/>
      <c r="Y5" s="3684"/>
      <c r="Z5" s="3685"/>
      <c r="AA5" s="3678"/>
      <c r="AB5" s="3678"/>
      <c r="AC5" s="3678"/>
    </row>
    <row r="6" spans="1:30" ht="15" thickBot="1">
      <c r="A6" s="360"/>
      <c r="B6" s="361"/>
      <c r="C6" s="3690" t="s">
        <v>1677</v>
      </c>
      <c r="D6" s="3691"/>
      <c r="E6" s="3692" t="s">
        <v>1677</v>
      </c>
      <c r="F6" s="3693"/>
      <c r="G6" s="3690" t="s">
        <v>1677</v>
      </c>
      <c r="H6" s="3691"/>
      <c r="I6" s="3690" t="s">
        <v>1677</v>
      </c>
      <c r="J6" s="3691"/>
      <c r="K6" s="559" t="s">
        <v>1678</v>
      </c>
      <c r="L6" s="2714"/>
      <c r="M6" s="2715"/>
      <c r="N6" s="2715"/>
      <c r="O6" s="2715"/>
      <c r="P6" s="3755"/>
      <c r="Q6" s="3707"/>
      <c r="R6" s="3684"/>
      <c r="S6" s="3685"/>
      <c r="T6" s="3708"/>
      <c r="U6" s="3709"/>
      <c r="V6" s="3711"/>
      <c r="W6" s="3711"/>
      <c r="X6" s="1355"/>
      <c r="Y6" s="3708"/>
      <c r="Z6" s="3709"/>
      <c r="AA6" s="3679"/>
      <c r="AB6" s="3679"/>
      <c r="AC6" s="3679"/>
    </row>
    <row r="7" spans="1:30" s="108" customFormat="1" ht="15" thickBot="1">
      <c r="A7" s="362" t="s">
        <v>1679</v>
      </c>
      <c r="B7" s="363"/>
      <c r="C7" s="364">
        <f>'数据-取费表'!B2</f>
        <v>44982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0" t="s">
        <v>1680</v>
      </c>
      <c r="Q7" s="3713"/>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0" t="s">
        <v>1683</v>
      </c>
      <c r="Q8" s="3681"/>
      <c r="R8" s="701" t="s">
        <v>14</v>
      </c>
      <c r="S8" s="702">
        <f t="shared" si="0"/>
        <v>0</v>
      </c>
      <c r="T8" s="701" t="s">
        <v>14</v>
      </c>
      <c r="U8" s="702">
        <f t="shared" si="1"/>
        <v>0</v>
      </c>
      <c r="V8" s="701" t="s">
        <v>14</v>
      </c>
      <c r="W8" s="702">
        <f t="shared" si="2"/>
        <v>0</v>
      </c>
      <c r="X8" s="703"/>
      <c r="Y8" s="3680" t="s">
        <v>1683</v>
      </c>
      <c r="Z8" s="3681"/>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8"/>
      <c r="M10" s="2719"/>
      <c r="N10" s="2719"/>
      <c r="O10" s="2772"/>
      <c r="P10" s="3723"/>
      <c r="Q10" s="1343" t="str">
        <f t="shared" si="6"/>
        <v>土地使用年限（年）</v>
      </c>
      <c r="R10" s="701" t="s">
        <v>14</v>
      </c>
      <c r="S10" s="702">
        <f t="shared" si="0"/>
        <v>112</v>
      </c>
      <c r="T10" s="701" t="s">
        <v>14</v>
      </c>
      <c r="U10" s="702">
        <f t="shared" si="1"/>
        <v>112</v>
      </c>
      <c r="V10" s="701" t="s">
        <v>14</v>
      </c>
      <c r="W10" s="702">
        <f t="shared" si="2"/>
        <v>112</v>
      </c>
      <c r="X10" s="703"/>
      <c r="Y10" s="3626"/>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3"/>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3"/>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3"/>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3"/>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7"/>
      <c r="Q20" s="1352"/>
      <c r="R20" s="705"/>
      <c r="S20" s="706"/>
      <c r="T20" s="705"/>
      <c r="U20" s="706"/>
      <c r="V20" s="705"/>
      <c r="W20" s="706"/>
      <c r="X20" s="1355"/>
      <c r="Y20" s="371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7"/>
      <c r="Q24" s="1352"/>
      <c r="R24" s="705"/>
      <c r="S24" s="706"/>
      <c r="T24" s="705"/>
      <c r="U24" s="706"/>
      <c r="V24" s="705"/>
      <c r="W24" s="706"/>
      <c r="X24" s="1355"/>
      <c r="Y24" s="371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7"/>
      <c r="Q26" s="1352"/>
      <c r="R26" s="705"/>
      <c r="S26" s="706"/>
      <c r="T26" s="705"/>
      <c r="U26" s="706"/>
      <c r="V26" s="705"/>
      <c r="W26" s="706"/>
      <c r="X26" s="1355"/>
      <c r="Y26" s="371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17"/>
      <c r="Q28" s="1343"/>
      <c r="R28" s="701"/>
      <c r="S28" s="702"/>
      <c r="T28" s="701"/>
      <c r="U28" s="702"/>
      <c r="V28" s="701"/>
      <c r="W28" s="702"/>
      <c r="X28" s="703"/>
      <c r="Y28" s="371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9"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3"/>
      <c r="M46" s="2724"/>
      <c r="N46" s="2715"/>
      <c r="O46" s="2724"/>
      <c r="P46" s="3723" t="str">
        <f>A46</f>
        <v>成交单价</v>
      </c>
      <c r="Q46" s="3723"/>
      <c r="R46" s="3711">
        <f>E46</f>
        <v>0</v>
      </c>
      <c r="S46" s="3711"/>
      <c r="T46" s="3711">
        <f>G46</f>
        <v>0</v>
      </c>
      <c r="U46" s="3711"/>
      <c r="V46" s="3711">
        <f>I46</f>
        <v>0</v>
      </c>
      <c r="W46" s="3711"/>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23" t="str">
        <f>A47</f>
        <v>比较价值（元/平方米）</v>
      </c>
      <c r="Q47" s="3723"/>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56" t="str">
        <f>A48</f>
        <v>估价对象XX用房的比较价值（楼面单价，元/平方米）</v>
      </c>
      <c r="Q48" s="3757"/>
      <c r="R48" s="3762" t="e">
        <f>ROUND(IF(D47="简单平均",AVERAGE(R47:W47),R47*F47+T47*H47+V47*J47),0)</f>
        <v>#DIV/0!</v>
      </c>
      <c r="S48" s="3762"/>
      <c r="T48" s="3762"/>
      <c r="U48" s="3762"/>
      <c r="V48" s="3762"/>
      <c r="W48" s="376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8" t="s">
        <v>1887</v>
      </c>
      <c r="H55" s="376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895.16</v>
      </c>
      <c r="F56" s="886" t="e">
        <f t="shared" ref="F56:F64" si="15">ROUND(B56*E56/10000,0)</f>
        <v>#DIV/0!</v>
      </c>
      <c r="G56" s="3694"/>
      <c r="H56" s="372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0</v>
      </c>
      <c r="F60" s="886" t="e">
        <f t="shared" si="15"/>
        <v>#DIV/0!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0.15</v>
      </c>
      <c r="D64" s="945">
        <v>0.25</v>
      </c>
      <c r="E64" s="217">
        <f>'数据-汇总表'!E15</f>
        <v>0</v>
      </c>
      <c r="F64" s="886" t="e">
        <f t="shared" si="15"/>
        <v>#DIV/0!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895.16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4"/>
      <c r="M4" s="2715"/>
      <c r="N4" s="2715"/>
      <c r="O4" s="2715"/>
      <c r="P4" s="3752" t="s">
        <v>1775</v>
      </c>
      <c r="Q4" s="3753"/>
      <c r="R4" s="3750" t="s">
        <v>1771</v>
      </c>
      <c r="S4" s="3751"/>
      <c r="T4" s="3750" t="s">
        <v>1772</v>
      </c>
      <c r="U4" s="3751"/>
      <c r="V4" s="3711" t="s">
        <v>1773</v>
      </c>
      <c r="W4" s="3711"/>
      <c r="X4" s="1355"/>
      <c r="Y4" s="3750" t="s">
        <v>1775</v>
      </c>
      <c r="Z4" s="3751"/>
      <c r="AA4" s="3749" t="s">
        <v>1771</v>
      </c>
      <c r="AB4" s="3678" t="s">
        <v>1772</v>
      </c>
      <c r="AC4" s="3749" t="s">
        <v>1773</v>
      </c>
    </row>
    <row r="5" spans="1:29">
      <c r="A5" s="358"/>
      <c r="B5" s="359"/>
      <c r="C5" s="3688" t="s">
        <v>1673</v>
      </c>
      <c r="D5" s="3689"/>
      <c r="E5" s="3686" t="s">
        <v>1674</v>
      </c>
      <c r="F5" s="3687"/>
      <c r="G5" s="3688" t="s">
        <v>1675</v>
      </c>
      <c r="H5" s="3689"/>
      <c r="I5" s="3688" t="s">
        <v>1676</v>
      </c>
      <c r="J5" s="3689"/>
      <c r="K5" s="559"/>
      <c r="L5" s="2714"/>
      <c r="M5" s="2715"/>
      <c r="N5" s="2715"/>
      <c r="O5" s="2715"/>
      <c r="P5" s="3754"/>
      <c r="Q5" s="3705"/>
      <c r="R5" s="3684"/>
      <c r="S5" s="3685"/>
      <c r="T5" s="3684"/>
      <c r="U5" s="3685"/>
      <c r="V5" s="3711"/>
      <c r="W5" s="3711"/>
      <c r="X5" s="1355"/>
      <c r="Y5" s="3684"/>
      <c r="Z5" s="3685"/>
      <c r="AA5" s="3678"/>
      <c r="AB5" s="3678"/>
      <c r="AC5" s="3678"/>
    </row>
    <row r="6" spans="1:29" ht="15" thickBot="1">
      <c r="A6" s="360"/>
      <c r="B6" s="361"/>
      <c r="C6" s="3764" t="s">
        <v>1919</v>
      </c>
      <c r="D6" s="3765"/>
      <c r="E6" s="3766" t="s">
        <v>1919</v>
      </c>
      <c r="F6" s="3767"/>
      <c r="G6" s="3764" t="s">
        <v>1919</v>
      </c>
      <c r="H6" s="3765"/>
      <c r="I6" s="3764" t="s">
        <v>1919</v>
      </c>
      <c r="J6" s="3765"/>
      <c r="K6" s="559" t="s">
        <v>1678</v>
      </c>
      <c r="L6" s="2714"/>
      <c r="M6" s="2715"/>
      <c r="N6" s="2715"/>
      <c r="O6" s="2715"/>
      <c r="P6" s="3755"/>
      <c r="Q6" s="3707"/>
      <c r="R6" s="3684"/>
      <c r="S6" s="3685"/>
      <c r="T6" s="3708"/>
      <c r="U6" s="3709"/>
      <c r="V6" s="3711"/>
      <c r="W6" s="3711"/>
      <c r="X6" s="1355"/>
      <c r="Y6" s="3708"/>
      <c r="Z6" s="3709"/>
      <c r="AA6" s="3679"/>
      <c r="AB6" s="3679"/>
      <c r="AC6" s="3679"/>
    </row>
    <row r="7" spans="1:29" s="108" customFormat="1" ht="15" thickBot="1">
      <c r="A7" s="362" t="s">
        <v>1679</v>
      </c>
      <c r="B7" s="363"/>
      <c r="C7" s="364">
        <f>'数据-取费表'!B2</f>
        <v>44982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0" t="s">
        <v>1680</v>
      </c>
      <c r="Q7" s="3713"/>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8"/>
      <c r="M10" s="2719"/>
      <c r="N10" s="2719"/>
      <c r="O10" s="2772"/>
      <c r="P10" s="3723"/>
      <c r="Q10" s="1343" t="str">
        <f t="shared" si="6"/>
        <v>土地使用年限（年）</v>
      </c>
      <c r="R10" s="701" t="s">
        <v>14</v>
      </c>
      <c r="S10" s="702">
        <f t="shared" si="0"/>
        <v>112</v>
      </c>
      <c r="T10" s="701" t="s">
        <v>14</v>
      </c>
      <c r="U10" s="702">
        <f t="shared" si="1"/>
        <v>112</v>
      </c>
      <c r="V10" s="701" t="s">
        <v>14</v>
      </c>
      <c r="W10" s="702">
        <f t="shared" si="2"/>
        <v>112</v>
      </c>
      <c r="X10" s="703"/>
      <c r="Y10" s="3626"/>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3"/>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7"/>
      <c r="Q20" s="1352"/>
      <c r="R20" s="705"/>
      <c r="S20" s="706"/>
      <c r="T20" s="705"/>
      <c r="U20" s="706"/>
      <c r="V20" s="705"/>
      <c r="W20" s="706"/>
      <c r="X20" s="1355"/>
      <c r="Y20" s="371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17"/>
      <c r="Q24" s="1343"/>
      <c r="R24" s="701"/>
      <c r="S24" s="702"/>
      <c r="T24" s="701"/>
      <c r="U24" s="702"/>
      <c r="V24" s="701"/>
      <c r="W24" s="702"/>
      <c r="X24" s="703"/>
      <c r="Y24" s="371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9"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3"/>
      <c r="M41" s="2715"/>
      <c r="N41" s="2715"/>
      <c r="O41" s="2724"/>
      <c r="P41" s="3723" t="str">
        <f>A41</f>
        <v>成交单价</v>
      </c>
      <c r="Q41" s="3723"/>
      <c r="R41" s="3711">
        <f>E41</f>
        <v>0</v>
      </c>
      <c r="S41" s="3711"/>
      <c r="T41" s="3711">
        <f>G41</f>
        <v>0</v>
      </c>
      <c r="U41" s="3711"/>
      <c r="V41" s="3711">
        <f>I41</f>
        <v>0</v>
      </c>
      <c r="W41" s="3711"/>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23" t="str">
        <f>A42</f>
        <v>比较价值（元/平方米）</v>
      </c>
      <c r="Q42" s="3723"/>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56" t="str">
        <f>A43</f>
        <v>估价对象XX用房的比较价值（楼面单价，元/平方米）</v>
      </c>
      <c r="Q43" s="3757"/>
      <c r="R43" s="3762" t="e">
        <f>ROUND(IF(D42="简单平均",AVERAGE(R42:W42),R42*F42+T42*H42+V42*J42),0)</f>
        <v>#DIV/0!</v>
      </c>
      <c r="S43" s="3762"/>
      <c r="T43" s="3762"/>
      <c r="U43" s="3762"/>
      <c r="V43" s="3762"/>
      <c r="W43" s="376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98" t="s">
        <v>1887</v>
      </c>
      <c r="H50" s="3763"/>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895.16</v>
      </c>
      <c r="F51" s="639" t="e">
        <f t="shared" ref="F51:F60" si="15">ROUND(B51*E51/10000,0)</f>
        <v>#DIV/0!</v>
      </c>
      <c r="G51" s="3694"/>
      <c r="H51" s="372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374</v>
      </c>
      <c r="C2" s="2144" t="s">
        <v>2074</v>
      </c>
      <c r="D2" s="2144" t="s">
        <v>2075</v>
      </c>
      <c r="E2" s="2611">
        <f ca="1">SUMIF(E6:E13,"&lt;&gt;#ref!",E6:E13)</f>
        <v>895.16</v>
      </c>
      <c r="F2" s="2792"/>
      <c r="G2" s="2792"/>
      <c r="H2" s="2792"/>
      <c r="I2" s="2792"/>
      <c r="J2" s="2792"/>
      <c r="K2" s="2792"/>
      <c r="L2" s="2792"/>
      <c r="M2" s="2792"/>
      <c r="N2" s="2792"/>
      <c r="O2" s="2792"/>
      <c r="P2" s="2792"/>
    </row>
    <row r="3" spans="1:16" ht="15.6">
      <c r="A3" s="2144" t="s">
        <v>2076</v>
      </c>
      <c r="B3" s="2601">
        <f ca="1">ROUND(B2*10000/E2,0)</f>
        <v>4178</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374</v>
      </c>
      <c r="C6" s="2144" t="s">
        <v>2074</v>
      </c>
      <c r="D6" s="2792"/>
      <c r="E6" s="2611">
        <f ca="1">SUMIF(INDIRECT("'"&amp;A6&amp;"'"&amp;"!C:C"),"建筑面积",INDIRECT("'"&amp;A6&amp;"'"&amp;"!D:D"))</f>
        <v>895.16</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1" t="s">
        <v>2610</v>
      </c>
      <c r="B20" s="3774" t="s">
        <v>2631</v>
      </c>
      <c r="C20" s="3102" t="s">
        <v>2442</v>
      </c>
      <c r="D20" s="3103"/>
      <c r="E20" s="3104">
        <v>1</v>
      </c>
      <c r="F20" s="3105" t="s">
        <v>2443</v>
      </c>
      <c r="G20" s="3105"/>
    </row>
    <row r="21" spans="1:13" ht="19.5" customHeight="1">
      <c r="A21" s="3782"/>
      <c r="B21" s="3775"/>
      <c r="C21" s="3106" t="s">
        <v>2444</v>
      </c>
      <c r="D21" s="3107"/>
      <c r="E21" s="3108">
        <v>1</v>
      </c>
      <c r="F21" s="3105" t="s">
        <v>2445</v>
      </c>
      <c r="G21" s="3105"/>
    </row>
    <row r="22" spans="1:13" ht="19.5" customHeight="1">
      <c r="A22" s="3782"/>
      <c r="B22" s="3775"/>
      <c r="C22" s="3106" t="s">
        <v>2446</v>
      </c>
      <c r="D22" s="3107"/>
      <c r="E22" s="3108">
        <v>0.9</v>
      </c>
      <c r="F22" s="3105" t="s">
        <v>2447</v>
      </c>
      <c r="G22" s="3105"/>
    </row>
    <row r="23" spans="1:13" ht="19.5" customHeight="1">
      <c r="A23" s="3782"/>
      <c r="B23" s="3775"/>
      <c r="C23" s="3106" t="s">
        <v>2448</v>
      </c>
      <c r="D23" s="3107"/>
      <c r="E23" s="3108">
        <v>0.9</v>
      </c>
      <c r="F23" s="3105" t="s">
        <v>2449</v>
      </c>
      <c r="G23" s="3105"/>
    </row>
    <row r="24" spans="1:13" ht="19.5" customHeight="1">
      <c r="A24" s="3782"/>
      <c r="B24" s="3775"/>
      <c r="C24" s="3106" t="s">
        <v>2450</v>
      </c>
      <c r="D24" s="3107"/>
      <c r="E24" s="3108">
        <v>0.8</v>
      </c>
      <c r="F24" s="3105" t="s">
        <v>2451</v>
      </c>
      <c r="G24" s="3105"/>
    </row>
    <row r="25" spans="1:13" ht="19.5" customHeight="1" thickBot="1">
      <c r="A25" s="3783"/>
      <c r="B25" s="377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7" t="s">
        <v>2634</v>
      </c>
      <c r="B27" s="3774" t="s">
        <v>2615</v>
      </c>
      <c r="C27" s="3102" t="s">
        <v>2455</v>
      </c>
      <c r="D27" s="3103"/>
      <c r="E27" s="3104">
        <v>1</v>
      </c>
      <c r="F27" s="3105" t="s">
        <v>2456</v>
      </c>
      <c r="G27" s="3105"/>
    </row>
    <row r="28" spans="1:13" ht="19.5" customHeight="1">
      <c r="A28" s="3778"/>
      <c r="B28" s="3775"/>
      <c r="C28" s="3106" t="s">
        <v>2457</v>
      </c>
      <c r="D28" s="3107"/>
      <c r="E28" s="3108">
        <v>1</v>
      </c>
      <c r="F28" s="3105" t="s">
        <v>2458</v>
      </c>
      <c r="G28" s="3105"/>
    </row>
    <row r="29" spans="1:13" ht="19.5" customHeight="1">
      <c r="A29" s="3778"/>
      <c r="B29" s="3775"/>
      <c r="C29" s="3106" t="s">
        <v>2459</v>
      </c>
      <c r="D29" s="3107"/>
      <c r="E29" s="3108">
        <v>0.8</v>
      </c>
      <c r="F29" s="3105" t="s">
        <v>2460</v>
      </c>
      <c r="G29" s="3105"/>
    </row>
    <row r="30" spans="1:13" ht="19.5" customHeight="1">
      <c r="A30" s="3778"/>
      <c r="B30" s="3775"/>
      <c r="C30" s="3106" t="s">
        <v>2461</v>
      </c>
      <c r="D30" s="3107"/>
      <c r="E30" s="3108">
        <v>0.8</v>
      </c>
      <c r="F30" s="3105" t="s">
        <v>2462</v>
      </c>
      <c r="G30" s="3105"/>
    </row>
    <row r="31" spans="1:13" ht="19.5" customHeight="1">
      <c r="A31" s="3778"/>
      <c r="B31" s="3775"/>
      <c r="C31" s="3106" t="s">
        <v>2463</v>
      </c>
      <c r="D31" s="3107"/>
      <c r="E31" s="3108">
        <v>0.8</v>
      </c>
      <c r="F31" s="3105" t="s">
        <v>2464</v>
      </c>
      <c r="G31" s="3105"/>
    </row>
    <row r="32" spans="1:13" ht="19.5" customHeight="1">
      <c r="A32" s="3778"/>
      <c r="B32" s="3775"/>
      <c r="C32" s="3106" t="s">
        <v>2465</v>
      </c>
      <c r="D32" s="3107"/>
      <c r="E32" s="3108">
        <v>0.7</v>
      </c>
      <c r="F32" s="3105" t="s">
        <v>2466</v>
      </c>
      <c r="G32" s="3105"/>
    </row>
    <row r="33" spans="1:7" ht="19.5" customHeight="1">
      <c r="A33" s="3778"/>
      <c r="B33" s="3775"/>
      <c r="C33" s="3106" t="s">
        <v>2467</v>
      </c>
      <c r="D33" s="3107"/>
      <c r="E33" s="3108">
        <v>0.8</v>
      </c>
      <c r="F33" s="3105" t="s">
        <v>2468</v>
      </c>
      <c r="G33" s="3105"/>
    </row>
    <row r="34" spans="1:7" ht="19.5" customHeight="1">
      <c r="A34" s="3778"/>
      <c r="B34" s="3775"/>
      <c r="C34" s="3106" t="s">
        <v>2469</v>
      </c>
      <c r="D34" s="3107"/>
      <c r="E34" s="3108">
        <v>0.6</v>
      </c>
      <c r="F34" s="3105" t="s">
        <v>2470</v>
      </c>
      <c r="G34" s="3105"/>
    </row>
    <row r="35" spans="1:7" ht="19.5" customHeight="1">
      <c r="A35" s="3778"/>
      <c r="B35" s="3775"/>
      <c r="C35" s="3106" t="s">
        <v>2471</v>
      </c>
      <c r="D35" s="3107"/>
      <c r="E35" s="3108">
        <v>0.2</v>
      </c>
      <c r="F35" s="3105" t="s">
        <v>2472</v>
      </c>
      <c r="G35" s="3105"/>
    </row>
    <row r="36" spans="1:7" ht="19.5" customHeight="1">
      <c r="A36" s="3778"/>
      <c r="B36" s="3775"/>
      <c r="C36" s="3106" t="s">
        <v>2473</v>
      </c>
      <c r="D36" s="3107"/>
      <c r="E36" s="3108">
        <v>0.2</v>
      </c>
      <c r="F36" s="3105" t="s">
        <v>2474</v>
      </c>
      <c r="G36" s="3105"/>
    </row>
    <row r="37" spans="1:7" ht="19.5" customHeight="1">
      <c r="A37" s="3778"/>
      <c r="B37" s="3780" t="s">
        <v>2635</v>
      </c>
      <c r="C37" s="3106" t="s">
        <v>2475</v>
      </c>
      <c r="D37" s="3107"/>
      <c r="E37" s="3108">
        <v>0.6</v>
      </c>
      <c r="F37" s="3105" t="s">
        <v>2476</v>
      </c>
      <c r="G37" s="3105"/>
    </row>
    <row r="38" spans="1:7" ht="19.5" customHeight="1">
      <c r="A38" s="3778"/>
      <c r="B38" s="3775"/>
      <c r="C38" s="3106" t="s">
        <v>2477</v>
      </c>
      <c r="D38" s="3107"/>
      <c r="E38" s="3108">
        <v>0.6</v>
      </c>
      <c r="F38" s="3105" t="s">
        <v>2478</v>
      </c>
      <c r="G38" s="3105"/>
    </row>
    <row r="39" spans="1:7" ht="19.5" customHeight="1" thickBot="1">
      <c r="A39" s="3779"/>
      <c r="B39" s="377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1" t="s">
        <v>2613</v>
      </c>
      <c r="B41" s="3774" t="s">
        <v>2637</v>
      </c>
      <c r="C41" s="3102" t="s">
        <v>2482</v>
      </c>
      <c r="D41" s="3103"/>
      <c r="E41" s="3104">
        <v>1</v>
      </c>
      <c r="F41" s="3105" t="s">
        <v>2483</v>
      </c>
      <c r="G41" s="3105"/>
    </row>
    <row r="42" spans="1:7" ht="19.5" customHeight="1">
      <c r="A42" s="3782"/>
      <c r="B42" s="3775"/>
      <c r="C42" s="3106" t="s">
        <v>2484</v>
      </c>
      <c r="D42" s="3107"/>
      <c r="E42" s="3108">
        <v>1</v>
      </c>
      <c r="F42" s="3105" t="s">
        <v>2485</v>
      </c>
      <c r="G42" s="3105"/>
    </row>
    <row r="43" spans="1:7" ht="19.5" customHeight="1">
      <c r="A43" s="3782"/>
      <c r="B43" s="3784"/>
      <c r="C43" s="3106" t="s">
        <v>2486</v>
      </c>
      <c r="D43" s="3107"/>
      <c r="E43" s="3108">
        <v>1.5</v>
      </c>
      <c r="F43" s="3105" t="s">
        <v>2487</v>
      </c>
      <c r="G43" s="3105"/>
    </row>
    <row r="44" spans="1:7" ht="19.5" customHeight="1">
      <c r="A44" s="3782"/>
      <c r="B44" s="3117" t="s">
        <v>2638</v>
      </c>
      <c r="C44" s="3106" t="s">
        <v>2639</v>
      </c>
      <c r="D44" s="3107"/>
      <c r="E44" s="3108">
        <v>2</v>
      </c>
      <c r="F44" s="3105" t="s">
        <v>2488</v>
      </c>
      <c r="G44" s="3105"/>
    </row>
    <row r="45" spans="1:7" ht="19.5" customHeight="1">
      <c r="A45" s="3782"/>
      <c r="B45" s="3780" t="s">
        <v>2640</v>
      </c>
      <c r="C45" s="3106" t="s">
        <v>2489</v>
      </c>
      <c r="D45" s="3107"/>
      <c r="E45" s="3108">
        <v>1</v>
      </c>
      <c r="F45" s="3105" t="s">
        <v>2490</v>
      </c>
      <c r="G45" s="3105"/>
    </row>
    <row r="46" spans="1:7" ht="19.5" customHeight="1">
      <c r="A46" s="3782"/>
      <c r="B46" s="3775"/>
      <c r="C46" s="3106" t="s">
        <v>2491</v>
      </c>
      <c r="D46" s="3107"/>
      <c r="E46" s="3108">
        <v>1</v>
      </c>
      <c r="F46" s="3105" t="s">
        <v>2492</v>
      </c>
      <c r="G46" s="3105"/>
    </row>
    <row r="47" spans="1:7" ht="19.5" customHeight="1">
      <c r="A47" s="3782"/>
      <c r="B47" s="3775"/>
      <c r="C47" s="3106" t="s">
        <v>2493</v>
      </c>
      <c r="D47" s="3107"/>
      <c r="E47" s="3108">
        <v>1</v>
      </c>
      <c r="F47" s="3105" t="s">
        <v>2494</v>
      </c>
      <c r="G47" s="3105"/>
    </row>
    <row r="48" spans="1:7" ht="19.5" customHeight="1">
      <c r="A48" s="3782"/>
      <c r="B48" s="3775"/>
      <c r="C48" s="3106" t="s">
        <v>2495</v>
      </c>
      <c r="D48" s="3107"/>
      <c r="E48" s="3108">
        <v>1</v>
      </c>
      <c r="F48" s="3105" t="s">
        <v>2496</v>
      </c>
      <c r="G48" s="3105"/>
    </row>
    <row r="49" spans="1:7" ht="19.5" customHeight="1">
      <c r="A49" s="3782"/>
      <c r="B49" s="3775"/>
      <c r="C49" s="3106" t="s">
        <v>2497</v>
      </c>
      <c r="D49" s="3107"/>
      <c r="E49" s="3108">
        <v>1</v>
      </c>
      <c r="F49" s="3105" t="s">
        <v>2498</v>
      </c>
      <c r="G49" s="3105"/>
    </row>
    <row r="50" spans="1:7" ht="19.5" customHeight="1">
      <c r="A50" s="3782"/>
      <c r="B50" s="3775"/>
      <c r="C50" s="3106" t="s">
        <v>2499</v>
      </c>
      <c r="D50" s="3107"/>
      <c r="E50" s="3108">
        <v>1</v>
      </c>
      <c r="F50" s="3105" t="s">
        <v>2500</v>
      </c>
      <c r="G50" s="3105"/>
    </row>
    <row r="51" spans="1:7" ht="19.5" customHeight="1" thickBot="1">
      <c r="A51" s="3783"/>
      <c r="B51" s="377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80" t="s">
        <v>2654</v>
      </c>
      <c r="C73" s="3091" t="s">
        <v>2655</v>
      </c>
      <c r="D73" s="3091" t="s">
        <v>2656</v>
      </c>
      <c r="E73" s="3117">
        <v>0.2</v>
      </c>
      <c r="F73" s="3117">
        <v>25</v>
      </c>
    </row>
    <row r="74" spans="1:7" ht="24">
      <c r="A74" s="3117">
        <v>2</v>
      </c>
      <c r="B74" s="3775"/>
      <c r="C74" s="3091" t="s">
        <v>2657</v>
      </c>
      <c r="D74" s="3091" t="s">
        <v>2658</v>
      </c>
      <c r="E74" s="3117">
        <v>0.2</v>
      </c>
      <c r="F74" s="3117">
        <v>25</v>
      </c>
    </row>
    <row r="75" spans="1:7" ht="24">
      <c r="A75" s="3117">
        <v>3</v>
      </c>
      <c r="B75" s="3775"/>
      <c r="C75" s="3091" t="s">
        <v>2659</v>
      </c>
      <c r="D75" s="3091" t="s">
        <v>2660</v>
      </c>
      <c r="E75" s="3117">
        <v>0.2</v>
      </c>
      <c r="F75" s="3117">
        <v>25</v>
      </c>
    </row>
    <row r="76" spans="1:7" ht="14.4">
      <c r="A76" s="3117">
        <v>4</v>
      </c>
      <c r="B76" s="3775"/>
      <c r="C76" s="3091" t="s">
        <v>2661</v>
      </c>
      <c r="D76" s="3091" t="s">
        <v>2662</v>
      </c>
      <c r="E76" s="3117">
        <v>0.15</v>
      </c>
      <c r="F76" s="3117">
        <v>20</v>
      </c>
    </row>
    <row r="77" spans="1:7" ht="24">
      <c r="A77" s="3117">
        <v>5</v>
      </c>
      <c r="B77" s="3775"/>
      <c r="C77" s="3091" t="s">
        <v>2663</v>
      </c>
      <c r="D77" s="3091" t="s">
        <v>2664</v>
      </c>
      <c r="E77" s="3117">
        <v>0.15</v>
      </c>
      <c r="F77" s="3117">
        <v>20</v>
      </c>
    </row>
    <row r="78" spans="1:7" ht="24">
      <c r="A78" s="3117">
        <v>6</v>
      </c>
      <c r="B78" s="3775"/>
      <c r="C78" s="3091" t="s">
        <v>2665</v>
      </c>
      <c r="D78" s="3091" t="s">
        <v>2666</v>
      </c>
      <c r="E78" s="3117">
        <v>0.15</v>
      </c>
      <c r="F78" s="3117">
        <v>20</v>
      </c>
    </row>
    <row r="79" spans="1:7" ht="24">
      <c r="A79" s="3117">
        <v>7</v>
      </c>
      <c r="B79" s="3775"/>
      <c r="C79" s="3091" t="s">
        <v>2667</v>
      </c>
      <c r="D79" s="3091" t="s">
        <v>2668</v>
      </c>
      <c r="E79" s="3117">
        <v>0.15</v>
      </c>
      <c r="F79" s="3117">
        <v>20</v>
      </c>
    </row>
    <row r="80" spans="1:7" ht="24">
      <c r="A80" s="3117">
        <v>8</v>
      </c>
      <c r="B80" s="3775"/>
      <c r="C80" s="3091" t="s">
        <v>2669</v>
      </c>
      <c r="D80" s="3091" t="s">
        <v>2670</v>
      </c>
      <c r="E80" s="3117">
        <v>0.1</v>
      </c>
      <c r="F80" s="3117">
        <v>15</v>
      </c>
    </row>
    <row r="81" spans="1:6" ht="24">
      <c r="A81" s="3117">
        <v>9</v>
      </c>
      <c r="B81" s="3775"/>
      <c r="C81" s="3091" t="s">
        <v>2671</v>
      </c>
      <c r="D81" s="3091" t="s">
        <v>2672</v>
      </c>
      <c r="E81" s="3117">
        <v>0.1</v>
      </c>
      <c r="F81" s="3117">
        <v>15</v>
      </c>
    </row>
    <row r="82" spans="1:6" ht="24">
      <c r="A82" s="3117">
        <v>10</v>
      </c>
      <c r="B82" s="3775"/>
      <c r="C82" s="3091" t="s">
        <v>2673</v>
      </c>
      <c r="D82" s="3091" t="s">
        <v>2674</v>
      </c>
      <c r="E82" s="3117">
        <v>0.1</v>
      </c>
      <c r="F82" s="3117">
        <v>15</v>
      </c>
    </row>
    <row r="83" spans="1:6" ht="24">
      <c r="A83" s="3117">
        <v>11</v>
      </c>
      <c r="B83" s="3775"/>
      <c r="C83" s="3091" t="s">
        <v>2675</v>
      </c>
      <c r="D83" s="3091" t="s">
        <v>2676</v>
      </c>
      <c r="E83" s="3117">
        <v>0.1</v>
      </c>
      <c r="F83" s="3117">
        <v>15</v>
      </c>
    </row>
    <row r="84" spans="1:6" ht="24">
      <c r="A84" s="3117">
        <v>12</v>
      </c>
      <c r="B84" s="3775"/>
      <c r="C84" s="3091" t="s">
        <v>2677</v>
      </c>
      <c r="D84" s="3091" t="s">
        <v>2678</v>
      </c>
      <c r="E84" s="3117">
        <v>0.1</v>
      </c>
      <c r="F84" s="3117">
        <v>15</v>
      </c>
    </row>
    <row r="85" spans="1:6" ht="24">
      <c r="A85" s="3117">
        <v>13</v>
      </c>
      <c r="B85" s="3775"/>
      <c r="C85" s="3091" t="s">
        <v>2679</v>
      </c>
      <c r="D85" s="3091" t="s">
        <v>2680</v>
      </c>
      <c r="E85" s="3117">
        <v>0.1</v>
      </c>
      <c r="F85" s="3117">
        <v>15</v>
      </c>
    </row>
    <row r="86" spans="1:6" ht="24">
      <c r="A86" s="3117">
        <v>14</v>
      </c>
      <c r="B86" s="3775"/>
      <c r="C86" s="3091" t="s">
        <v>2681</v>
      </c>
      <c r="D86" s="3091" t="s">
        <v>2682</v>
      </c>
      <c r="E86" s="3117">
        <v>0.1</v>
      </c>
      <c r="F86" s="3117">
        <v>15</v>
      </c>
    </row>
    <row r="87" spans="1:6" ht="24">
      <c r="A87" s="3117">
        <v>15</v>
      </c>
      <c r="B87" s="3775"/>
      <c r="C87" s="3091" t="s">
        <v>2683</v>
      </c>
      <c r="D87" s="3091" t="s">
        <v>2684</v>
      </c>
      <c r="E87" s="3117">
        <v>0.1</v>
      </c>
      <c r="F87" s="3117">
        <v>15</v>
      </c>
    </row>
    <row r="88" spans="1:6" ht="24">
      <c r="A88" s="3117">
        <v>16</v>
      </c>
      <c r="B88" s="3775"/>
      <c r="C88" s="3091" t="s">
        <v>2685</v>
      </c>
      <c r="D88" s="3091" t="s">
        <v>2686</v>
      </c>
      <c r="E88" s="3117">
        <v>0.1</v>
      </c>
      <c r="F88" s="3117">
        <v>15</v>
      </c>
    </row>
    <row r="89" spans="1:6" ht="24">
      <c r="A89" s="3117">
        <v>17</v>
      </c>
      <c r="B89" s="3784"/>
      <c r="C89" s="3091" t="s">
        <v>2687</v>
      </c>
      <c r="D89" s="3091" t="s">
        <v>2688</v>
      </c>
      <c r="E89" s="3117">
        <v>0.1</v>
      </c>
      <c r="F89" s="3117">
        <v>15</v>
      </c>
    </row>
    <row r="90" spans="1:6" ht="14.4">
      <c r="A90" s="3117">
        <v>18</v>
      </c>
      <c r="B90" s="3780" t="s">
        <v>2689</v>
      </c>
      <c r="C90" s="3091" t="s">
        <v>2690</v>
      </c>
      <c r="D90" s="3091" t="s">
        <v>2691</v>
      </c>
      <c r="E90" s="3117">
        <v>0.2</v>
      </c>
      <c r="F90" s="3117">
        <v>25</v>
      </c>
    </row>
    <row r="91" spans="1:6" ht="24">
      <c r="A91" s="3117">
        <v>19</v>
      </c>
      <c r="B91" s="3775"/>
      <c r="C91" s="3091" t="s">
        <v>2692</v>
      </c>
      <c r="D91" s="3091" t="s">
        <v>2693</v>
      </c>
      <c r="E91" s="3117">
        <v>0.2</v>
      </c>
      <c r="F91" s="3117">
        <v>25</v>
      </c>
    </row>
    <row r="92" spans="1:6" ht="14.4">
      <c r="A92" s="3117">
        <v>20</v>
      </c>
      <c r="B92" s="3775"/>
      <c r="C92" s="3091" t="s">
        <v>2694</v>
      </c>
      <c r="D92" s="3091" t="s">
        <v>2695</v>
      </c>
      <c r="E92" s="3117">
        <v>0.15</v>
      </c>
      <c r="F92" s="3117">
        <v>20</v>
      </c>
    </row>
    <row r="93" spans="1:6" ht="24">
      <c r="A93" s="3117">
        <v>21</v>
      </c>
      <c r="B93" s="3775"/>
      <c r="C93" s="3091" t="s">
        <v>2696</v>
      </c>
      <c r="D93" s="3091" t="s">
        <v>2697</v>
      </c>
      <c r="E93" s="3117">
        <v>0.15</v>
      </c>
      <c r="F93" s="3117">
        <v>20</v>
      </c>
    </row>
    <row r="94" spans="1:6" ht="24">
      <c r="A94" s="3117">
        <v>22</v>
      </c>
      <c r="B94" s="3775"/>
      <c r="C94" s="3091" t="s">
        <v>2698</v>
      </c>
      <c r="D94" s="3091" t="s">
        <v>2699</v>
      </c>
      <c r="E94" s="3117">
        <v>0.15</v>
      </c>
      <c r="F94" s="3117">
        <v>20</v>
      </c>
    </row>
    <row r="95" spans="1:6" ht="36">
      <c r="A95" s="3117">
        <v>23</v>
      </c>
      <c r="B95" s="3775"/>
      <c r="C95" s="3091" t="s">
        <v>2700</v>
      </c>
      <c r="D95" s="3091" t="s">
        <v>2701</v>
      </c>
      <c r="E95" s="3117">
        <v>0.15</v>
      </c>
      <c r="F95" s="3117">
        <v>20</v>
      </c>
    </row>
    <row r="96" spans="1:6" ht="24">
      <c r="A96" s="3117">
        <v>24</v>
      </c>
      <c r="B96" s="3775"/>
      <c r="C96" s="3091" t="s">
        <v>2702</v>
      </c>
      <c r="D96" s="3091" t="s">
        <v>2703</v>
      </c>
      <c r="E96" s="3117">
        <v>0.1</v>
      </c>
      <c r="F96" s="3117">
        <v>15</v>
      </c>
    </row>
    <row r="97" spans="1:6" ht="24">
      <c r="A97" s="3117">
        <v>25</v>
      </c>
      <c r="B97" s="3775"/>
      <c r="C97" s="3091" t="s">
        <v>2704</v>
      </c>
      <c r="D97" s="3091" t="s">
        <v>2705</v>
      </c>
      <c r="E97" s="3117">
        <v>0.1</v>
      </c>
      <c r="F97" s="3117">
        <v>15</v>
      </c>
    </row>
    <row r="98" spans="1:6" ht="24">
      <c r="A98" s="3117">
        <v>26</v>
      </c>
      <c r="B98" s="3775"/>
      <c r="C98" s="3091" t="s">
        <v>2706</v>
      </c>
      <c r="D98" s="3091" t="s">
        <v>2707</v>
      </c>
      <c r="E98" s="3117">
        <v>0.1</v>
      </c>
      <c r="F98" s="3117">
        <v>15</v>
      </c>
    </row>
    <row r="99" spans="1:6" ht="24">
      <c r="A99" s="3117">
        <v>27</v>
      </c>
      <c r="B99" s="3775"/>
      <c r="C99" s="3091" t="s">
        <v>2708</v>
      </c>
      <c r="D99" s="3091" t="s">
        <v>2709</v>
      </c>
      <c r="E99" s="3117">
        <v>0.1</v>
      </c>
      <c r="F99" s="3117">
        <v>15</v>
      </c>
    </row>
    <row r="100" spans="1:6" ht="24">
      <c r="A100" s="3117">
        <v>28</v>
      </c>
      <c r="B100" s="3775"/>
      <c r="C100" s="3091" t="s">
        <v>2710</v>
      </c>
      <c r="D100" s="3091" t="s">
        <v>2711</v>
      </c>
      <c r="E100" s="3117">
        <v>0.1</v>
      </c>
      <c r="F100" s="3117">
        <v>15</v>
      </c>
    </row>
    <row r="101" spans="1:6" ht="24">
      <c r="A101" s="3117">
        <v>29</v>
      </c>
      <c r="B101" s="3775"/>
      <c r="C101" s="3091" t="s">
        <v>2712</v>
      </c>
      <c r="D101" s="3091" t="s">
        <v>2713</v>
      </c>
      <c r="E101" s="3117">
        <v>0.1</v>
      </c>
      <c r="F101" s="3117">
        <v>15</v>
      </c>
    </row>
    <row r="102" spans="1:6" ht="24">
      <c r="A102" s="3117">
        <v>30</v>
      </c>
      <c r="B102" s="3775"/>
      <c r="C102" s="3091" t="s">
        <v>2714</v>
      </c>
      <c r="D102" s="3091" t="s">
        <v>2715</v>
      </c>
      <c r="E102" s="3117">
        <v>0.1</v>
      </c>
      <c r="F102" s="3117">
        <v>15</v>
      </c>
    </row>
    <row r="103" spans="1:6" ht="24">
      <c r="A103" s="3117">
        <v>31</v>
      </c>
      <c r="B103" s="3775"/>
      <c r="C103" s="3091" t="s">
        <v>2716</v>
      </c>
      <c r="D103" s="3091" t="s">
        <v>2717</v>
      </c>
      <c r="E103" s="3117">
        <v>0.1</v>
      </c>
      <c r="F103" s="3117">
        <v>15</v>
      </c>
    </row>
    <row r="104" spans="1:6" ht="24">
      <c r="A104" s="3117">
        <v>32</v>
      </c>
      <c r="B104" s="3775"/>
      <c r="C104" s="3091" t="s">
        <v>2718</v>
      </c>
      <c r="D104" s="3091" t="s">
        <v>2719</v>
      </c>
      <c r="E104" s="3117">
        <v>0.1</v>
      </c>
      <c r="F104" s="3117">
        <v>15</v>
      </c>
    </row>
    <row r="105" spans="1:6" ht="24">
      <c r="A105" s="3117">
        <v>33</v>
      </c>
      <c r="B105" s="3775"/>
      <c r="C105" s="3091" t="s">
        <v>2720</v>
      </c>
      <c r="D105" s="3091" t="s">
        <v>2721</v>
      </c>
      <c r="E105" s="3117">
        <v>0.1</v>
      </c>
      <c r="F105" s="3117">
        <v>15</v>
      </c>
    </row>
    <row r="106" spans="1:6" ht="24">
      <c r="A106" s="3117">
        <v>34</v>
      </c>
      <c r="B106" s="3784"/>
      <c r="C106" s="3091" t="s">
        <v>2722</v>
      </c>
      <c r="D106" s="3091" t="s">
        <v>2723</v>
      </c>
      <c r="E106" s="3117">
        <v>0.1</v>
      </c>
      <c r="F106" s="3117">
        <v>15</v>
      </c>
    </row>
    <row r="107" spans="1:6" ht="36">
      <c r="A107" s="3117">
        <v>35</v>
      </c>
      <c r="B107" s="3780" t="s">
        <v>2724</v>
      </c>
      <c r="C107" s="3117" t="s">
        <v>2725</v>
      </c>
      <c r="D107" s="3091" t="s">
        <v>2726</v>
      </c>
      <c r="E107" s="3117">
        <v>0.15</v>
      </c>
      <c r="F107" s="3117">
        <v>20</v>
      </c>
    </row>
    <row r="108" spans="1:6" ht="24">
      <c r="A108" s="3117">
        <v>36</v>
      </c>
      <c r="B108" s="3775"/>
      <c r="C108" s="3117" t="s">
        <v>2727</v>
      </c>
      <c r="D108" s="3091" t="s">
        <v>2728</v>
      </c>
      <c r="E108" s="3117">
        <v>0.15</v>
      </c>
      <c r="F108" s="3117">
        <v>20</v>
      </c>
    </row>
    <row r="109" spans="1:6" ht="24">
      <c r="A109" s="3117">
        <v>37</v>
      </c>
      <c r="B109" s="3775"/>
      <c r="C109" s="3117" t="s">
        <v>2729</v>
      </c>
      <c r="D109" s="3091" t="s">
        <v>2730</v>
      </c>
      <c r="E109" s="3117">
        <v>0.15</v>
      </c>
      <c r="F109" s="3117">
        <v>20</v>
      </c>
    </row>
    <row r="110" spans="1:6" ht="24">
      <c r="A110" s="3117">
        <v>38</v>
      </c>
      <c r="B110" s="3775"/>
      <c r="C110" s="3117" t="s">
        <v>2731</v>
      </c>
      <c r="D110" s="3091" t="s">
        <v>2732</v>
      </c>
      <c r="E110" s="3117">
        <v>0.1</v>
      </c>
      <c r="F110" s="3117">
        <v>15</v>
      </c>
    </row>
    <row r="111" spans="1:6" ht="24">
      <c r="A111" s="3117">
        <v>39</v>
      </c>
      <c r="B111" s="3775"/>
      <c r="C111" s="3117" t="s">
        <v>2733</v>
      </c>
      <c r="D111" s="3091" t="s">
        <v>2734</v>
      </c>
      <c r="E111" s="3117">
        <v>0.1</v>
      </c>
      <c r="F111" s="3117">
        <v>15</v>
      </c>
    </row>
    <row r="112" spans="1:6" ht="24">
      <c r="A112" s="3117">
        <v>40</v>
      </c>
      <c r="B112" s="3784"/>
      <c r="C112" s="3117" t="s">
        <v>2735</v>
      </c>
      <c r="D112" s="3091" t="s">
        <v>2736</v>
      </c>
      <c r="E112" s="3117">
        <v>0.1</v>
      </c>
      <c r="F112" s="3117">
        <v>15</v>
      </c>
    </row>
    <row r="113" spans="1:6" ht="24">
      <c r="A113" s="3117">
        <v>41</v>
      </c>
      <c r="B113" s="3785" t="s">
        <v>2737</v>
      </c>
      <c r="C113" s="3117" t="s">
        <v>2738</v>
      </c>
      <c r="D113" s="3091" t="s">
        <v>2739</v>
      </c>
      <c r="E113" s="3117">
        <v>0.1</v>
      </c>
      <c r="F113" s="3117">
        <v>15</v>
      </c>
    </row>
    <row r="114" spans="1:6" ht="24">
      <c r="A114" s="3117">
        <v>42</v>
      </c>
      <c r="B114" s="3785"/>
      <c r="C114" s="3117" t="s">
        <v>2740</v>
      </c>
      <c r="D114" s="3091" t="s">
        <v>2741</v>
      </c>
      <c r="E114" s="3117">
        <v>0.1</v>
      </c>
      <c r="F114" s="3117">
        <v>15</v>
      </c>
    </row>
    <row r="115" spans="1:6" ht="24">
      <c r="A115" s="3117">
        <v>43</v>
      </c>
      <c r="B115" s="3785"/>
      <c r="C115" s="3117" t="s">
        <v>2742</v>
      </c>
      <c r="D115" s="3091" t="s">
        <v>2743</v>
      </c>
      <c r="E115" s="3117">
        <v>0.1</v>
      </c>
      <c r="F115" s="3117">
        <v>15</v>
      </c>
    </row>
    <row r="116" spans="1:6" ht="24">
      <c r="A116" s="3117">
        <v>44</v>
      </c>
      <c r="B116" s="3780" t="s">
        <v>2744</v>
      </c>
      <c r="C116" s="3117" t="s">
        <v>2745</v>
      </c>
      <c r="D116" s="3091" t="s">
        <v>2746</v>
      </c>
      <c r="E116" s="3117">
        <v>0.1</v>
      </c>
      <c r="F116" s="3117">
        <v>15</v>
      </c>
    </row>
    <row r="117" spans="1:6" ht="24">
      <c r="A117" s="3117">
        <v>45</v>
      </c>
      <c r="B117" s="3784"/>
      <c r="C117" s="3091" t="s">
        <v>2747</v>
      </c>
      <c r="D117" s="3091" t="s">
        <v>2748</v>
      </c>
      <c r="E117" s="3117">
        <v>0.1</v>
      </c>
      <c r="F117" s="3117">
        <v>15</v>
      </c>
    </row>
    <row r="118" spans="1:6" ht="24">
      <c r="A118" s="3117">
        <v>46</v>
      </c>
      <c r="B118" s="3780" t="s">
        <v>2749</v>
      </c>
      <c r="C118" s="3117" t="s">
        <v>2750</v>
      </c>
      <c r="D118" s="3091" t="s">
        <v>2751</v>
      </c>
      <c r="E118" s="3117">
        <v>0.1</v>
      </c>
      <c r="F118" s="3117">
        <v>15</v>
      </c>
    </row>
    <row r="119" spans="1:6" ht="24">
      <c r="A119" s="3117">
        <v>47</v>
      </c>
      <c r="B119" s="3784"/>
      <c r="C119" s="3117" t="s">
        <v>2752</v>
      </c>
      <c r="D119" s="3091" t="s">
        <v>2753</v>
      </c>
      <c r="E119" s="3117">
        <v>0.1</v>
      </c>
      <c r="F119" s="3117">
        <v>15</v>
      </c>
    </row>
    <row r="120" spans="1:6" ht="24">
      <c r="A120" s="3117">
        <v>48</v>
      </c>
      <c r="B120" s="3780" t="s">
        <v>2754</v>
      </c>
      <c r="C120" s="3117" t="s">
        <v>2755</v>
      </c>
      <c r="D120" s="3091" t="s">
        <v>2756</v>
      </c>
      <c r="E120" s="3117">
        <v>0.1</v>
      </c>
      <c r="F120" s="3117">
        <v>15</v>
      </c>
    </row>
    <row r="121" spans="1:6" ht="24">
      <c r="A121" s="3117">
        <v>49</v>
      </c>
      <c r="B121" s="3784"/>
      <c r="C121" s="3117" t="s">
        <v>2757</v>
      </c>
      <c r="D121" s="3091" t="s">
        <v>2758</v>
      </c>
      <c r="E121" s="3117">
        <v>0.1</v>
      </c>
      <c r="F121" s="3117">
        <v>15</v>
      </c>
    </row>
    <row r="122" spans="1:6" ht="24">
      <c r="A122" s="3117">
        <v>50</v>
      </c>
      <c r="B122" s="3785" t="s">
        <v>2759</v>
      </c>
      <c r="C122" s="3117" t="s">
        <v>2760</v>
      </c>
      <c r="D122" s="3091" t="s">
        <v>2761</v>
      </c>
      <c r="E122" s="3117">
        <v>0.1</v>
      </c>
      <c r="F122" s="3117">
        <v>15</v>
      </c>
    </row>
    <row r="123" spans="1:6" ht="24">
      <c r="A123" s="3117">
        <v>51</v>
      </c>
      <c r="B123" s="3785"/>
      <c r="C123" s="3117" t="s">
        <v>2762</v>
      </c>
      <c r="D123" s="3091" t="s">
        <v>2763</v>
      </c>
      <c r="E123" s="3117">
        <v>0.1</v>
      </c>
      <c r="F123" s="3117">
        <v>15</v>
      </c>
    </row>
    <row r="124" spans="1:6" ht="24">
      <c r="A124" s="3117">
        <v>52</v>
      </c>
      <c r="B124" s="3785" t="s">
        <v>2764</v>
      </c>
      <c r="C124" s="3117" t="s">
        <v>2765</v>
      </c>
      <c r="D124" s="3091" t="s">
        <v>2766</v>
      </c>
      <c r="E124" s="3117">
        <v>0.1</v>
      </c>
      <c r="F124" s="3117">
        <v>15</v>
      </c>
    </row>
    <row r="125" spans="1:6" ht="24">
      <c r="A125" s="3117">
        <v>53</v>
      </c>
      <c r="B125" s="3785"/>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85" t="s">
        <v>2772</v>
      </c>
      <c r="C127" s="3117" t="s">
        <v>2773</v>
      </c>
      <c r="D127" s="3091" t="s">
        <v>2774</v>
      </c>
      <c r="E127" s="3117">
        <v>0.1</v>
      </c>
      <c r="F127" s="3117">
        <v>15</v>
      </c>
    </row>
    <row r="128" spans="1:6" ht="24">
      <c r="A128" s="3117">
        <v>56</v>
      </c>
      <c r="B128" s="3785"/>
      <c r="C128" s="3117" t="s">
        <v>2775</v>
      </c>
      <c r="D128" s="3091" t="s">
        <v>2776</v>
      </c>
      <c r="E128" s="3117">
        <v>0.1</v>
      </c>
      <c r="F128" s="3117">
        <v>15</v>
      </c>
    </row>
    <row r="129" spans="1:6" ht="24">
      <c r="A129" s="3117">
        <v>57</v>
      </c>
      <c r="B129" s="3785"/>
      <c r="C129" s="3117" t="s">
        <v>2777</v>
      </c>
      <c r="D129" s="3091" t="s">
        <v>2778</v>
      </c>
      <c r="E129" s="3117">
        <v>0.1</v>
      </c>
      <c r="F129" s="3117">
        <v>15</v>
      </c>
    </row>
    <row r="130" spans="1:6" ht="24">
      <c r="A130" s="3117">
        <v>58</v>
      </c>
      <c r="B130" s="3785" t="s">
        <v>2779</v>
      </c>
      <c r="C130" s="3117" t="s">
        <v>2780</v>
      </c>
      <c r="D130" s="3091" t="s">
        <v>2781</v>
      </c>
      <c r="E130" s="3117">
        <v>0.1</v>
      </c>
      <c r="F130" s="3117">
        <v>15</v>
      </c>
    </row>
    <row r="131" spans="1:6" ht="24">
      <c r="A131" s="3117">
        <v>59</v>
      </c>
      <c r="B131" s="3785"/>
      <c r="C131" s="3117" t="s">
        <v>2782</v>
      </c>
      <c r="D131" s="3091" t="s">
        <v>2783</v>
      </c>
      <c r="E131" s="3117">
        <v>0.1</v>
      </c>
      <c r="F131" s="3117">
        <v>15</v>
      </c>
    </row>
    <row r="132" spans="1:6" ht="24">
      <c r="A132" s="3117">
        <v>60</v>
      </c>
      <c r="B132" s="3780" t="s">
        <v>2784</v>
      </c>
      <c r="C132" s="3117" t="s">
        <v>2785</v>
      </c>
      <c r="D132" s="3091" t="s">
        <v>2786</v>
      </c>
      <c r="E132" s="3117">
        <v>0.1</v>
      </c>
      <c r="F132" s="3117">
        <v>15</v>
      </c>
    </row>
    <row r="133" spans="1:6" ht="24">
      <c r="A133" s="3117">
        <v>61</v>
      </c>
      <c r="B133" s="378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85" t="s">
        <v>2792</v>
      </c>
      <c r="C135" s="3117" t="s">
        <v>2793</v>
      </c>
      <c r="D135" s="3091" t="s">
        <v>2794</v>
      </c>
      <c r="E135" s="3117">
        <v>0.1</v>
      </c>
      <c r="F135" s="3117">
        <v>15</v>
      </c>
    </row>
    <row r="136" spans="1:6" ht="24">
      <c r="A136" s="3117">
        <v>64</v>
      </c>
      <c r="B136" s="3785"/>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1.0512999999999999</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29716</v>
      </c>
      <c r="C2" s="2" t="s">
        <v>106</v>
      </c>
      <c r="D2" s="199"/>
      <c r="E2" s="199"/>
      <c r="F2" s="199"/>
      <c r="G2" s="199"/>
    </row>
    <row r="3" spans="1:7" s="200" customFormat="1" ht="18" customHeight="1" thickBot="1">
      <c r="A3" s="203" t="s">
        <v>58</v>
      </c>
      <c r="B3" s="204">
        <f ca="1">ROUND(B2*10000/'数据-汇总表'!E3,0)</f>
        <v>331963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18</v>
      </c>
      <c r="D10" s="845">
        <f>'数据-汇总表'!E6</f>
        <v>895.16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895.16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29304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313</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18</v>
      </c>
      <c r="D37" s="217">
        <f>'数据-汇总表'!E3</f>
        <v>895.16</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7" t="s">
        <v>341</v>
      </c>
      <c r="B45" s="244" t="s">
        <v>85</v>
      </c>
      <c r="C45" s="245">
        <f>C46</f>
        <v>70</v>
      </c>
      <c r="D45" s="235">
        <f>C47</f>
        <v>4.0000000000000001E-3</v>
      </c>
      <c r="E45" s="236" t="s">
        <v>102</v>
      </c>
      <c r="F45" s="246"/>
      <c r="G45" s="247" t="s">
        <v>434</v>
      </c>
    </row>
    <row r="46" spans="1:7" s="214" customFormat="1" ht="13.5" customHeight="1">
      <c r="A46" s="780" t="s">
        <v>349</v>
      </c>
      <c r="B46" s="248" t="s">
        <v>427</v>
      </c>
      <c r="C46" s="249">
        <f>ROUND((C33+C39)*F27,0)</f>
        <v>70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473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412</v>
      </c>
      <c r="D51" s="232"/>
      <c r="E51" s="232"/>
      <c r="F51" s="264"/>
      <c r="G51" s="234" t="s">
        <v>37</v>
      </c>
    </row>
    <row r="52" spans="1:7" s="208" customFormat="1" ht="16.8" thickBot="1">
      <c r="A52" s="265" t="s">
        <v>38</v>
      </c>
      <c r="B52" s="266"/>
      <c r="C52" s="267">
        <f ca="1">C31+C51</f>
        <v>29716</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7.399999999999999">
      <c r="A3" s="3473" t="str">
        <f>IF(项目基本情况!B9="房地产市场价值","估价结果一览表（市场价值不需“结果表-1”）","估价结果一览表")</f>
        <v>估价结果一览表</v>
      </c>
      <c r="B3" s="3473"/>
      <c r="C3" s="3473"/>
      <c r="D3" s="3473"/>
      <c r="E3" s="3473"/>
    </row>
    <row r="4" spans="1:5" ht="18" thickBot="1">
      <c r="A4" s="1493"/>
      <c r="B4" s="3471" t="s">
        <v>917</v>
      </c>
      <c r="C4" s="3471"/>
      <c r="D4" s="3471"/>
      <c r="E4" s="1493"/>
    </row>
    <row r="5" spans="1:5" ht="16.2" thickTop="1">
      <c r="A5" s="1491"/>
      <c r="B5" s="3469" t="s">
        <v>909</v>
      </c>
      <c r="C5" s="1494" t="s">
        <v>910</v>
      </c>
      <c r="D5" s="850">
        <f ca="1">结果表!H101</f>
        <v>1707.3387</v>
      </c>
      <c r="E5" s="1491"/>
    </row>
    <row r="6" spans="1:5" ht="15.6">
      <c r="A6" s="1491"/>
      <c r="B6" s="3469"/>
      <c r="C6" s="1494" t="s">
        <v>911</v>
      </c>
      <c r="D6" s="850" t="str">
        <f ca="1">NUMBERSTRING(INT(D5*10000),2)&amp;"元整"</f>
        <v>壹仟柒佰零柒万叁仟叁佰捌拾柒元整</v>
      </c>
      <c r="E6" s="1491"/>
    </row>
    <row r="7" spans="1:5" ht="15.6">
      <c r="A7" s="1491"/>
      <c r="B7" s="3474"/>
      <c r="C7" s="1495" t="s">
        <v>912</v>
      </c>
      <c r="D7" s="851">
        <f ca="1">结果表!H102</f>
        <v>19073</v>
      </c>
      <c r="E7" s="1491"/>
    </row>
    <row r="8" spans="1:5" ht="15.6">
      <c r="A8" s="1491"/>
      <c r="B8" s="3475" t="str">
        <f>结果表!E103</f>
        <v>2.估价师知悉的法定优先受偿款</v>
      </c>
      <c r="C8" s="1496" t="s">
        <v>913</v>
      </c>
      <c r="D8" s="851">
        <f>结果表!H103</f>
        <v>0</v>
      </c>
      <c r="E8" s="1491"/>
    </row>
    <row r="9" spans="1:5" ht="15.6">
      <c r="A9" s="1491"/>
      <c r="B9" s="347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8" t="str">
        <f>结果表!E107</f>
        <v>3.房地产抵押价值</v>
      </c>
      <c r="C13" s="1499" t="s">
        <v>910</v>
      </c>
      <c r="D13" s="853">
        <f ca="1">结果表!H107</f>
        <v>1707.3387</v>
      </c>
      <c r="E13" s="1491"/>
    </row>
    <row r="14" spans="1:5" ht="15.6">
      <c r="A14" s="1491"/>
      <c r="B14" s="3469"/>
      <c r="C14" s="1494" t="s">
        <v>911</v>
      </c>
      <c r="D14" s="850" t="str">
        <f ca="1">NUMBERSTRING(INT(D13*10000),2)&amp;"元整"</f>
        <v>壹仟柒佰零柒万叁仟叁佰捌拾柒元整</v>
      </c>
      <c r="E14" s="1491"/>
    </row>
    <row r="15" spans="1:5" ht="15.6">
      <c r="A15" s="1491"/>
      <c r="B15" s="3474"/>
      <c r="C15" s="1495" t="s">
        <v>921</v>
      </c>
      <c r="D15" s="859">
        <f ca="1">结果表!H108</f>
        <v>19073</v>
      </c>
      <c r="E15" s="1491"/>
    </row>
    <row r="16" spans="1:5" ht="15.6">
      <c r="A16" s="1491"/>
      <c r="B16" s="3475" t="str">
        <f>结果表!E109</f>
        <v>——</v>
      </c>
      <c r="C16" s="1499" t="s">
        <v>922</v>
      </c>
      <c r="D16" s="1500" t="str">
        <f>结果表!H109</f>
        <v>——</v>
      </c>
      <c r="E16" s="1491"/>
    </row>
    <row r="17" spans="1:5" ht="15.6">
      <c r="A17" s="1491"/>
      <c r="B17" s="3476"/>
      <c r="C17" s="1494" t="s">
        <v>923</v>
      </c>
      <c r="D17" s="850" t="e">
        <f>NUMBERSTRING(INT(D16*10000),2)&amp;"元整"</f>
        <v>#VALUE!</v>
      </c>
      <c r="E17" s="1491"/>
    </row>
    <row r="18" spans="1:5" ht="15.6">
      <c r="A18" s="1491"/>
      <c r="B18" s="3477"/>
      <c r="C18" s="1495" t="s">
        <v>912</v>
      </c>
      <c r="D18" s="859" t="str">
        <f>结果表!H110</f>
        <v>——</v>
      </c>
      <c r="E18" s="1491"/>
    </row>
    <row r="19" spans="1:5" ht="15.6">
      <c r="A19" s="1491"/>
      <c r="B19" s="3468" t="str">
        <f>结果表!E111</f>
        <v>——</v>
      </c>
      <c r="C19" s="1499" t="s">
        <v>910</v>
      </c>
      <c r="D19" s="851" t="str">
        <f>结果表!H111</f>
        <v>——</v>
      </c>
      <c r="E19" s="1491"/>
    </row>
    <row r="20" spans="1:5" ht="15.6">
      <c r="A20" s="1491"/>
      <c r="B20" s="3469"/>
      <c r="C20" s="1494" t="s">
        <v>923</v>
      </c>
      <c r="D20" s="850" t="e">
        <f>NUMBERSTRING(INT(D19*10000),2)&amp;"元整"</f>
        <v>#VALUE!</v>
      </c>
      <c r="E20" s="1491"/>
    </row>
    <row r="21" spans="1:5" ht="16.2" thickBot="1">
      <c r="A21" s="1491"/>
      <c r="B21" s="347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8" t="s">
        <v>2846</v>
      </c>
      <c r="B1" s="3788"/>
      <c r="C1" s="3788"/>
      <c r="D1" s="3788"/>
      <c r="E1" s="3788"/>
      <c r="F1" s="3788"/>
      <c r="G1" s="3789"/>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1.4"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6"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1.4" thickBot="1">
      <c r="A4" s="3787"/>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1.4"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1.4"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1.4"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1.4"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90" t="s">
        <v>3188</v>
      </c>
      <c r="B1" s="3790"/>
    </row>
    <row r="2" spans="1:7" ht="15" thickBot="1">
      <c r="A2" s="3254"/>
      <c r="B2" s="3254"/>
    </row>
    <row r="3" spans="1:7" ht="15" thickBot="1">
      <c r="A3" s="3254"/>
      <c r="B3" s="3254"/>
      <c r="C3" s="3255" t="s">
        <v>2814</v>
      </c>
      <c r="D3" s="3255" t="s">
        <v>2874</v>
      </c>
      <c r="E3" s="3255" t="s">
        <v>2816</v>
      </c>
      <c r="F3" s="3255" t="s">
        <v>2875</v>
      </c>
      <c r="G3" s="3255" t="s">
        <v>2634</v>
      </c>
    </row>
    <row r="4" spans="1:7" ht="1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91" t="s">
        <v>3239</v>
      </c>
      <c r="B1" s="3791"/>
      <c r="C1" s="3791"/>
      <c r="D1" s="3791"/>
      <c r="E1" s="3791"/>
      <c r="F1" s="3792"/>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20">
        <f>基准地价修正!G23</f>
        <v>44982</v>
      </c>
      <c r="B1" s="3209" t="s">
        <v>2845</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3.2">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3.2">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3.2">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3.2">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7" t="s">
        <v>3373</v>
      </c>
    </row>
    <row r="19" spans="1:30" s="3008" customFormat="1">
      <c r="I19" s="3207" t="s">
        <v>2830</v>
      </c>
    </row>
    <row r="20" spans="1:30" s="3008" customFormat="1"/>
    <row r="21" spans="1:30" s="3208" customFormat="1" ht="13.2">
      <c r="B21" s="3209" t="s">
        <v>2831</v>
      </c>
      <c r="C21" s="3210"/>
      <c r="D21" s="3210"/>
      <c r="E21" s="3210"/>
      <c r="F21" s="3210"/>
      <c r="G21" s="3210"/>
      <c r="H21" s="3210"/>
      <c r="I21" s="3210"/>
      <c r="J21" s="3164"/>
      <c r="K21" s="3210" t="s">
        <v>2832</v>
      </c>
      <c r="L21" s="3210"/>
      <c r="M21" s="3210"/>
      <c r="N21" s="3210"/>
      <c r="O21" s="3210"/>
      <c r="P21" s="3210"/>
      <c r="Q21" s="3164"/>
      <c r="R21" s="3793" t="s">
        <v>2833</v>
      </c>
      <c r="S21" s="3794"/>
      <c r="T21" s="3794"/>
      <c r="U21" s="3794"/>
      <c r="V21" s="3794"/>
      <c r="W21" s="3794"/>
      <c r="X21" s="3164"/>
      <c r="Y21" s="3793" t="s">
        <v>2834</v>
      </c>
      <c r="Z21" s="3794"/>
      <c r="AA21" s="3794"/>
      <c r="AB21" s="3794"/>
      <c r="AC21" s="3794"/>
      <c r="AD21" s="3794"/>
    </row>
    <row r="22" spans="1:30" s="3142" customFormat="1" ht="1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3.2">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3.2">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3.2">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3.2">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3.2">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44982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9:G151"/>
  <sheetViews>
    <sheetView topLeftCell="A124" workbookViewId="0">
      <selection activeCell="I152" sqref="I152"/>
    </sheetView>
  </sheetViews>
  <sheetFormatPr defaultRowHeight="14.4"/>
  <sheetData>
    <row r="149" spans="4:7">
      <c r="D149" s="3454" t="s">
        <v>3410</v>
      </c>
      <c r="E149">
        <v>1200</v>
      </c>
      <c r="F149">
        <v>20000</v>
      </c>
      <c r="G149" s="3454" t="s">
        <v>3413</v>
      </c>
    </row>
    <row r="150" spans="4:7">
      <c r="D150" s="3454" t="s">
        <v>3411</v>
      </c>
      <c r="E150">
        <v>655</v>
      </c>
      <c r="F150">
        <v>23000</v>
      </c>
      <c r="G150" s="3454" t="s">
        <v>3413</v>
      </c>
    </row>
    <row r="151" spans="4:7">
      <c r="D151" s="3454" t="s">
        <v>3412</v>
      </c>
      <c r="E151">
        <v>1100</v>
      </c>
      <c r="F151">
        <v>19800</v>
      </c>
      <c r="G151" s="3454" t="s">
        <v>3413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895.16</v>
      </c>
      <c r="C4" s="854">
        <f>项目基本情况!C18</f>
        <v>0</v>
      </c>
      <c r="D4" s="854" t="e">
        <f ca="1">结果表!D118</f>
        <v>#REF!</v>
      </c>
      <c r="E4" s="854" t="e">
        <f ca="1">结果表!E118</f>
        <v>#REF!</v>
      </c>
      <c r="F4" s="854" t="e">
        <f ca="1">结果表!F118</f>
        <v>#REF!</v>
      </c>
      <c r="G4" s="854" t="e">
        <f ca="1">结果表!G118</f>
        <v>#REF!</v>
      </c>
      <c r="H4" s="854">
        <f ca="1">结果表!H118</f>
        <v>1707.3387</v>
      </c>
      <c r="I4" s="854">
        <f ca="1">结果表!I118</f>
        <v>19073</v>
      </c>
    </row>
    <row r="5" spans="1:9" ht="30" customHeight="1">
      <c r="A5" s="3480" t="s">
        <v>927</v>
      </c>
      <c r="B5" s="3480"/>
      <c r="C5" s="3480"/>
      <c r="D5" s="3480" t="e">
        <f ca="1">结果表!D119</f>
        <v>#REF!</v>
      </c>
      <c r="E5" s="3480"/>
      <c r="F5" s="3480" t="e">
        <f ca="1">结果表!F119</f>
        <v>#REF!</v>
      </c>
      <c r="G5" s="3480"/>
      <c r="H5" s="3480" t="str">
        <f ca="1">结果表!H119</f>
        <v>壹仟柒佰零柒万叁仟叁佰捌拾柒元整</v>
      </c>
      <c r="I5" s="3480"/>
    </row>
    <row r="6" spans="1:9" ht="15.6">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6">
      <c r="A8" s="3481" t="str">
        <f>结果表!A122</f>
        <v>房地产抵押价值</v>
      </c>
      <c r="B8" s="3481"/>
      <c r="C8" s="3481"/>
      <c r="D8" s="3481">
        <f ca="1">结果表!D122</f>
        <v>1707.3387</v>
      </c>
      <c r="E8" s="3481"/>
      <c r="F8" s="3481"/>
      <c r="G8" s="3481"/>
      <c r="H8" s="3481"/>
      <c r="I8" s="3481"/>
    </row>
    <row r="9" spans="1:9" ht="15">
      <c r="A9" s="3480" t="s">
        <v>927</v>
      </c>
      <c r="B9" s="3480"/>
      <c r="C9" s="3480"/>
      <c r="D9" s="3480" t="str">
        <f ca="1">结果表!D123</f>
        <v>壹仟柒佰零柒万叁仟叁佰捌拾柒元整</v>
      </c>
      <c r="E9" s="3480"/>
      <c r="F9" s="3480"/>
      <c r="G9" s="3480"/>
      <c r="H9" s="3480"/>
      <c r="I9" s="3480"/>
    </row>
    <row r="10" spans="1:9" ht="15.6">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6">
      <c r="A12" s="3481" t="str">
        <f>结果表!A126</f>
        <v/>
      </c>
      <c r="B12" s="3481"/>
      <c r="C12" s="3481"/>
      <c r="D12" s="3481" t="str">
        <f>结果表!D126</f>
        <v>——</v>
      </c>
      <c r="E12" s="3481"/>
      <c r="F12" s="3481"/>
      <c r="G12" s="3481"/>
      <c r="H12" s="3481"/>
      <c r="I12" s="3481"/>
    </row>
    <row r="13" spans="1:9" ht="15.6" thickBot="1">
      <c r="A13" s="3485" t="s">
        <v>927</v>
      </c>
      <c r="B13" s="3485"/>
      <c r="C13" s="3485"/>
      <c r="D13" s="3485" t="e">
        <f>结果表!D127</f>
        <v>#VALUE!</v>
      </c>
      <c r="E13" s="3485"/>
      <c r="F13" s="3485"/>
      <c r="G13" s="3485"/>
      <c r="H13" s="3485"/>
      <c r="I13" s="3485"/>
    </row>
    <row r="14" spans="1:9" ht="14.4" thickTop="1">
      <c r="A14" s="3486" t="s">
        <v>932</v>
      </c>
      <c r="B14" s="3486"/>
      <c r="C14" s="3486"/>
      <c r="D14" s="3486"/>
      <c r="E14" s="3486"/>
      <c r="F14" s="3486"/>
      <c r="G14" s="3486"/>
      <c r="H14" s="3486"/>
      <c r="I14" s="348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7" t="s">
        <v>949</v>
      </c>
      <c r="B1" s="3487"/>
      <c r="C1" s="3487"/>
      <c r="D1" s="3487"/>
    </row>
    <row r="2" spans="1:4" ht="17.399999999999999">
      <c r="A2" s="3488" t="s">
        <v>933</v>
      </c>
      <c r="B2" s="3488"/>
      <c r="C2" s="3488"/>
      <c r="D2" s="348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8" t="s">
        <v>939</v>
      </c>
      <c r="B6" s="3488"/>
      <c r="C6" s="3488"/>
      <c r="D6" s="348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9" t="s">
        <v>942</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1" t="s">
        <v>956</v>
      </c>
      <c r="B15" s="3496" t="s">
        <v>109</v>
      </c>
      <c r="C15" s="3497"/>
    </row>
    <row r="16" spans="1:7" ht="14.4">
      <c r="A16" s="3502"/>
      <c r="B16" s="3496" t="s">
        <v>42</v>
      </c>
      <c r="C16" s="3497"/>
    </row>
    <row r="17" spans="1:3" ht="14.4">
      <c r="A17" s="3502"/>
      <c r="B17" s="3499" t="s">
        <v>957</v>
      </c>
      <c r="C17" s="1532" t="s">
        <v>956</v>
      </c>
    </row>
    <row r="18" spans="1:3" ht="14.4">
      <c r="A18" s="3502"/>
      <c r="B18" s="3499"/>
      <c r="C18" s="1532" t="s">
        <v>958</v>
      </c>
    </row>
    <row r="19" spans="1:3" ht="14.4">
      <c r="A19" s="3502"/>
      <c r="B19" s="3499"/>
      <c r="C19" s="1532" t="s">
        <v>959</v>
      </c>
    </row>
    <row r="20" spans="1:3" ht="14.4">
      <c r="A20" s="3503"/>
      <c r="B20" s="3498" t="s">
        <v>960</v>
      </c>
      <c r="C20" s="3497"/>
    </row>
    <row r="21" spans="1:3" ht="14.4">
      <c r="A21" s="1533" t="s">
        <v>961</v>
      </c>
      <c r="B21" s="1534"/>
      <c r="C21" s="1535"/>
    </row>
    <row r="22" spans="1:3" ht="14.4">
      <c r="A22" s="3500" t="s">
        <v>962</v>
      </c>
      <c r="B22" s="3498" t="s">
        <v>963</v>
      </c>
      <c r="C22" s="3497"/>
    </row>
    <row r="23" spans="1:3" ht="14.4">
      <c r="A23" s="3500"/>
      <c r="B23" s="3498" t="s">
        <v>964</v>
      </c>
      <c r="C23" s="3497"/>
    </row>
    <row r="24" spans="1:3" ht="14.4">
      <c r="A24" s="3500"/>
      <c r="B24" s="3498" t="s">
        <v>965</v>
      </c>
      <c r="C24" s="3497"/>
    </row>
    <row r="25" spans="1:3" ht="14.4">
      <c r="A25" s="3500"/>
      <c r="B25" s="3499" t="s">
        <v>966</v>
      </c>
      <c r="C25" s="1532" t="s">
        <v>967</v>
      </c>
    </row>
    <row r="26" spans="1:3" ht="14.4">
      <c r="A26" s="3500"/>
      <c r="B26" s="3499"/>
      <c r="C26" s="1532" t="s">
        <v>968</v>
      </c>
    </row>
    <row r="27" spans="1:3" ht="14.4">
      <c r="A27" s="3500"/>
      <c r="B27" s="3499"/>
      <c r="C27" s="1532" t="s">
        <v>969</v>
      </c>
    </row>
    <row r="28" spans="1:3" ht="14.4">
      <c r="A28" s="3500"/>
      <c r="B28" s="3499"/>
      <c r="C28" s="1532" t="s">
        <v>970</v>
      </c>
    </row>
    <row r="29" spans="1:3" ht="14.4">
      <c r="A29" s="3500"/>
      <c r="B29" s="3499"/>
      <c r="C29" s="1532" t="s">
        <v>971</v>
      </c>
    </row>
    <row r="30" spans="1:3" ht="14.4">
      <c r="A30" s="3500"/>
      <c r="B30" s="3499"/>
      <c r="C30" s="1532" t="s">
        <v>972</v>
      </c>
    </row>
    <row r="31" spans="1:3" ht="14.4">
      <c r="A31" s="3500"/>
      <c r="B31" s="3499"/>
      <c r="C31" s="1532" t="s">
        <v>973</v>
      </c>
    </row>
    <row r="32" spans="1:3" ht="14.4">
      <c r="A32" s="3500"/>
      <c r="B32" s="3499"/>
      <c r="C32" s="1532" t="s">
        <v>974</v>
      </c>
    </row>
    <row r="33" spans="1:3" ht="14.4">
      <c r="A33" s="3500"/>
      <c r="B33" s="349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44985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2023-02-28T07:04:24Z</dcterms:modified>
</cp:coreProperties>
</file>