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state="hidden" r:id="rId11"/>
    <sheet name="系统读取表" sheetId="72"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结果表" sheetId="9" r:id="rId18"/>
    <sheet name="比较法-住宅、综合" sheetId="39" state="hidden" r:id="rId19"/>
    <sheet name="住宅案例" sheetId="69" state="hidden" r:id="rId20"/>
    <sheet name="比较法-住宅、综合 (商业)" sheetId="71" r:id="rId21"/>
    <sheet name="商业案例" sheetId="70"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r:id="rId38"/>
    <sheet name="不动产比较法-工业" sheetId="37" state="hidden" r:id="rId39"/>
    <sheet name="不动产比较法-车位" sheetId="35" state="hidden" r:id="rId40"/>
    <sheet name="面积清单" sheetId="66" state="hidden" r:id="rId41"/>
    <sheet name="不动产比较法-仓储" sheetId="36" state="hidden" r:id="rId42"/>
    <sheet name="典型户型修正" sheetId="31" state="hidden" r:id="rId43"/>
    <sheet name="存贷款利率" sheetId="65" state="hidden" r:id="rId44"/>
    <sheet name="面积表" sheetId="67" state="hidden" r:id="rId45"/>
  </sheets>
  <externalReferences>
    <externalReference r:id="rId46"/>
    <externalReference r:id="rId47"/>
  </externalReferences>
  <definedNames>
    <definedName name="_xlnm._FilterDatabase" localSheetId="24" hidden="1">'比较法-工业'!$A$1:$L$45</definedName>
    <definedName name="_xlnm._FilterDatabase" localSheetId="18" hidden="1">'比较法-住宅、综合'!$A$1:$L$50</definedName>
    <definedName name="_xlnm._FilterDatabase" localSheetId="8" hidden="1">'比较法-住宅、综合 (2)'!$A$1:$L$50</definedName>
    <definedName name="_xlnm._FilterDatabase" localSheetId="20" hidden="1">'比较法-住宅、综合 (商业)'!$A$1:$L$50</definedName>
    <definedName name="_xlnm._FilterDatabase" localSheetId="37" hidden="1">'不动产比较法-办公'!$A$1:$L$50</definedName>
    <definedName name="_xlnm._FilterDatabase" localSheetId="41"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'比较法-住宅、综合'!$A$1:$K$55</definedName>
    <definedName name="_xlnm.Print_Area" localSheetId="8">'比较法-住宅、综合 (2)'!$A$1:$K$55</definedName>
    <definedName name="_xlnm.Print_Area" localSheetId="20">'比较法-住宅、综合 (商业)'!$A$1:$K$55</definedName>
    <definedName name="_xlnm.Print_Area" localSheetId="37">'不动产比较法-办公'!$A$1:$K$55</definedName>
    <definedName name="_xlnm.Print_Area" localSheetId="39">'不动产比较法-车位'!$A$1:$K$39</definedName>
    <definedName name="_xlnm.Print_Area" localSheetId="36">'不动产比较法-商业'!$A$1:$K$54</definedName>
    <definedName name="_xlnm.Print_Area" localSheetId="35">'不动产比较法-住宅'!$A$1:$K$55</definedName>
    <definedName name="_xlnm.Print_Area" localSheetId="32">不动产收益法!$A$1:$F$43</definedName>
    <definedName name="_xlnm.Print_Area" localSheetId="30">地价!$A$1:$V$68</definedName>
    <definedName name="_xlnm.Print_Area" localSheetId="7">估价师及机构信息!$A$1:$F$29</definedName>
    <definedName name="_xlnm.Print_Area" localSheetId="17">结果表!$A$1:$I$60</definedName>
    <definedName name="_xlnm.Print_Area" localSheetId="44">面积表!$A$1:$I$13</definedName>
    <definedName name="_xlnm.Print_Area" localSheetId="22">'剩余法-待开发'!$A$2:$K$36</definedName>
    <definedName name="_xlnm.Print_Area" localSheetId="14">'数据-汇总表'!$A$1:$G$31</definedName>
    <definedName name="_xlnm.Print_Area" localSheetId="12">'数据-基础表'!$A$1:$K$21</definedName>
    <definedName name="_xlnm.Print_Area" localSheetId="15">'数据-取费表'!$A$1:$AM$59</definedName>
    <definedName name="_xlnm.Print_Area" localSheetId="10">项目基本情况!$A$1:$I$44</definedName>
    <definedName name="八级">区片价!$P$1:$P$40</definedName>
    <definedName name="办公层高" localSheetId="11">'[1]不动产比较法-办公'!$B$119:$M$119</definedName>
    <definedName name="办公层高">'不动产比较法-办公'!$B$119:$M$119</definedName>
    <definedName name="办公朝向" localSheetId="11">'[1]不动产比较法-办公'!$B$91:$M$91</definedName>
    <definedName name="办公朝向">'不动产比较法-办公'!$B$91:$M$91</definedName>
    <definedName name="办公道路级别" localSheetId="11">'[1]不动产比较法-办公'!$B$87:$M$87</definedName>
    <definedName name="办公道路级别">'不动产比较法-办公'!$B$87:$M$87</definedName>
    <definedName name="办公公共部分装修" localSheetId="11">'[1]不动产比较法-办公'!$B$108:$M$108</definedName>
    <definedName name="办公公共部分装修">'不动产比较法-办公'!$B$108:$M$108</definedName>
    <definedName name="办公基础设施水平" localSheetId="11">'[1]不动产比较法-办公'!$B$117:$M$117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'不动产比较法-办公'!$B$106:$M$106</definedName>
    <definedName name="办公建筑类型" localSheetId="11">'[1]不动产比较法-办公'!$B$101:$M$101</definedName>
    <definedName name="办公建筑类型">'不动产比较法-办公'!$B$101:$M$101</definedName>
    <definedName name="办公交易情况" localSheetId="11">'[1]不动产比较法-办公'!$A$62:$M$62</definedName>
    <definedName name="办公交易情况">'不动产比较法-办公'!$A$62:$M$62</definedName>
    <definedName name="办公楼层" localSheetId="11">'[1]不动产比较法-办公'!$B$89:$M$89</definedName>
    <definedName name="办公楼层">'不动产比较法-办公'!$B$89:$M$89</definedName>
    <definedName name="办公内部装修" localSheetId="11">'[1]不动产比较法-办公'!$B$123:$M$123</definedName>
    <definedName name="办公内部装修">'不动产比较法-办公'!$B$123:$M$123</definedName>
    <definedName name="办公物业管理" localSheetId="11">'[1]不动产比较法-办公'!$B$115:$M$115</definedName>
    <definedName name="办公物业管理">'不动产比较法-办公'!$B$115:$M$115</definedName>
    <definedName name="办公用途" localSheetId="11">'[1]不动产比较法-办公'!$B$64:$M$64</definedName>
    <definedName name="办公用途">'不动产比较法-办公'!$B$64:$M$64</definedName>
    <definedName name="仓储公共部分装修" localSheetId="11">'[1]不动产比较法-仓储'!$B$77:$M$77</definedName>
    <definedName name="仓储公共部分装修">'不动产比较法-仓储'!$B$77:$M$77</definedName>
    <definedName name="仓储交易情况" localSheetId="11">'[1]不动产比较法-仓储'!$A$49:$M$49</definedName>
    <definedName name="仓储交易情况">'不动产比较法-仓储'!$A$49:$M$49</definedName>
    <definedName name="仓储楼层" localSheetId="11">'[1]不动产比较法-仓储'!$B$69:$M$69</definedName>
    <definedName name="仓储楼层">'不动产比较法-仓储'!$B$69:$M$69</definedName>
    <definedName name="仓储物业等级" localSheetId="11">'[1]不动产比较法-仓储'!$B$82:$M$82</definedName>
    <definedName name="仓储物业等级">'不动产比较法-仓储'!$B$82:$M$82</definedName>
    <definedName name="仓储用途" localSheetId="11">'[1]不动产比较法-仓储'!$B$51:$M$51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'不动产比较法-车位'!$B$83:$M$83</definedName>
    <definedName name="车位交易情况" localSheetId="11">'[1]不动产比较法-车位'!$A$51:$M$51</definedName>
    <definedName name="车位交易情况">'不动产比较法-车位'!$A$51:$M$51</definedName>
    <definedName name="车位类型" localSheetId="11">'[1]不动产比较法-车位'!$B$93:$M$93</definedName>
    <definedName name="车位类型">'不动产比较法-车位'!$B$93:$M$93</definedName>
    <definedName name="车位楼层" localSheetId="11">'[1]不动产比较法-车位'!$B$71:$M$71</definedName>
    <definedName name="车位楼层">'不动产比较法-车位'!$B$71:$M$71</definedName>
    <definedName name="车位配套类型" localSheetId="11">'[1]不动产比较法-车位'!$B$79:$M$79</definedName>
    <definedName name="车位配套类型">'不动产比较法-车位'!$B$79:$M$79</definedName>
    <definedName name="车位物业等级" localSheetId="11">'[1]不动产比较法-车位'!$B$88:$M$88</definedName>
    <definedName name="车位物业等级">'不动产比较法-车位'!$B$88:$M$88</definedName>
    <definedName name="车位用途" localSheetId="11">'[1]不动产比较法-车位'!$B$53:$M$53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[1]定义!$G$2:$G$4</definedName>
    <definedName name="法定最高年限">定义!$G$2:$G$4</definedName>
    <definedName name="工业公共部分装修" localSheetId="11">'[1]不动产比较法-工业'!$B$95:$M$95</definedName>
    <definedName name="工业公共部分装修">'不动产比较法-工业'!$B$95:$M$95</definedName>
    <definedName name="工业基础设施水平" localSheetId="11">'[1]不动产比较法-工业'!$B$102:$M$102</definedName>
    <definedName name="工业基础设施水平">'不动产比较法-工业'!$B$102:$M$102</definedName>
    <definedName name="工业建筑结构" localSheetId="11">'[1]不动产比较法-工业'!$B$93:$M$93</definedName>
    <definedName name="工业建筑结构">'不动产比较法-工业'!$B$93:$M$93</definedName>
    <definedName name="工业建筑类型" localSheetId="11">'[1]不动产比较法-工业'!$B$88:$M$88</definedName>
    <definedName name="工业建筑类型">'不动产比较法-工业'!$B$88:$M$88</definedName>
    <definedName name="工业交易情况" localSheetId="11">'[1]不动产比较法-工业'!$A$55:$M$55</definedName>
    <definedName name="工业交易情况">'不动产比较法-工业'!$A$55:$M$55</definedName>
    <definedName name="工业内部装修" localSheetId="11">'[1]不动产比较法-工业'!$B$104:$M$104</definedName>
    <definedName name="工业内部装修">'不动产比较法-工业'!$B$104:$M$104</definedName>
    <definedName name="工业物业管理" localSheetId="11">'[1]不动产比较法-工业'!$B$100:$M$100</definedName>
    <definedName name="工业物业管理">'不动产比较法-工业'!$B$100:$M$100</definedName>
    <definedName name="工业用途" localSheetId="11">'[1]不动产比较法-工业'!$B$57:$M$57</definedName>
    <definedName name="工业用途">'不动产比较法-工业'!$B$57:$M$57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基准地价!$N$19:$AG$19</definedName>
    <definedName name="季度2014">地价!$A$2:$A$19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'[1]不动产比较法-商业'!$B$116:$M$116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'不动产比较法-商业'!$B$107:$M$107</definedName>
    <definedName name="商业基础设施水平" localSheetId="11">'[1]不动产比较法-商业'!$B$112:$M$112</definedName>
    <definedName name="商业基础设施水平">'不动产比较法-商业'!$B$112:$M$112</definedName>
    <definedName name="商业建筑结构" localSheetId="11">'[1]不动产比较法-商业'!$B$105:$M$105</definedName>
    <definedName name="商业建筑结构">'不动产比较法-商业'!$B$105:$M$105</definedName>
    <definedName name="商业交易情况" localSheetId="11">'[1]不动产比较法-商业'!$A$61:$M$61</definedName>
    <definedName name="商业交易情况">'不动产比较法-商业'!$A$61:$M$61</definedName>
    <definedName name="商业街名称" localSheetId="11">[1]修正!$C$59:$C$119</definedName>
    <definedName name="商业街名称">修正!$C$59:$C$119</definedName>
    <definedName name="商业进深比" localSheetId="11">'[1]不动产比较法-商业'!$B$120:$M$120</definedName>
    <definedName name="商业进深比">'不动产比较法-商业'!$B$120:$M$120</definedName>
    <definedName name="商业类型" localSheetId="11">'[1]不动产比较法-商业'!$B$100:$M$100</definedName>
    <definedName name="商业类型">'不动产比较法-商业'!$B$100:$M$100</definedName>
    <definedName name="商业临街状况" localSheetId="11">'[1]不动产比较法-商业'!$B$86:$M$86</definedName>
    <definedName name="商业临街状况">'不动产比较法-商业'!$B$86:$M$86</definedName>
    <definedName name="商业楼层" localSheetId="11">'[1]不动产比较法-商业'!$B$92:$M$92</definedName>
    <definedName name="商业楼层">'不动产比较法-商业'!$B$92:$M$92</definedName>
    <definedName name="商业内部装修" localSheetId="11">'[1]不动产比较法-商业'!$B$122:$M$122</definedName>
    <definedName name="商业内部装修">'不动产比较法-商业'!$B$122:$M$122</definedName>
    <definedName name="商业人流量" localSheetId="11">'[1]不动产比较法-商业'!$B$90:$M$90</definedName>
    <definedName name="商业人流量">'不动产比较法-商业'!$B$90:$M$90</definedName>
    <definedName name="商业业态" localSheetId="11">'[1]不动产比较法-商业'!$B$114:$M$114</definedName>
    <definedName name="商业业态">'不动产比较法-商业'!$B$114:$M$114</definedName>
    <definedName name="商业用途" localSheetId="11">'[1]不动产比较法-商业'!$B$63:$M$63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1">'[1]不动产比较法-仓储'!$B$89:$M$89</definedName>
    <definedName name="是否封闭">'不动产比较法-仓储'!$B$89:$M$89</definedName>
    <definedName name="是否直接入户" localSheetId="11">'[1]不动产比较法-车位'!$B$95:$M$95</definedName>
    <definedName name="是否直接入户">'不动产比较法-车位'!$B$95:$M$95</definedName>
    <definedName name="四级">区片价!$L$1:$L$28</definedName>
    <definedName name="套工交易情况" localSheetId="8">'比较法-住宅、综合 (2)'!$A$75:$M$75</definedName>
    <definedName name="套工交易情况" localSheetId="20">'比较法-住宅、综合 (商业)'!$A$75:$M$75</definedName>
    <definedName name="套工交易情况" localSheetId="11">'[1]比较法-住宅、综合'!$A$75:$M$75</definedName>
    <definedName name="套工交易情况">'比较法-住宅、综合'!$A$75:$M$75</definedName>
    <definedName name="套工土地级别" localSheetId="11">'[1]比较法-工业'!$B$101:$M$101</definedName>
    <definedName name="套工土地级别">'比较法-工业'!$B$101:$M$101</definedName>
    <definedName name="套工用途" localSheetId="11">'[1]比较法-工业'!$B$72:$M$72</definedName>
    <definedName name="套工用途">'比较法-工业'!$B$72:$M$72</definedName>
    <definedName name="套综道路等级" localSheetId="8">'比较法-住宅、综合 (2)'!$B$108:$M$108</definedName>
    <definedName name="套综道路等级" localSheetId="20">'比较法-住宅、综合 (商业)'!$B$108:$M$108</definedName>
    <definedName name="套综道路等级" localSheetId="11">'[1]比较法-住宅、综合'!$B$108:$M$108</definedName>
    <definedName name="套综道路等级">'比较法-住宅、综合'!$B$108:$M$108</definedName>
    <definedName name="套综工程地质条件" localSheetId="8">'比较法-住宅、综合 (2)'!$B$127:$M$127</definedName>
    <definedName name="套综工程地质条件" localSheetId="20">'比较法-住宅、综合 (商业)'!$B$127:$M$127</definedName>
    <definedName name="套综工程地质条件" localSheetId="11">'[1]比较法-住宅、综合'!$B$127:$M$127</definedName>
    <definedName name="套综工程地质条件">'比较法-住宅、综合'!$B$127:$M$127</definedName>
    <definedName name="套综交易情况" localSheetId="8">'比较法-住宅、综合 (2)'!$A$75:$M$75</definedName>
    <definedName name="套综交易情况" localSheetId="20">'比较法-住宅、综合 (商业)'!$A$75:$M$75</definedName>
    <definedName name="套综交易情况" localSheetId="11">'[1]比较法-住宅、综合'!$A$75:$M$75</definedName>
    <definedName name="套综交易情况">'比较法-住宅、综合'!$A$75:$M$75</definedName>
    <definedName name="套综临街宽度及深度" localSheetId="8">'比较法-住宅、综合 (2)'!$B$123:$M$123</definedName>
    <definedName name="套综临街宽度及深度" localSheetId="20">'比较法-住宅、综合 (商业)'!$B$123:$M$123</definedName>
    <definedName name="套综临街宽度及深度" localSheetId="11">'[1]比较法-住宅、综合'!$B$123:$M$123</definedName>
    <definedName name="套综临街宽度及深度">'比较法-住宅、综合'!$B$123:$M$123</definedName>
    <definedName name="套综土地级别" localSheetId="8">'比较法-住宅、综合 (2)'!$B$110:$M$110</definedName>
    <definedName name="套综土地级别" localSheetId="20">'比较法-住宅、综合 (商业)'!$B$110:$M$110</definedName>
    <definedName name="套综土地级别" localSheetId="11">'[1]比较法-住宅、综合'!$B$110:$M$110</definedName>
    <definedName name="套综土地级别">'比较法-住宅、综合'!$B$110:$M$110</definedName>
    <definedName name="套综用途" localSheetId="8">'比较法-住宅、综合 (2)'!$B$77:$M$77</definedName>
    <definedName name="套综用途" localSheetId="20">'比较法-住宅、综合 (商业)'!$B$77:$M$77</definedName>
    <definedName name="套综用途" localSheetId="11">'[1]比较法-住宅、综合'!$B$77:$M$77</definedName>
    <definedName name="套综用途">'比较法-住宅、综合'!$B$77:$M$77</definedName>
    <definedName name="套综宗地内开发程度" localSheetId="8">'比较法-住宅、综合 (2)'!$B$125:$M$125</definedName>
    <definedName name="套综宗地内开发程度" localSheetId="20">'比较法-住宅、综合 (商业)'!$B$125:$M$125</definedName>
    <definedName name="套综宗地内开发程度" localSheetId="11">'[1]比较法-住宅、综合'!$B$125:$M$125</definedName>
    <definedName name="套综宗地内开发程度">'比较法-住宅、综合'!$B$125:$M$125</definedName>
    <definedName name="套综宗地形状" localSheetId="8">'比较法-住宅、综合 (2)'!$B$121:$M$121</definedName>
    <definedName name="套综宗地形状" localSheetId="20">'比较法-住宅、综合 (商业)'!$B$121:$M$121</definedName>
    <definedName name="套综宗地形状" localSheetId="11">'[1]比较法-住宅、综合'!$B$121:$M$121</definedName>
    <definedName name="套综宗地形状">'比较法-住宅、综合'!$B$121:$M$121</definedName>
    <definedName name="土地估价师" localSheetId="11">[1]估价师及机构信息!$D$3:$D$24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 localSheetId="11">'[1]数据-汇总表'!$C$17:$C$26</definedName>
    <definedName name="项目类型">'数据-汇总表'!$C$17:$C$26</definedName>
    <definedName name="写字楼等级" localSheetId="11">'[1]不动产比较法-办公'!$B$113:$M$113</definedName>
    <definedName name="写字楼等级">'不动产比较法-办公'!$B$113:$M$113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[1]定义!$A$1:$A$50</definedName>
    <definedName name="用途类型">定义!$A$1:$A$50</definedName>
    <definedName name="有无电梯" localSheetId="11">'[1]不动产比较法-仓储'!$B$84:$M$84</definedName>
    <definedName name="有无电梯">'不动产比较法-仓储'!$B$84:$M$84</definedName>
    <definedName name="主用途" localSheetId="11">[1]定义!$F$1:$F$10</definedName>
    <definedName name="主用途">定义!$F$1:$F$10</definedName>
    <definedName name="住宅朝向" localSheetId="11">'[1]不动产比较法-住宅'!$B$88:$M$88</definedName>
    <definedName name="住宅朝向">'不动产比较法-住宅'!$B$88:$M$88</definedName>
    <definedName name="住宅房型" localSheetId="11">'[1]不动产比较法-住宅'!$B$118:$M$118</definedName>
    <definedName name="住宅房型">'不动产比较法-住宅'!$B$118:$M$118</definedName>
    <definedName name="住宅公共部分装修" localSheetId="11">'[1]不动产比较法-住宅'!$B$109:$M$109</definedName>
    <definedName name="住宅公共部分装修">'不动产比较法-住宅'!$B$109:$M$109</definedName>
    <definedName name="住宅基础设施水平" localSheetId="11">'[1]不动产比较法-住宅'!$B$116:$M$116</definedName>
    <definedName name="住宅基础设施水平">'不动产比较法-住宅'!$B$116:$M$116</definedName>
    <definedName name="住宅建筑结构" localSheetId="11">'[1]不动产比较法-住宅'!$B$105:$M$105</definedName>
    <definedName name="住宅建筑结构">'不动产比较法-住宅'!$B$105:$M$105</definedName>
    <definedName name="住宅建筑类型" localSheetId="11">'[1]不动产比较法-住宅'!$B$100:$M$100</definedName>
    <definedName name="住宅建筑类型">'不动产比较法-住宅'!$B$100:$M$100</definedName>
    <definedName name="住宅建筑品质" localSheetId="11">'[1]不动产比较法-住宅'!$B$107:$M$107</definedName>
    <definedName name="住宅建筑品质">'不动产比较法-住宅'!$B$107:$M$107</definedName>
    <definedName name="住宅交易情况" localSheetId="11">'[1]不动产比较法-住宅'!$A$61:$M$61</definedName>
    <definedName name="住宅交易情况">'不动产比较法-住宅'!$A$61:$M$61</definedName>
    <definedName name="住宅楼层" localSheetId="11">'[1]不动产比较法-住宅'!$B$86:$M$86</definedName>
    <definedName name="住宅楼层">'不动产比较法-住宅'!$B$86:$M$86</definedName>
    <definedName name="住宅内部装修" localSheetId="11">'[1]不动产比较法-住宅'!$B$122:$M$122</definedName>
    <definedName name="住宅内部装修">'不动产比较法-住宅'!$B$122:$M$122</definedName>
    <definedName name="住宅物业管理" localSheetId="11">'[1]不动产比较法-住宅'!$B$114:$M$114</definedName>
    <definedName name="住宅物业管理">'不动产比较法-住宅'!$B$114:$M$114</definedName>
    <definedName name="住宅用途" localSheetId="11">'[1]不动产比较法-住宅'!$B$63:$M$63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 i="72" l="1"/>
  <c r="C14" i="72"/>
  <c r="B14" i="72"/>
  <c r="B1" i="72" s="1"/>
  <c r="F23" i="72"/>
  <c r="E23" i="72"/>
  <c r="F22" i="72"/>
  <c r="E22" i="72"/>
  <c r="F21" i="72"/>
  <c r="E21" i="72"/>
  <c r="F20" i="72"/>
  <c r="E20" i="72"/>
  <c r="F19" i="72"/>
  <c r="E19" i="72"/>
  <c r="F18" i="72"/>
  <c r="E18" i="72"/>
  <c r="F17" i="72"/>
  <c r="E17" i="72"/>
  <c r="F16" i="72"/>
  <c r="E16" i="72"/>
  <c r="F15" i="72"/>
  <c r="E15" i="72"/>
  <c r="I14" i="72"/>
  <c r="H14" i="72"/>
  <c r="B7" i="72" s="1"/>
  <c r="G14" i="72"/>
  <c r="B8" i="72"/>
  <c r="B6" i="72"/>
  <c r="B2" i="72"/>
  <c r="D6" i="72" l="1"/>
  <c r="D8" i="72"/>
  <c r="C8" i="72"/>
  <c r="C6" i="72"/>
  <c r="C7" i="72"/>
  <c r="D7" i="72"/>
  <c r="C11" i="34" l="1"/>
  <c r="K13" i="3" l="1"/>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D109" i="71"/>
  <c r="E109" i="71" s="1"/>
  <c r="F109" i="71" s="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6" i="67"/>
  <c r="I2" i="67"/>
  <c r="G109" i="71" l="1"/>
  <c r="F34" i="71"/>
  <c r="AA34" i="71" s="1"/>
  <c r="H34" i="71"/>
  <c r="AB34" i="71" s="1"/>
  <c r="F21" i="71"/>
  <c r="AA21" i="71" s="1"/>
  <c r="J21" i="71"/>
  <c r="E55" i="71"/>
  <c r="F55" i="71" s="1"/>
  <c r="D70" i="71"/>
  <c r="C72" i="71"/>
  <c r="U10" i="71"/>
  <c r="AA10" i="71"/>
  <c r="AC10" i="71"/>
  <c r="U11" i="71"/>
  <c r="S14" i="71"/>
  <c r="W14" i="71"/>
  <c r="U15" i="71"/>
  <c r="S16" i="71"/>
  <c r="W16" i="71"/>
  <c r="S17" i="71"/>
  <c r="W17" i="71"/>
  <c r="S19" i="71"/>
  <c r="W19" i="71"/>
  <c r="W23" i="71"/>
  <c r="AA25" i="71"/>
  <c r="S25" i="71"/>
  <c r="S11" i="71"/>
  <c r="W11" i="71"/>
  <c r="U14" i="71"/>
  <c r="S15" i="71"/>
  <c r="W15" i="71"/>
  <c r="U16" i="71"/>
  <c r="U17" i="71"/>
  <c r="U19" i="71"/>
  <c r="U21" i="71"/>
  <c r="S23" i="71"/>
  <c r="W25" i="71"/>
  <c r="S27" i="71"/>
  <c r="W27" i="71"/>
  <c r="S29" i="71"/>
  <c r="W29" i="71"/>
  <c r="S31" i="71"/>
  <c r="W31" i="71"/>
  <c r="U33" i="71"/>
  <c r="S34" i="71"/>
  <c r="U36" i="71"/>
  <c r="S37" i="71"/>
  <c r="W37" i="71"/>
  <c r="U38" i="71"/>
  <c r="S39" i="71"/>
  <c r="W39" i="71"/>
  <c r="U41" i="71"/>
  <c r="S42" i="71"/>
  <c r="W42" i="71"/>
  <c r="U43" i="71"/>
  <c r="S44" i="71"/>
  <c r="W44" i="71"/>
  <c r="U45" i="71"/>
  <c r="S46" i="71"/>
  <c r="W46" i="71"/>
  <c r="U23" i="71"/>
  <c r="U25" i="71"/>
  <c r="U27" i="71"/>
  <c r="U29" i="71"/>
  <c r="U31" i="71"/>
  <c r="S33" i="71"/>
  <c r="W33" i="71"/>
  <c r="U34"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H109" i="71" l="1"/>
  <c r="I109" i="71" s="1"/>
  <c r="J109" i="71" s="1"/>
  <c r="K109" i="71" s="1"/>
  <c r="L109" i="71" s="1"/>
  <c r="M109" i="71" s="1"/>
  <c r="J34" i="71"/>
  <c r="S21" i="71"/>
  <c r="W21" i="71"/>
  <c r="AC21" i="71"/>
  <c r="D72" i="71"/>
  <c r="E70" i="71"/>
  <c r="E70" i="68"/>
  <c r="D72" i="68"/>
  <c r="F20" i="6"/>
  <c r="AH6" i="1"/>
  <c r="H2" i="67"/>
  <c r="H3" i="67" s="1"/>
  <c r="F2" i="67"/>
  <c r="D2" i="67"/>
  <c r="H6" i="67"/>
  <c r="G3" i="67"/>
  <c r="F3" i="67"/>
  <c r="AC34" i="71" l="1"/>
  <c r="W34" i="71"/>
  <c r="AH7" i="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I4" i="65"/>
  <c r="J7" i="65"/>
  <c r="I6" i="65"/>
  <c r="I3" i="65"/>
  <c r="N5" i="65"/>
  <c r="I5" i="65"/>
  <c r="N6" i="65"/>
  <c r="N3" i="65"/>
  <c r="J5" i="65"/>
  <c r="J3" i="65"/>
  <c r="I7" i="65"/>
  <c r="N4" i="65"/>
  <c r="L72" i="71" l="1"/>
  <c r="M70" i="71"/>
  <c r="M70" i="68"/>
  <c r="L72" i="68"/>
  <c r="J1" i="65"/>
  <c r="C4" i="65"/>
  <c r="B39" i="1" s="1"/>
  <c r="J6" i="65"/>
  <c r="E3" i="65"/>
  <c r="J4"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D90" i="34"/>
  <c r="C15" i="34"/>
  <c r="F67" i="34"/>
  <c r="G67" i="34" s="1"/>
  <c r="H10" i="34" s="1"/>
  <c r="AB10" i="34" s="1"/>
  <c r="D126" i="34"/>
  <c r="E126" i="34" s="1"/>
  <c r="D124" i="34"/>
  <c r="E124" i="34" s="1"/>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F40" i="34"/>
  <c r="AA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c r="D81" i="21"/>
  <c r="E81" i="21"/>
  <c r="F81" i="21" s="1"/>
  <c r="G81" i="21" s="1"/>
  <c r="D77" i="21"/>
  <c r="E77" i="21"/>
  <c r="B130" i="21"/>
  <c r="B128" i="21"/>
  <c r="B126" i="21"/>
  <c r="B98" i="21"/>
  <c r="B96" i="21"/>
  <c r="B94" i="21"/>
  <c r="B92" i="21"/>
  <c r="B90" i="21"/>
  <c r="B74" i="21"/>
  <c r="B72" i="21"/>
  <c r="H13" i="21" s="1"/>
  <c r="B70" i="21"/>
  <c r="F12"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c r="H35" i="21"/>
  <c r="AB35" i="21" s="1"/>
  <c r="J8" i="21"/>
  <c r="AC8" i="21" s="1"/>
  <c r="J9" i="21"/>
  <c r="H8" i="21"/>
  <c r="H9" i="21"/>
  <c r="AB9" i="21" s="1"/>
  <c r="H39" i="21"/>
  <c r="AB39" i="21" s="1"/>
  <c r="J34" i="21"/>
  <c r="W34" i="21" s="1"/>
  <c r="H36" i="21"/>
  <c r="U36" i="21" s="1"/>
  <c r="F35" i="21"/>
  <c r="S35" i="21" s="1"/>
  <c r="H26" i="21"/>
  <c r="F19" i="21"/>
  <c r="AA19" i="21" s="1"/>
  <c r="H19" i="21"/>
  <c r="AB19" i="21" s="1"/>
  <c r="J19" i="21"/>
  <c r="W19" i="21" s="1"/>
  <c r="J12" i="21"/>
  <c r="H12" i="21"/>
  <c r="J26" i="21"/>
  <c r="W26" i="21" s="1"/>
  <c r="F26" i="21"/>
  <c r="AB41" i="21"/>
  <c r="S41" i="21"/>
  <c r="AA41" i="21"/>
  <c r="W41" i="21"/>
  <c r="S38" i="39"/>
  <c r="S10" i="39"/>
  <c r="U11"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G120" i="34"/>
  <c r="H120" i="34" s="1"/>
  <c r="I120" i="34" s="1"/>
  <c r="J120" i="34" s="1"/>
  <c r="K120" i="34" s="1"/>
  <c r="L120" i="34" s="1"/>
  <c r="M120" i="34" s="1"/>
  <c r="U42" i="34"/>
  <c r="F118" i="34"/>
  <c r="E114" i="34"/>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AB40" i="34"/>
  <c r="H102" i="34"/>
  <c r="G88" i="34"/>
  <c r="J25" i="34" s="1"/>
  <c r="AA37" i="33"/>
  <c r="S37" i="33"/>
  <c r="G85" i="33"/>
  <c r="W42" i="34"/>
  <c r="AA42" i="34"/>
  <c r="AC34" i="21"/>
  <c r="J42" i="21"/>
  <c r="AC42" i="21" s="1"/>
  <c r="J10" i="35"/>
  <c r="W10" i="35" s="1"/>
  <c r="AL5" i="3"/>
  <c r="BQ13" i="3"/>
  <c r="BL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AB14" i="21"/>
  <c r="W14" i="21"/>
  <c r="AC14" i="21"/>
  <c r="W42" i="21"/>
  <c r="U36" i="37"/>
  <c r="AC13" i="36"/>
  <c r="U32" i="36"/>
  <c r="AB45" i="33"/>
  <c r="AB31" i="33"/>
  <c r="AA27" i="33"/>
  <c r="AB27" i="33"/>
  <c r="AA31" i="21"/>
  <c r="W13" i="21"/>
  <c r="AC28" i="33"/>
  <c r="AA30" i="21"/>
  <c r="U28" i="21"/>
  <c r="AC26" i="21"/>
  <c r="F77" i="21"/>
  <c r="G77" i="21" s="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S12" i="2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D3" i="21"/>
  <c r="AC33" i="36"/>
  <c r="AC12" i="35"/>
  <c r="W23" i="35"/>
  <c r="AC23" i="37"/>
  <c r="S27" i="37"/>
  <c r="U39" i="37"/>
  <c r="AC8" i="37"/>
  <c r="S25" i="37"/>
  <c r="AB8" i="34"/>
  <c r="W14" i="33"/>
  <c r="AA13" i="33"/>
  <c r="AC45" i="33"/>
  <c r="U19" i="21"/>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AA37" i="21"/>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S37" i="3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J40" i="34"/>
  <c r="W40" i="34" s="1"/>
  <c r="G118" i="34"/>
  <c r="F16" i="35"/>
  <c r="AA16" i="35" s="1"/>
  <c r="AA24" i="36"/>
  <c r="S24" i="36"/>
  <c r="W42" i="33"/>
  <c r="J35" i="34"/>
  <c r="W35" i="34" s="1"/>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AB12" i="21"/>
  <c r="U12" i="21"/>
  <c r="H32" i="21"/>
  <c r="U32" i="21" s="1"/>
  <c r="AB26" i="21"/>
  <c r="U26" i="21"/>
  <c r="U39" i="21"/>
  <c r="W9" i="21"/>
  <c r="AC9" i="21"/>
  <c r="J32" i="21"/>
  <c r="AC32" i="21" s="1"/>
  <c r="G13" i="3"/>
  <c r="F85" i="21"/>
  <c r="G85" i="21" s="1"/>
  <c r="J23" i="21"/>
  <c r="AC23" i="21" s="1"/>
  <c r="H23" i="21"/>
  <c r="U23" i="21" s="1"/>
  <c r="F23" i="2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E80" i="34"/>
  <c r="F80" i="34" s="1"/>
  <c r="G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A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AC12" i="21"/>
  <c r="W12" i="21"/>
  <c r="AA35" i="21"/>
  <c r="U8" i="21"/>
  <c r="AB8" i="21"/>
  <c r="AA34" i="21"/>
  <c r="S34" i="21"/>
  <c r="AC36" i="21"/>
  <c r="W36" i="21"/>
  <c r="AB8" i="33"/>
  <c r="U8" i="33"/>
  <c r="E106" i="33"/>
  <c r="H34" i="33"/>
  <c r="F34" i="33"/>
  <c r="S34" i="33" s="1"/>
  <c r="E121" i="33"/>
  <c r="F41" i="33"/>
  <c r="S41" i="33" s="1"/>
  <c r="AA39" i="34"/>
  <c r="S40" i="34"/>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H37" i="34"/>
  <c r="U37" i="34" s="1"/>
  <c r="F15" i="39"/>
  <c r="AA15" i="39" s="1"/>
  <c r="H15" i="39"/>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AB15" i="39"/>
  <c r="U1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W15" i="39"/>
  <c r="I112" i="34"/>
  <c r="J112" i="34"/>
  <c r="K112" i="34" s="1"/>
  <c r="L112" i="34"/>
  <c r="M112" i="34" s="1"/>
  <c r="J37" i="34"/>
  <c r="AC37"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J17" i="34"/>
  <c r="W17"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S23" i="21"/>
  <c r="AA23" i="21"/>
  <c r="W17" i="37"/>
  <c r="AC17" i="37"/>
  <c r="U11" i="37"/>
  <c r="U13" i="39"/>
  <c r="AC16" i="35"/>
  <c r="AC13" i="40"/>
  <c r="AA33" i="37"/>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W23" i="34" l="1"/>
  <c r="H15" i="34"/>
  <c r="AB15" i="34" s="1"/>
  <c r="F78" i="34"/>
  <c r="F15" i="34" s="1"/>
  <c r="AA15" i="34" s="1"/>
  <c r="H17" i="34"/>
  <c r="AB17" i="34" s="1"/>
  <c r="G78" i="34"/>
  <c r="J15" i="34" s="1"/>
  <c r="W15" i="34" s="1"/>
  <c r="W13" i="39"/>
  <c r="S9" i="34"/>
  <c r="U10" i="34"/>
  <c r="J23" i="39"/>
  <c r="AC23" i="39" s="1"/>
  <c r="H21" i="39"/>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35" i="34"/>
  <c r="AC17" i="34"/>
  <c r="AC45" i="34"/>
  <c r="AB45" i="34"/>
  <c r="AB41" i="34"/>
  <c r="AB37" i="34"/>
  <c r="AB33" i="34"/>
  <c r="U23" i="34"/>
  <c r="F17" i="34"/>
  <c r="AA17" i="34" s="1"/>
  <c r="AC41" i="34"/>
  <c r="AA41" i="34"/>
  <c r="W38" i="34"/>
  <c r="AB38" i="34"/>
  <c r="S38" i="34"/>
  <c r="S23" i="34"/>
  <c r="S15" i="34"/>
  <c r="AA45" i="34"/>
  <c r="F44" i="34"/>
  <c r="F126" i="34"/>
  <c r="G126" i="34" s="1"/>
  <c r="J44" i="34" s="1"/>
  <c r="W44" i="34" s="1"/>
  <c r="U44" i="34"/>
  <c r="AC40" i="34"/>
  <c r="W37" i="34"/>
  <c r="W33" i="34"/>
  <c r="AB30" i="34"/>
  <c r="U30" i="34"/>
  <c r="AA32" i="34"/>
  <c r="S32" i="34"/>
  <c r="U32" i="34"/>
  <c r="J30" i="34"/>
  <c r="W31" i="34"/>
  <c r="F92" i="34"/>
  <c r="H28" i="34"/>
  <c r="AA27" i="34"/>
  <c r="U19" i="34"/>
  <c r="W9" i="34"/>
  <c r="S13"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O13" i="1" s="1"/>
  <c r="P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AB15" i="21"/>
  <c r="U13" i="21"/>
  <c r="AB13" i="21"/>
  <c r="U41" i="39"/>
  <c r="W27" i="39"/>
  <c r="BI5" i="3"/>
  <c r="BA21" i="3"/>
  <c r="AZ21" i="3" s="1"/>
  <c r="G18" i="3"/>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F21" i="39"/>
  <c r="J21" i="39"/>
  <c r="F93" i="39"/>
  <c r="G93" i="39" s="1"/>
  <c r="W14" i="39"/>
  <c r="S14" i="39"/>
  <c r="U39" i="39"/>
  <c r="F34" i="15"/>
  <c r="F61" i="15" s="1"/>
  <c r="F106" i="46"/>
  <c r="N106" i="46"/>
  <c r="K103" i="46"/>
  <c r="C104" i="46"/>
  <c r="A18" i="64"/>
  <c r="B74" i="63" s="1"/>
  <c r="C53" i="10"/>
  <c r="A25" i="64" s="1"/>
  <c r="A18" i="51"/>
  <c r="B14" i="63" s="1"/>
  <c r="A11" i="55"/>
  <c r="B62" i="63" s="1"/>
  <c r="M20" i="46"/>
  <c r="C19" i="46"/>
  <c r="BA16" i="3"/>
  <c r="BA17" i="3"/>
  <c r="F3" i="35"/>
  <c r="K1" i="43"/>
  <c r="K1" i="12"/>
  <c r="G1" i="44"/>
  <c r="I4" i="6"/>
  <c r="C11" i="21" s="1"/>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5" i="44"/>
  <c r="M24" i="15"/>
  <c r="F9" i="44"/>
  <c r="F28" i="44"/>
  <c r="F13" i="15"/>
  <c r="C35" i="44"/>
  <c r="L48" i="15"/>
  <c r="M31" i="44"/>
  <c r="F10" i="44"/>
  <c r="F6" i="15"/>
  <c r="F40" i="15"/>
  <c r="M30" i="44"/>
  <c r="M29" i="44"/>
  <c r="M8" i="44"/>
  <c r="M11" i="44"/>
  <c r="F38" i="15"/>
  <c r="M29" i="15"/>
  <c r="M10" i="44"/>
  <c r="F18" i="44"/>
  <c r="F8" i="15"/>
  <c r="M28" i="15"/>
  <c r="F39" i="44"/>
  <c r="F11" i="44"/>
  <c r="F37" i="15"/>
  <c r="F15" i="44"/>
  <c r="M26" i="44"/>
  <c r="F43" i="44"/>
  <c r="M24" i="44"/>
  <c r="F45" i="44"/>
  <c r="M22" i="15"/>
  <c r="M28" i="44"/>
  <c r="F40" i="44"/>
  <c r="L47" i="15"/>
  <c r="F8" i="44"/>
  <c r="M8" i="15"/>
  <c r="F38" i="44"/>
  <c r="J17" i="44"/>
  <c r="J15" i="15"/>
  <c r="S17" i="34" l="1"/>
  <c r="U17" i="34"/>
  <c r="AC15" i="34"/>
  <c r="C109" i="46"/>
  <c r="J109" i="46"/>
  <c r="J103" i="46"/>
  <c r="K109" i="46"/>
  <c r="E106" i="46"/>
  <c r="K104" i="46"/>
  <c r="K105" i="46"/>
  <c r="K107" i="46"/>
  <c r="E58" i="68"/>
  <c r="E58" i="71"/>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M23" i="15"/>
  <c r="F7" i="15"/>
  <c r="M6" i="15"/>
  <c r="F26" i="15"/>
  <c r="AE7" i="1"/>
  <c r="C18" i="44"/>
  <c r="F16" i="15"/>
  <c r="F46" i="44"/>
  <c r="M9" i="15"/>
  <c r="M27" i="15"/>
  <c r="AE6" i="1"/>
  <c r="F43" i="15"/>
  <c r="F42" i="15"/>
  <c r="F36" i="15"/>
  <c r="J36" i="15"/>
  <c r="F9" i="15"/>
  <c r="M26" i="15"/>
  <c r="E63" i="68" l="1"/>
  <c r="E63" i="71"/>
  <c r="E64" i="39"/>
  <c r="E64" i="68"/>
  <c r="E64"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U12" i="40"/>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F41" i="15"/>
  <c r="C16" i="15"/>
  <c r="F68" i="15" l="1"/>
  <c r="W12" i="40"/>
  <c r="E68" i="68"/>
  <c r="E68" i="71"/>
  <c r="AA12" i="71"/>
  <c r="S12" i="71"/>
  <c r="AA12" i="68"/>
  <c r="S12" i="68"/>
  <c r="AB12" i="71"/>
  <c r="U12" i="71"/>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7" i="15"/>
  <c r="C19" i="44"/>
  <c r="B3" i="46" l="1"/>
  <c r="C32" i="15"/>
  <c r="C34" i="34"/>
  <c r="C33" i="21"/>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4" i="15"/>
  <c r="C16" i="44"/>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W34" i="34"/>
  <c r="AA34" i="34"/>
  <c r="S34" i="34"/>
  <c r="AB34" i="34"/>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AA40" i="71" l="1"/>
  <c r="S40" i="71"/>
  <c r="AB40" i="39"/>
  <c r="U40" i="39"/>
  <c r="AA40" i="39"/>
  <c r="S40" i="39"/>
  <c r="S40" i="68"/>
  <c r="AA40" i="68"/>
  <c r="R49" i="68" s="1"/>
  <c r="AC40" i="71"/>
  <c r="W40" i="71"/>
  <c r="U40" i="71"/>
  <c r="AB40" i="7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C13" i="71" s="1"/>
  <c r="R27" i="6"/>
  <c r="C18" i="43"/>
  <c r="C28" i="44"/>
  <c r="C31" i="44" s="1"/>
  <c r="K70" i="39"/>
  <c r="J72" i="39"/>
  <c r="K65" i="40"/>
  <c r="J67" i="40"/>
  <c r="C65" i="15"/>
  <c r="C59" i="15"/>
  <c r="J13" i="71" l="1"/>
  <c r="F13" i="71"/>
  <c r="H13" i="71"/>
  <c r="G54" i="68"/>
  <c r="H54" i="68" s="1"/>
  <c r="G53" i="68"/>
  <c r="H53" i="68" s="1"/>
  <c r="I53" i="68"/>
  <c r="J53" i="68" s="1"/>
  <c r="R50" i="68"/>
  <c r="E49" i="68"/>
  <c r="E52" i="21"/>
  <c r="F52" i="21" s="1"/>
  <c r="E53" i="21"/>
  <c r="F53" i="21" s="1"/>
  <c r="C49" i="21"/>
  <c r="B3" i="21" s="1"/>
  <c r="B2" i="21" s="1"/>
  <c r="C48" i="21"/>
  <c r="C8" i="12" s="1"/>
  <c r="C10" i="12" s="1"/>
  <c r="I5" i="6"/>
  <c r="C26" i="15"/>
  <c r="C29" i="15" s="1"/>
  <c r="J59" i="15" s="1"/>
  <c r="J60" i="15" s="1"/>
  <c r="Q49" i="15" s="1"/>
  <c r="C23" i="12"/>
  <c r="C19" i="43"/>
  <c r="C22" i="43" s="1"/>
  <c r="C21" i="43" s="1"/>
  <c r="J21" i="44"/>
  <c r="J19" i="44" s="1"/>
  <c r="C38" i="44"/>
  <c r="J16" i="44"/>
  <c r="C15" i="44"/>
  <c r="K67" i="40"/>
  <c r="L65" i="40"/>
  <c r="K72" i="39"/>
  <c r="L70" i="39"/>
  <c r="AB13" i="71" l="1"/>
  <c r="T49" i="71" s="1"/>
  <c r="G49" i="71" s="1"/>
  <c r="U13" i="71"/>
  <c r="AC13" i="71"/>
  <c r="V49" i="71" s="1"/>
  <c r="I49" i="71" s="1"/>
  <c r="I53" i="71" s="1"/>
  <c r="J53" i="71" s="1"/>
  <c r="W13" i="71"/>
  <c r="AA13" i="71"/>
  <c r="R49" i="71" s="1"/>
  <c r="S13" i="71"/>
  <c r="J11" i="34"/>
  <c r="F11" i="34"/>
  <c r="H11" i="34"/>
  <c r="E54" i="68"/>
  <c r="F54" i="68" s="1"/>
  <c r="E53" i="68"/>
  <c r="F53" i="68" s="1"/>
  <c r="I54" i="68"/>
  <c r="J54" i="68" s="1"/>
  <c r="C50" i="68"/>
  <c r="C49"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S11" i="34" l="1"/>
  <c r="AA11" i="34"/>
  <c r="R49" i="34" s="1"/>
  <c r="AB11" i="34"/>
  <c r="T49" i="34" s="1"/>
  <c r="G49" i="34" s="1"/>
  <c r="U11" i="34"/>
  <c r="W11" i="34"/>
  <c r="AC11" i="34"/>
  <c r="V49" i="34" s="1"/>
  <c r="I49" i="34" s="1"/>
  <c r="E49" i="71"/>
  <c r="R50" i="71"/>
  <c r="G54" i="71"/>
  <c r="H54" i="71" s="1"/>
  <c r="G53" i="71"/>
  <c r="H53" i="71" s="1"/>
  <c r="B66" i="68"/>
  <c r="F66" i="68" s="1"/>
  <c r="B63" i="68"/>
  <c r="F63" i="68" s="1"/>
  <c r="B59" i="68"/>
  <c r="F59" i="68" s="1"/>
  <c r="B58" i="68"/>
  <c r="F58" i="68" s="1"/>
  <c r="B67" i="68"/>
  <c r="F67" i="68" s="1"/>
  <c r="B64" i="68"/>
  <c r="F64" i="68" s="1"/>
  <c r="B61" i="68"/>
  <c r="F61" i="68" s="1"/>
  <c r="B62" i="68"/>
  <c r="F62" i="68" s="1"/>
  <c r="B60" i="68"/>
  <c r="F60" i="68"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C49" i="71" l="1"/>
  <c r="C50" i="71"/>
  <c r="I53" i="34"/>
  <c r="J53" i="34" s="1"/>
  <c r="R50" i="34"/>
  <c r="E49" i="34"/>
  <c r="E53" i="71"/>
  <c r="F53" i="71" s="1"/>
  <c r="E54" i="71"/>
  <c r="F54" i="71" s="1"/>
  <c r="I54" i="71"/>
  <c r="J54" i="71" s="1"/>
  <c r="G53" i="34"/>
  <c r="H53" i="34" s="1"/>
  <c r="G54" i="34"/>
  <c r="H54" i="34" s="1"/>
  <c r="F68" i="68"/>
  <c r="B2" i="68" s="1"/>
  <c r="Q70" i="15"/>
  <c r="Q69" i="15" s="1"/>
  <c r="C57" i="15"/>
  <c r="C66" i="15" s="1"/>
  <c r="C67" i="15" s="1"/>
  <c r="C46" i="15" s="1"/>
  <c r="J39" i="15"/>
  <c r="J40" i="15" s="1"/>
  <c r="L57" i="15"/>
  <c r="L60" i="15" s="1"/>
  <c r="Q67" i="15" s="1"/>
  <c r="B2" i="44"/>
  <c r="B4" i="44" s="1"/>
  <c r="B3" i="43"/>
  <c r="B5" i="43"/>
  <c r="B4" i="43"/>
  <c r="L46" i="15"/>
  <c r="B2" i="15" s="1"/>
  <c r="B3" i="15" s="1"/>
  <c r="Q57" i="15"/>
  <c r="C43" i="15"/>
  <c r="Q66" i="15"/>
  <c r="Q48" i="15"/>
  <c r="Q54" i="15" s="1"/>
  <c r="J42" i="15"/>
  <c r="J43" i="15" s="1"/>
  <c r="J9" i="40"/>
  <c r="F9" i="40"/>
  <c r="H9" i="40"/>
  <c r="J9" i="39"/>
  <c r="H9" i="39"/>
  <c r="F9" i="39"/>
  <c r="L51" i="15"/>
  <c r="E53" i="34" l="1"/>
  <c r="F53" i="34" s="1"/>
  <c r="E54" i="34"/>
  <c r="F54" i="34" s="1"/>
  <c r="I54" i="34"/>
  <c r="J54" i="34" s="1"/>
  <c r="B61" i="71"/>
  <c r="F61" i="71" s="1"/>
  <c r="B60" i="71"/>
  <c r="F60" i="71" s="1"/>
  <c r="B63" i="71"/>
  <c r="F63" i="71" s="1"/>
  <c r="B66" i="71"/>
  <c r="F66" i="71" s="1"/>
  <c r="B64" i="71"/>
  <c r="F64" i="71" s="1"/>
  <c r="B67" i="71"/>
  <c r="F67" i="71" s="1"/>
  <c r="B58" i="71"/>
  <c r="F58" i="71" s="1"/>
  <c r="B59" i="71"/>
  <c r="F59" i="71" s="1"/>
  <c r="B62" i="71"/>
  <c r="F62" i="71" s="1"/>
  <c r="C49" i="34"/>
  <c r="C50" i="34"/>
  <c r="B3" i="34" s="1"/>
  <c r="B5" i="68"/>
  <c r="B4" i="68"/>
  <c r="B3" i="68"/>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8" i="12" l="1"/>
  <c r="B2" i="34"/>
  <c r="D10" i="12" s="1"/>
  <c r="F68" i="71"/>
  <c r="B2" i="71" s="1"/>
  <c r="I48" i="40"/>
  <c r="J48" i="40" s="1"/>
  <c r="G48" i="40"/>
  <c r="H48" i="40" s="1"/>
  <c r="G49" i="40"/>
  <c r="H49" i="40" s="1"/>
  <c r="E44" i="40"/>
  <c r="R45" i="40"/>
  <c r="G53" i="39"/>
  <c r="H53" i="39" s="1"/>
  <c r="G54" i="39"/>
  <c r="H54" i="39" s="1"/>
  <c r="I53" i="39"/>
  <c r="J53" i="39" s="1"/>
  <c r="E49" i="39"/>
  <c r="R50" i="39"/>
  <c r="B3" i="71" l="1"/>
  <c r="B5" i="71"/>
  <c r="B4" i="7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20" i="9"/>
  <c r="D19" i="9"/>
  <c r="B5" i="12" l="1"/>
  <c r="B4" i="12"/>
  <c r="D22" i="9"/>
  <c r="L44" i="9"/>
  <c r="G19" i="9"/>
  <c r="G20" i="9"/>
  <c r="D21" i="9"/>
  <c r="C32" i="9" l="1"/>
  <c r="C33" i="9" s="1"/>
  <c r="G21" i="9"/>
  <c r="G22" i="9"/>
  <c r="N43" i="9"/>
  <c r="O38" i="9" l="1"/>
  <c r="K25" i="9" s="1"/>
  <c r="C34" i="9"/>
  <c r="E42" i="9" s="1"/>
  <c r="P5" i="54" s="1"/>
  <c r="B46" i="63" s="1"/>
  <c r="C35" i="9"/>
  <c r="F42" i="9" s="1"/>
  <c r="O43" i="9"/>
  <c r="C42" i="9"/>
  <c r="N38" i="9"/>
  <c r="K28" i="9" s="1"/>
  <c r="D42" i="9"/>
  <c r="Q5" i="54" s="1"/>
  <c r="B47" i="63" s="1"/>
  <c r="C44" i="9" l="1"/>
  <c r="O39" i="9" s="1"/>
  <c r="D14" i="72"/>
  <c r="K26" i="9"/>
  <c r="M38" i="9"/>
  <c r="K27" i="9" s="1"/>
  <c r="D63" i="9"/>
  <c r="D70" i="9" s="1"/>
  <c r="N68" i="9"/>
  <c r="R5" i="54"/>
  <c r="B48" i="63" s="1"/>
  <c r="D44" i="9" l="1"/>
  <c r="E44" i="9"/>
  <c r="F44" i="9"/>
  <c r="N69" i="9"/>
  <c r="F14" i="72"/>
  <c r="E14" i="72"/>
  <c r="B5" i="72"/>
  <c r="C90" i="9"/>
  <c r="C103" i="9"/>
  <c r="C82" i="9"/>
  <c r="C81" i="9" s="1"/>
  <c r="C85" i="9" s="1"/>
  <c r="C86" i="9" s="1"/>
  <c r="D72" i="9" s="1"/>
  <c r="C96" i="9"/>
  <c r="C91" i="9" s="1"/>
  <c r="D71" i="9"/>
  <c r="D66" i="9" s="1"/>
  <c r="N72" i="9" s="1"/>
  <c r="C111" i="9"/>
  <c r="C104" i="9" s="1"/>
  <c r="K29" i="9"/>
  <c r="K30" i="9" s="1"/>
  <c r="R6" i="54"/>
  <c r="B50" i="63" s="1"/>
  <c r="C5" i="72" l="1"/>
  <c r="D5" i="72"/>
  <c r="C113" i="9"/>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<sst xmlns="http://schemas.openxmlformats.org/spreadsheetml/2006/main" count="9285" uniqueCount="3763">
  <si>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</si>
  <si>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</si>
  <si>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</si>
  <si>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</si>
  <si>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</si>
  <si>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</si>
  <si>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</si>
  <si>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</si>
  <si>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</si>
  <si>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</si>
  <si>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</si>
  <si>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</si>
  <si>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</si>
  <si>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</si>
  <si>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</si>
  <si>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</si>
  <si>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</si>
  <si>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</si>
  <si>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</si>
  <si>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</si>
  <si>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</si>
  <si>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</si>
  <si>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</si>
  <si>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</si>
  <si>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</si>
  <si>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</si>
  <si>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</si>
  <si>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</si>
  <si>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</si>
  <si>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</si>
  <si>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</si>
  <si>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</si>
  <si>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</si>
  <si>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</si>
  <si>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</si>
  <si>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</si>
  <si>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</si>
  <si>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</si>
  <si>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</si>
  <si>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</si>
  <si>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</si>
  <si>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</si>
  <si>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</si>
  <si>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</si>
  <si>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</si>
  <si>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</si>
  <si>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</si>
  <si>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</si>
  <si>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</si>
  <si>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</si>
  <si>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</si>
  <si>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</si>
  <si>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</si>
  <si>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</si>
  <si>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</si>
  <si>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</si>
  <si>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</si>
  <si>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</si>
  <si>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</si>
  <si>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</si>
  <si>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</si>
  <si>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</si>
  <si>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</si>
  <si>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</si>
  <si>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</si>
  <si>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</si>
  <si>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</si>
  <si>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</si>
  <si>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</si>
  <si>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</si>
  <si>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</si>
  <si>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</si>
  <si>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</si>
  <si>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</si>
  <si>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</si>
  <si>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</si>
  <si>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</si>
  <si>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</si>
  <si>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</si>
  <si>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</si>
  <si>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</si>
  <si>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</si>
  <si>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</si>
  <si>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</si>
  <si>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</si>
  <si>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</si>
  <si>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</si>
  <si>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</si>
  <si>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</si>
  <si>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</si>
  <si>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</si>
  <si>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</si>
  <si>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</si>
  <si>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</si>
  <si>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</si>
  <si>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</si>
  <si>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</si>
  <si>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</si>
  <si>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</si>
  <si>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</si>
  <si>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</si>
  <si>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</si>
  <si>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</si>
  <si>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</si>
  <si>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</si>
  <si>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</si>
  <si>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</si>
  <si>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</si>
  <si>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</si>
  <si>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</si>
  <si>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</si>
  <si>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</si>
  <si>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</si>
  <si>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</si>
  <si>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</si>
  <si>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</si>
  <si>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</si>
  <si>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</si>
  <si>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</si>
  <si>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</si>
  <si>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</si>
  <si>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</si>
  <si>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</si>
  <si>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</si>
  <si>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</si>
  <si>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</si>
  <si>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</si>
  <si>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</si>
  <si>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</si>
  <si>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</si>
  <si>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</si>
  <si>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</si>
  <si>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</si>
  <si>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</si>
  <si>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</si>
  <si>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</si>
  <si>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</si>
  <si>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</si>
  <si>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</si>
  <si>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</si>
  <si>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</si>
  <si>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</si>
  <si>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</si>
  <si>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</si>
  <si>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</si>
  <si>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</si>
  <si>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</si>
  <si>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</si>
  <si>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</si>
  <si>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</si>
  <si>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</si>
  <si>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</si>
  <si>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</si>
  <si>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</si>
  <si>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</si>
  <si>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</si>
  <si>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</si>
  <si>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</si>
  <si>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</si>
  <si>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</si>
  <si>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</si>
  <si>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</si>
  <si>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</si>
  <si>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</si>
  <si>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</si>
  <si>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</si>
  <si>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</si>
  <si>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</si>
  <si>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</si>
  <si>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</si>
  <si>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</si>
  <si>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</si>
  <si>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</si>
  <si>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</si>
  <si>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</si>
  <si>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</si>
  <si>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</si>
  <si>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</si>
  <si>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</si>
  <si>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</si>
  <si>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</si>
  <si>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</si>
  <si>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</si>
  <si>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</si>
  <si>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</si>
  <si>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</si>
  <si>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</si>
  <si>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</si>
  <si>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</si>
  <si>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</si>
  <si>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</si>
  <si>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</si>
  <si>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</si>
  <si>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</si>
  <si>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</si>
  <si>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</si>
  <si>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</si>
  <si>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</si>
  <si>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</si>
  <si>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</si>
  <si>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</si>
  <si>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</si>
  <si>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</si>
  <si>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</si>
  <si>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</si>
  <si>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</si>
  <si>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</si>
  <si>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</si>
  <si>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</si>
  <si>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</si>
  <si>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</si>
  <si>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</si>
  <si>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</si>
  <si>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</si>
  <si>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</si>
  <si>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</si>
  <si>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</si>
  <si>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</si>
  <si>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</si>
  <si>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</si>
  <si>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</si>
  <si>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</si>
  <si>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</si>
  <si>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</si>
  <si>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</si>
  <si>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</si>
  <si>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</si>
  <si>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</si>
  <si>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</si>
  <si>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</si>
  <si>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</si>
  <si>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</si>
  <si>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</si>
  <si>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</si>
  <si>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</si>
  <si>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</si>
  <si>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</si>
  <si>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</si>
  <si>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</si>
  <si>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</si>
  <si>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</si>
  <si>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</si>
  <si>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</si>
  <si>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</si>
  <si>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</si>
  <si>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</si>
  <si>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</si>
  <si>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</si>
  <si>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</si>
  <si>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</si>
  <si>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</si>
  <si>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</si>
  <si>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</si>
  <si>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</si>
  <si>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</si>
  <si>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</si>
  <si>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</si>
  <si>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</si>
  <si>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</si>
  <si>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</si>
  <si>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</si>
  <si>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</si>
  <si>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</si>
  <si>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</si>
  <si>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</si>
  <si>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</si>
  <si>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</si>
  <si>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</si>
  <si>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</si>
  <si>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</si>
  <si>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</si>
  <si>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</si>
  <si>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</si>
  <si>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</si>
  <si>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</si>
  <si>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</si>
  <si>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</si>
  <si>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</si>
  <si>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</si>
  <si>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</si>
  <si>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</si>
  <si>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</si>
  <si>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</si>
  <si>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</si>
  <si>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</si>
  <si>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</si>
  <si>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</si>
  <si>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</si>
  <si>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</si>
  <si>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</si>
  <si>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</si>
  <si>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</si>
  <si>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</si>
  <si>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</si>
  <si>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</si>
  <si>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</si>
  <si>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</si>
  <si>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</si>
  <si>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</si>
  <si>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</si>
  <si>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</si>
  <si>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</si>
  <si>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</si>
  <si>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</si>
  <si>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</si>
  <si>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</si>
  <si>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</si>
  <si>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</si>
  <si>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</si>
  <si>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</si>
  <si>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</si>
  <si>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</si>
  <si>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</si>
  <si>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</si>
  <si>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</si>
  <si>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</si>
  <si>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</si>
  <si>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</si>
  <si>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</si>
  <si>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</si>
  <si>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</si>
  <si>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</si>
  <si>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</si>
  <si>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</si>
  <si>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</si>
  <si>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</si>
  <si>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</si>
  <si>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</si>
  <si>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</si>
  <si>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</si>
  <si>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</si>
  <si>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</si>
  <si>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</si>
  <si>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</si>
  <si>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</si>
  <si>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</si>
  <si>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</si>
  <si>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</si>
  <si>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</si>
  <si>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</si>
  <si>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</si>
  <si>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</si>
  <si>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</si>
  <si>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</si>
  <si>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</si>
  <si>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</si>
  <si>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</si>
  <si>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</si>
  <si>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</si>
  <si>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</si>
  <si>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</si>
  <si>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</si>
  <si>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</si>
  <si>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</si>
  <si>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</si>
  <si>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</si>
  <si>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</si>
  <si>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</si>
  <si>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</si>
  <si>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</si>
  <si>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</si>
  <si>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</si>
  <si>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</si>
  <si>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</si>
  <si>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</si>
  <si>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</si>
  <si>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</si>
  <si>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</si>
  <si>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</si>
  <si>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</si>
  <si>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</si>
  <si>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</si>
  <si>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</si>
  <si>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</si>
  <si>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</si>
  <si>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</si>
  <si>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</si>
  <si>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</si>
  <si>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</si>
  <si>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</si>
  <si>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</si>
  <si>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</si>
  <si>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</si>
  <si>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</si>
  <si>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</si>
  <si>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</si>
  <si>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</si>
  <si>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</si>
  <si>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</si>
  <si>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</si>
  <si>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</si>
  <si>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</si>
  <si>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</si>
  <si>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</si>
  <si>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</si>
  <si>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</si>
  <si>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</si>
  <si>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</si>
  <si>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</si>
  <si>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</si>
  <si>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</si>
  <si>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</si>
  <si>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</si>
  <si>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</si>
  <si>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</si>
  <si>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</si>
  <si>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</si>
  <si>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</si>
  <si>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</si>
  <si>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</si>
  <si>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</si>
  <si>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</si>
  <si>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</si>
  <si>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</si>
  <si>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</si>
  <si>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</si>
  <si>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</si>
  <si>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</si>
  <si>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</si>
  <si>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</si>
  <si>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</si>
  <si>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</si>
  <si>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</si>
  <si>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</si>
  <si>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</si>
  <si>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</si>
  <si>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</si>
  <si>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</si>
  <si>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</si>
  <si>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</si>
  <si>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</si>
  <si>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</si>
  <si>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</si>
  <si>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</si>
  <si>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</si>
  <si>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</si>
  <si>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</si>
  <si>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</si>
  <si>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</si>
  <si>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</si>
  <si>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</si>
  <si>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</si>
  <si>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</si>
  <si>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</si>
  <si>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</si>
  <si>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</si>
  <si>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</si>
  <si>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</si>
  <si>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</si>
  <si>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</si>
  <si>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</si>
  <si>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</si>
  <si>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</si>
  <si>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</si>
  <si>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</si>
  <si>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</si>
  <si>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</si>
  <si>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</si>
  <si>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</si>
  <si>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</si>
  <si>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</si>
  <si>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</si>
  <si>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</si>
  <si>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</si>
  <si>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</si>
  <si>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</si>
  <si>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</si>
  <si>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</si>
  <si>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</si>
  <si>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</si>
  <si>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</si>
  <si>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</si>
  <si>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</si>
  <si>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</si>
  <si>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</si>
  <si>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</si>
  <si>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</si>
  <si>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</si>
  <si>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</si>
  <si>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</si>
  <si>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</si>
  <si>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</si>
  <si>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</si>
  <si>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</si>
  <si>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</si>
  <si>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</si>
  <si>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</si>
  <si>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</si>
  <si>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</si>
  <si>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</si>
  <si>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</si>
  <si>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</si>
  <si>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</si>
  <si>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</si>
  <si>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</si>
  <si>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</si>
  <si>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</si>
  <si>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</si>
  <si>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</si>
  <si>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</si>
  <si>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</si>
  <si>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</si>
  <si>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</si>
  <si>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</si>
  <si>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</si>
  <si>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</si>
  <si>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</si>
  <si>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</si>
  <si>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</si>
  <si>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</si>
  <si>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</si>
  <si>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</si>
  <si>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</si>
  <si>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</si>
  <si>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</si>
  <si>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</si>
  <si>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</si>
  <si>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</si>
  <si>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</si>
  <si>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</si>
  <si>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</si>
  <si>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</si>
  <si>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</si>
  <si>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</si>
  <si>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</si>
  <si>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</si>
  <si>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</si>
  <si>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</si>
  <si>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</si>
  <si>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</si>
  <si>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</si>
  <si>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</si>
  <si>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</si>
  <si>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</si>
  <si>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</si>
  <si>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</si>
  <si>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</si>
  <si>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</si>
  <si>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</si>
  <si>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</si>
  <si>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</si>
  <si>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</si>
  <si>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</si>
  <si>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</si>
  <si>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</si>
  <si>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</si>
  <si>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</si>
  <si>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</si>
  <si>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</si>
  <si>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</si>
  <si>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</si>
  <si>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</si>
  <si>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</si>
  <si>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</si>
  <si>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</si>
  <si>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</si>
  <si>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</si>
  <si>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</si>
  <si>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</si>
  <si>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</si>
  <si>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</si>
  <si>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</si>
  <si>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</si>
  <si>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</si>
  <si>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</si>
  <si>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</si>
  <si>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</si>
  <si>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</si>
  <si>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</si>
  <si>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</si>
  <si>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</si>
  <si>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</si>
  <si>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</si>
  <si>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</si>
  <si>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</si>
  <si>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</si>
  <si>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</si>
  <si>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</si>
  <si>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</si>
  <si>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</si>
  <si>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</si>
  <si>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</si>
  <si>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</si>
  <si>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</si>
  <si>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</si>
  <si>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</si>
  <si>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</si>
  <si>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</si>
  <si>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</si>
  <si>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</si>
  <si>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</si>
  <si>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</si>
  <si>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</si>
  <si>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</si>
  <si>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</si>
  <si>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</si>
  <si>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</si>
  <si>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</si>
  <si>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</si>
  <si>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</si>
  <si>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</si>
  <si>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</si>
  <si>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</si>
  <si>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</si>
  <si>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</si>
  <si>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</si>
  <si>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</si>
  <si>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</si>
  <si>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</si>
  <si>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</si>
  <si>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</si>
  <si>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</si>
  <si>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</si>
  <si>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</si>
  <si>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</si>
  <si>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</si>
  <si>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</si>
  <si>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</si>
  <si>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</si>
  <si>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</si>
  <si>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</si>
  <si>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</si>
  <si>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</si>
  <si>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</si>
  <si>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</si>
  <si>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</si>
  <si>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</si>
  <si>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</si>
  <si>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</si>
  <si>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</si>
  <si>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</si>
  <si>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</si>
  <si>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</si>
  <si>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</si>
  <si>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</si>
  <si>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</si>
  <si>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</si>
  <si>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</si>
  <si>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</si>
  <si>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</si>
  <si>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</si>
  <si>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</si>
  <si>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</si>
  <si>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</si>
  <si>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</si>
  <si>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</si>
  <si>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</si>
  <si>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</si>
  <si>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</si>
  <si>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</si>
  <si>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</si>
  <si>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</si>
  <si>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</si>
  <si>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</si>
  <si>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</si>
  <si>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</si>
  <si>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</si>
  <si>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</si>
  <si>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</si>
  <si>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</si>
  <si>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</si>
  <si>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</si>
  <si>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</si>
  <si>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</si>
  <si>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</si>
  <si>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</si>
  <si>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</si>
  <si>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</si>
  <si>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</si>
  <si>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</si>
  <si>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</si>
  <si>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</si>
  <si>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</si>
  <si>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</si>
  <si>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</si>
  <si>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</si>
  <si>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</si>
  <si>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</si>
  <si>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</si>
  <si>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</si>
  <si>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</si>
  <si>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</si>
  <si>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</si>
  <si>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</si>
  <si>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</si>
  <si>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</si>
  <si>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</si>
  <si>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</si>
  <si>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</si>
  <si>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</si>
  <si>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</si>
  <si>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</si>
  <si>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</si>
  <si>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</si>
  <si>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</si>
  <si>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</si>
  <si>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</si>
  <si>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</si>
  <si>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</si>
  <si>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</si>
  <si>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</si>
  <si>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</si>
  <si>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</si>
  <si>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</si>
  <si>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</si>
  <si>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</si>
  <si>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</si>
  <si>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</si>
  <si>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</si>
  <si>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</si>
  <si>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</si>
  <si>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</si>
  <si>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</si>
  <si>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</si>
  <si>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</si>
  <si>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</si>
  <si>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</si>
  <si>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</si>
  <si>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</si>
  <si>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</si>
  <si>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</si>
  <si>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</si>
  <si>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</si>
  <si>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</si>
  <si>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</si>
  <si>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</si>
  <si>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</si>
  <si>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</si>
  <si>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</si>
  <si>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</si>
  <si>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</si>
  <si>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</si>
  <si>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</si>
  <si>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</si>
  <si>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</si>
  <si>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</si>
  <si>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</si>
  <si>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</si>
  <si>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</si>
  <si>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</si>
  <si>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</si>
  <si>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</si>
  <si>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</si>
  <si>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</si>
  <si>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</si>
  <si>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</si>
  <si>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</si>
  <si>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</si>
  <si>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</si>
  <si>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</si>
  <si>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</si>
  <si>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</si>
  <si>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</si>
  <si>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</si>
  <si>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</si>
  <si>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</si>
  <si>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</si>
  <si>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</si>
  <si>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</si>
  <si>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</si>
  <si>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</si>
  <si>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</si>
  <si>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</si>
  <si>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</si>
  <si>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</si>
  <si>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</si>
  <si>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</si>
  <si>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</si>
  <si>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</si>
  <si>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</si>
  <si>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</si>
  <si>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</si>
  <si>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</si>
  <si>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</si>
  <si>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</si>
  <si>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</si>
  <si>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</si>
  <si>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</si>
  <si>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</si>
  <si>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</si>
  <si>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</si>
  <si>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</si>
  <si>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</si>
  <si>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</si>
  <si>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</si>
  <si>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</si>
  <si>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</si>
  <si>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</si>
  <si>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</si>
  <si>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</si>
  <si>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</si>
  <si>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</si>
  <si>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</si>
  <si>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</si>
  <si>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</si>
  <si>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</si>
  <si>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</si>
  <si>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</si>
  <si>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</si>
  <si>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</si>
  <si>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</si>
  <si>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</si>
  <si>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</si>
  <si>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</si>
  <si>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</si>
  <si>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</si>
  <si>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</si>
  <si>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</si>
  <si>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</si>
  <si>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</si>
  <si>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</si>
  <si>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</si>
  <si>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</si>
  <si>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</si>
  <si>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</si>
  <si>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</si>
  <si>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</si>
  <si>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</si>
  <si>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</si>
  <si>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</si>
  <si>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</si>
  <si>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</si>
  <si>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</si>
  <si>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</si>
  <si>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</si>
  <si>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</si>
  <si>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</si>
  <si>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</si>
  <si>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</si>
  <si>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</si>
  <si>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</si>
  <si>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</si>
  <si>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</si>
  <si>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</si>
  <si>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</si>
  <si>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</si>
  <si>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</si>
  <si>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</si>
  <si>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</si>
  <si>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</si>
  <si>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</si>
  <si>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</si>
  <si>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</si>
  <si>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</si>
  <si>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</si>
  <si>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</si>
  <si>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</si>
  <si>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</si>
  <si>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</si>
  <si>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</si>
  <si>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</si>
  <si>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</si>
  <si>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</si>
  <si>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</si>
  <si>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</si>
  <si>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</si>
  <si>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</si>
  <si>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</si>
  <si>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</si>
  <si>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</si>
  <si>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</si>
  <si>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</si>
  <si>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</si>
  <si>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</si>
  <si>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</si>
  <si>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</si>
  <si>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</si>
  <si>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</si>
  <si>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</si>
  <si>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</si>
  <si>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</si>
  <si>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</si>
  <si>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</si>
  <si>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</si>
  <si>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</si>
  <si>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</si>
  <si>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</si>
  <si>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</si>
  <si>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</si>
  <si>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</si>
  <si>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</si>
  <si>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</si>
  <si>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</si>
  <si>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</si>
  <si>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</si>
  <si>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</si>
  <si>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</si>
  <si>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</si>
  <si>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</si>
  <si>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</si>
  <si>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</si>
  <si>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</si>
  <si>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</si>
  <si>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</si>
  <si>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</si>
  <si>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</si>
  <si>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</si>
  <si>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</si>
  <si>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</si>
  <si>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</si>
  <si>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</si>
  <si>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</si>
  <si>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</si>
  <si>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</si>
  <si>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</si>
  <si>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</si>
  <si>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</si>
  <si>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</si>
  <si>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</si>
  <si>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</si>
  <si>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</si>
  <si>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</si>
  <si>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</si>
  <si>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</si>
  <si>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</si>
  <si>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</si>
  <si>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</si>
  <si>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</si>
  <si>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</si>
  <si>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</si>
  <si>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</si>
  <si>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</si>
  <si>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</si>
  <si>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</si>
  <si>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</si>
  <si>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</si>
  <si>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</si>
  <si>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</si>
  <si>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</si>
  <si>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</si>
  <si>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</si>
  <si>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</si>
  <si>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</si>
  <si>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</si>
  <si>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</si>
  <si>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</si>
  <si>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</si>
  <si>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</si>
  <si>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</si>
  <si>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</si>
  <si>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</si>
  <si>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</si>
  <si>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</si>
  <si>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</si>
  <si>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</si>
  <si>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</si>
  <si>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</si>
  <si>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</si>
  <si>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</si>
  <si>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</si>
  <si>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</si>
  <si>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</si>
  <si>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</si>
  <si>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</si>
  <si>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</si>
  <si>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</si>
  <si>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</si>
  <si>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</si>
  <si>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</si>
  <si>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</si>
  <si>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</si>
  <si>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</si>
  <si>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</si>
  <si>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</si>
  <si>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</si>
  <si>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</si>
  <si>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</si>
  <si>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</si>
  <si>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</si>
  <si>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</si>
  <si>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</si>
  <si>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</si>
  <si>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</si>
  <si>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</si>
  <si>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</si>
  <si>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</si>
  <si>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</si>
  <si>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</si>
  <si>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</si>
  <si>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</si>
  <si>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</si>
  <si>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</si>
  <si>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</si>
  <si>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</si>
  <si>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</si>
  <si>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</si>
  <si>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</si>
  <si>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</si>
  <si>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</si>
  <si>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</si>
  <si>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</si>
  <si>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</si>
  <si>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</si>
  <si>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</si>
  <si>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</si>
  <si>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</si>
  <si>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</si>
  <si>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</si>
  <si>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</si>
  <si>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</si>
  <si>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</si>
  <si>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</si>
  <si>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</si>
  <si>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</si>
  <si>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</si>
  <si>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</si>
  <si>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</si>
  <si>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</si>
  <si>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</si>
  <si>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</si>
  <si>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</si>
  <si>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</si>
  <si>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</si>
  <si>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</si>
  <si>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</si>
  <si>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</si>
  <si>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</si>
  <si>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</si>
  <si>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</si>
  <si>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</si>
  <si>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</si>
  <si>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</si>
  <si>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</si>
  <si>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</si>
  <si>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</si>
  <si>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</si>
  <si>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</si>
  <si>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</si>
  <si>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</si>
  <si>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</si>
  <si>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</si>
  <si>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</si>
  <si>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</si>
  <si>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</si>
  <si>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</si>
  <si>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</si>
  <si>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</si>
  <si>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</si>
  <si>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</si>
  <si>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</si>
  <si>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</si>
  <si>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</si>
  <si>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</si>
  <si>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</si>
  <si>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</si>
  <si>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</si>
  <si>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</si>
  <si>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</si>
  <si>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</si>
  <si>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</si>
  <si>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</si>
  <si>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</si>
  <si>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</si>
  <si>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</si>
  <si>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</si>
  <si>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</si>
  <si>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</si>
  <si>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</si>
  <si>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</si>
  <si>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</si>
  <si>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</si>
  <si>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</si>
  <si>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</si>
  <si>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</si>
  <si>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</si>
  <si>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</si>
  <si>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</si>
  <si>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</si>
  <si>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</si>
  <si>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</si>
  <si>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</si>
  <si>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</si>
  <si>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</si>
  <si>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</si>
  <si>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</si>
  <si>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</si>
  <si>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</si>
  <si>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</si>
  <si>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</si>
  <si>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</si>
  <si>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</si>
  <si>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</si>
  <si>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</si>
  <si>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</si>
  <si>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</si>
  <si>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</si>
  <si>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</si>
  <si>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</si>
  <si>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</si>
  <si>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</si>
  <si>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</si>
  <si>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</si>
  <si>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</si>
  <si>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</si>
  <si>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</si>
  <si>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</si>
  <si>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</si>
  <si>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</si>
  <si>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</si>
  <si>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</si>
  <si>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</si>
  <si>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</si>
  <si>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</si>
  <si>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</si>
  <si>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</si>
  <si>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</si>
  <si>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</si>
  <si>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</si>
  <si>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</si>
  <si>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</si>
  <si>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</si>
  <si>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</si>
  <si>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</si>
  <si>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</si>
  <si>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</si>
  <si>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</si>
  <si>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</si>
  <si>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</si>
  <si>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</si>
  <si>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</si>
  <si>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</si>
  <si>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</si>
  <si>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</si>
  <si>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</si>
  <si>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</si>
  <si>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</si>
  <si>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</si>
  <si>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</si>
  <si>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</si>
  <si>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</si>
  <si>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</si>
  <si>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</si>
  <si>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</si>
  <si>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</si>
  <si>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</si>
  <si>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</si>
  <si>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</si>
  <si>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</si>
  <si>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</si>
  <si>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</si>
  <si>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</si>
  <si>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</si>
  <si>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</si>
  <si>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</si>
  <si>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</si>
  <si>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</si>
  <si>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</si>
  <si>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</si>
  <si>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</si>
  <si>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</si>
  <si>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</si>
  <si>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</si>
  <si>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</si>
  <si>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</si>
  <si>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</si>
  <si>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</si>
  <si>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</si>
  <si>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</si>
  <si>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</si>
  <si>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</si>
  <si>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</si>
  <si>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</si>
  <si>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</si>
  <si>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</si>
  <si>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</si>
  <si>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</si>
  <si>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</si>
  <si>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</si>
  <si>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</si>
  <si>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</si>
  <si>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</si>
  <si>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</si>
  <si>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</si>
  <si>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</si>
  <si>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</si>
  <si>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</si>
  <si>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</si>
  <si>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</si>
  <si>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</si>
  <si>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</si>
  <si>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</si>
  <si>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</si>
  <si>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</si>
  <si>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</si>
  <si>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</si>
  <si>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</si>
  <si>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</si>
  <si>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</si>
  <si>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</si>
  <si>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</si>
  <si>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</si>
  <si>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</si>
  <si>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</si>
  <si>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</si>
  <si>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</si>
  <si>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</si>
  <si>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</si>
  <si>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</si>
  <si>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</si>
  <si>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</si>
  <si>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</si>
  <si>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</si>
  <si>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</si>
  <si>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</si>
  <si>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</si>
  <si>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</si>
  <si>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</si>
  <si>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</si>
  <si>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</si>
  <si>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</si>
  <si>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</si>
  <si>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</si>
  <si>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</si>
  <si>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</si>
  <si>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</si>
  <si>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</si>
  <si>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</si>
  <si>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</si>
  <si>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</si>
  <si>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</si>
  <si>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</si>
  <si>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</si>
  <si>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</si>
  <si>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</si>
  <si>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</si>
  <si>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</si>
  <si>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</si>
  <si>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</si>
  <si>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</si>
  <si>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</si>
  <si>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</si>
  <si>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</si>
  <si>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</si>
  <si>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</si>
  <si>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</si>
  <si>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</si>
  <si>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</si>
  <si>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</si>
  <si>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</si>
  <si>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</si>
  <si>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</si>
  <si>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</si>
  <si>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</si>
  <si>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</si>
  <si>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</si>
  <si>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</si>
  <si>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</si>
  <si>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</si>
  <si>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</si>
  <si>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</si>
  <si>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</si>
  <si>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</si>
  <si>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</si>
  <si>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</si>
  <si>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</si>
  <si>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</si>
  <si>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</si>
  <si>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</si>
  <si>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</si>
  <si>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</si>
  <si>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</si>
  <si>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</si>
  <si>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</si>
  <si>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</si>
  <si>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</si>
  <si>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</si>
  <si>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</si>
  <si>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</si>
  <si>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</si>
  <si>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</si>
  <si>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</si>
  <si>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</si>
  <si>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</si>
  <si>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</si>
  <si>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</si>
  <si>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</si>
  <si>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</si>
  <si>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</si>
  <si>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</si>
  <si>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</si>
  <si>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</si>
  <si>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</si>
  <si>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</si>
  <si>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</si>
  <si>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</si>
  <si>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</si>
  <si>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</si>
  <si>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</si>
  <si>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</si>
  <si>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</si>
  <si>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</si>
  <si>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</si>
  <si>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</si>
  <si>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</si>
  <si>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</si>
  <si>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</si>
  <si>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</si>
  <si>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</si>
  <si>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</si>
  <si>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</si>
  <si>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</si>
  <si>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</si>
  <si>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</si>
  <si>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</si>
  <si>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</si>
  <si>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</si>
  <si>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</si>
  <si>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</si>
  <si>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</si>
  <si>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</si>
  <si>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</si>
  <si>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</si>
  <si>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</si>
  <si>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</si>
  <si>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</si>
  <si>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</si>
  <si>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</si>
  <si>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</si>
  <si>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</si>
  <si>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</si>
  <si>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</si>
  <si>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</si>
  <si>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</si>
  <si>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</si>
  <si>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</si>
  <si>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</si>
  <si>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</si>
  <si>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</si>
  <si>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</si>
  <si>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</si>
  <si>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</si>
  <si>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</si>
  <si>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</si>
  <si>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</si>
  <si>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</si>
  <si>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</si>
  <si>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</si>
  <si>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</si>
  <si>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</si>
  <si>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</si>
  <si>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</si>
  <si>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</si>
  <si>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</si>
  <si>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</si>
  <si>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</si>
  <si>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</si>
  <si>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</si>
  <si>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</si>
  <si>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</si>
  <si>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</si>
  <si>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</si>
  <si>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</si>
  <si>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</si>
  <si>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</si>
  <si>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</si>
  <si>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</si>
  <si>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</si>
  <si>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</si>
  <si>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</si>
  <si>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</si>
  <si>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</si>
  <si>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</si>
  <si>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</si>
  <si>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</si>
  <si>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</si>
  <si>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</si>
  <si>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</si>
  <si>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</si>
  <si>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</si>
  <si>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</si>
  <si>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</si>
  <si>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</si>
  <si>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</si>
  <si>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</si>
  <si>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</si>
  <si>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</si>
  <si>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</si>
  <si>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</si>
  <si>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</si>
  <si>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</si>
  <si>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</si>
  <si>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</si>
  <si>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</si>
  <si>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</si>
  <si>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</si>
  <si>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</si>
  <si>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</si>
  <si>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</si>
  <si>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</si>
  <si>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</si>
  <si>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</si>
  <si>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</si>
  <si>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</si>
  <si>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</si>
  <si>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</si>
  <si>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</si>
  <si>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</si>
  <si>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</si>
  <si>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</si>
  <si>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</si>
  <si>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</si>
  <si>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</si>
  <si>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</si>
  <si>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</si>
  <si>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</si>
  <si>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</si>
  <si>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</si>
  <si>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</si>
  <si>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</si>
  <si>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</si>
  <si>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</si>
  <si>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</si>
  <si>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</si>
  <si>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</si>
  <si>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</si>
  <si>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</si>
  <si>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</si>
  <si>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</si>
  <si>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</si>
  <si>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</si>
  <si>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</si>
  <si>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</si>
  <si>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</si>
  <si>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</si>
  <si>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</si>
  <si>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</si>
  <si>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</si>
  <si>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</si>
  <si>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</si>
  <si>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</si>
  <si>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</si>
  <si>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</si>
  <si>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</si>
  <si>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</si>
  <si>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</si>
  <si>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</si>
  <si>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</si>
  <si>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</si>
  <si>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</si>
  <si>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</si>
  <si>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</si>
  <si>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</si>
  <si>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</si>
  <si>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</si>
  <si>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</si>
  <si>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</si>
  <si>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</si>
  <si>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</si>
  <si>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</si>
  <si>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</si>
  <si>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</si>
  <si>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</si>
  <si>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</si>
  <si>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</si>
  <si>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</si>
  <si>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</si>
  <si>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</si>
  <si>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</si>
  <si>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</si>
  <si>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</si>
  <si>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</si>
  <si>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</si>
  <si>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</si>
  <si>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</si>
  <si>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</si>
  <si>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</si>
  <si>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</si>
  <si>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</si>
  <si>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</si>
  <si>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</si>
  <si>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</si>
  <si>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</si>
  <si>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</si>
  <si>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</si>
  <si>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</si>
  <si>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</si>
  <si>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</si>
  <si>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</si>
  <si>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</si>
  <si>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</si>
  <si>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</si>
  <si>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</si>
  <si>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</si>
  <si>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</si>
  <si>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</si>
  <si>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</si>
  <si>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</si>
  <si>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</si>
  <si>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</si>
  <si>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</si>
  <si>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</si>
  <si>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</si>
  <si>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</si>
  <si>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</si>
  <si>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</si>
  <si>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</si>
  <si>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</si>
  <si>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</si>
  <si>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</si>
  <si>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</si>
  <si>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</si>
  <si>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</si>
  <si>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</si>
  <si>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</si>
  <si>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</si>
  <si>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</si>
  <si>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</si>
  <si>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</si>
  <si>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</si>
  <si>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</si>
  <si>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</si>
  <si>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</si>
  <si>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</si>
  <si>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</si>
  <si>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</si>
  <si>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</si>
  <si>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</si>
  <si>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</si>
  <si>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</si>
  <si>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</si>
  <si>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</si>
  <si>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</si>
  <si>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</si>
  <si>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</si>
  <si>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</si>
  <si>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</si>
  <si>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</si>
  <si>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</si>
  <si>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</si>
  <si>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</si>
  <si>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</si>
  <si>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</si>
  <si>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</si>
  <si>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</si>
  <si>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</si>
  <si>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</si>
  <si>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</si>
  <si>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</si>
  <si>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</si>
  <si>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</si>
  <si>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</si>
  <si>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</si>
  <si>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</si>
  <si>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</si>
  <si>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</si>
  <si>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</si>
  <si>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</si>
  <si>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</si>
  <si>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</si>
  <si>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</si>
  <si>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</si>
  <si>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</si>
  <si>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</si>
  <si>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</si>
  <si>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</si>
  <si>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</si>
  <si>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</si>
  <si>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</si>
  <si>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</si>
  <si>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</si>
  <si>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</si>
  <si>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</si>
  <si>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</si>
  <si>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</si>
  <si>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</si>
  <si>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</si>
  <si>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</si>
  <si>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</si>
  <si>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</si>
  <si>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</si>
  <si>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</si>
  <si>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</si>
  <si>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</si>
  <si>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</si>
  <si>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</si>
  <si>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</si>
  <si>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</si>
  <si>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</si>
  <si>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</si>
  <si>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</si>
  <si>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</si>
  <si>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</si>
  <si>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</si>
  <si>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</si>
  <si>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</si>
  <si>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</si>
  <si>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</si>
  <si>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</si>
  <si>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</si>
  <si>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</si>
  <si>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</si>
  <si>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</si>
  <si>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</si>
  <si>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</si>
  <si>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</si>
  <si>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</si>
  <si>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</si>
  <si>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</si>
  <si>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</si>
  <si>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</si>
  <si>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</si>
  <si>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</si>
  <si>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</si>
  <si>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</si>
  <si>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</si>
  <si>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</si>
  <si>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</si>
  <si>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</si>
  <si>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</si>
  <si>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</si>
  <si>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</si>
  <si>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</si>
  <si>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</si>
  <si>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</si>
  <si>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</si>
  <si>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</si>
  <si>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</si>
  <si>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</si>
  <si>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</si>
  <si>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</si>
  <si>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</si>
  <si>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</si>
  <si>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</si>
  <si>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</si>
  <si>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</si>
  <si>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</si>
  <si>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</si>
  <si>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</si>
  <si>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</si>
  <si>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</si>
  <si>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</si>
  <si>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</si>
  <si>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</si>
  <si>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</si>
  <si>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</si>
  <si>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</si>
  <si>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</si>
  <si>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</si>
  <si>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</si>
  <si>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</si>
  <si>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</si>
  <si>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</si>
  <si>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</si>
  <si>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</si>
  <si>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</si>
  <si>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</si>
  <si>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</si>
  <si>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</si>
  <si>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</si>
  <si>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</si>
  <si>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</si>
  <si>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</si>
  <si>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</si>
  <si>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</si>
  <si>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</si>
  <si>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</si>
  <si>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</si>
  <si>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</si>
  <si>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</si>
  <si>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</si>
  <si>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</si>
  <si>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</si>
  <si>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</si>
  <si>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</si>
  <si>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</si>
  <si>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</si>
  <si>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</si>
  <si>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</si>
  <si>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</si>
  <si>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</si>
  <si>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</si>
  <si>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</si>
  <si>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</si>
  <si>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</si>
  <si>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</si>
  <si>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</si>
  <si>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</si>
  <si>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</si>
  <si>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</si>
  <si>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</si>
  <si>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</si>
  <si>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</si>
  <si>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</si>
  <si>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</si>
  <si>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</si>
  <si>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</si>
  <si>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</si>
  <si>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</si>
  <si>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</si>
  <si>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</si>
  <si>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</si>
  <si>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</si>
  <si>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</si>
  <si>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</si>
  <si>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</si>
  <si>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</si>
  <si>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</si>
  <si>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</si>
  <si>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</si>
  <si>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</si>
  <si>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</si>
  <si>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</si>
  <si>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</si>
  <si>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</si>
  <si>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</si>
  <si>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</si>
  <si>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</si>
  <si>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</si>
  <si>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</si>
  <si>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</si>
  <si>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</si>
  <si>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</si>
  <si>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</si>
  <si>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</si>
  <si>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</si>
  <si>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</si>
  <si>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</si>
  <si>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</si>
  <si>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</si>
  <si>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</si>
  <si>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</si>
  <si>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</si>
  <si>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</si>
  <si>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</si>
  <si>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</si>
  <si>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</si>
  <si>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</si>
  <si>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</si>
  <si>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</si>
  <si>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</si>
  <si>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</si>
  <si>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</si>
  <si>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</si>
  <si>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</si>
  <si>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</si>
  <si>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</si>
  <si>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</si>
  <si>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</si>
  <si>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</si>
  <si>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</si>
  <si>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</si>
  <si>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</si>
  <si>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</si>
  <si>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</si>
  <si>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</si>
  <si>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</si>
  <si>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</si>
  <si>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</si>
  <si>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</si>
  <si>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</si>
  <si>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</si>
  <si>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</si>
  <si>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</si>
  <si>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</si>
  <si>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</si>
  <si>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</si>
  <si>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</si>
  <si>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</si>
  <si>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</si>
  <si>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</si>
  <si>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</si>
  <si>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</si>
  <si>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</si>
  <si>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</si>
  <si>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</si>
  <si>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</si>
  <si>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</si>
  <si>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</si>
  <si>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</si>
  <si>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</si>
  <si>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</si>
  <si>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</si>
  <si>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</si>
  <si>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</si>
  <si>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</si>
  <si>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</si>
  <si>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</si>
  <si>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</si>
  <si>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</si>
  <si>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</si>
  <si>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</si>
  <si>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</si>
  <si>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</si>
  <si>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</si>
  <si>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</si>
  <si>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</si>
  <si>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</si>
  <si>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</si>
  <si>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</si>
  <si>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</si>
  <si>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</si>
  <si>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</si>
  <si>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</si>
  <si>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</si>
  <si>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</si>
  <si>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</si>
  <si>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</si>
  <si>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</si>
  <si>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</si>
  <si>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</si>
  <si>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</si>
  <si>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</si>
  <si>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</si>
  <si>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</si>
  <si>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</si>
  <si>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</si>
  <si>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</si>
  <si>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</si>
  <si>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</si>
  <si>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</si>
  <si>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</si>
  <si>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</si>
  <si>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</si>
  <si>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</si>
  <si>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</si>
  <si>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</si>
  <si>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</si>
  <si>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</si>
  <si>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</si>
  <si>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</si>
  <si>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</si>
  <si>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</si>
  <si>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</si>
  <si>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</si>
  <si>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</si>
  <si>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</si>
  <si>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</si>
  <si>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</si>
  <si>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</si>
  <si>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</si>
  <si>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</si>
  <si>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</si>
  <si>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</si>
  <si>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</si>
  <si>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</si>
  <si>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</si>
  <si>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</si>
  <si>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</si>
  <si>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</si>
  <si>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</si>
  <si>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</si>
  <si>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</si>
  <si>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</si>
  <si>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</si>
  <si>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</si>
  <si>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</si>
  <si>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</si>
  <si>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</si>
  <si>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</si>
  <si>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</si>
  <si>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</si>
  <si>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</si>
  <si>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</si>
  <si>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</si>
  <si>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</si>
  <si>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</si>
  <si>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</si>
  <si>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</si>
  <si>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</si>
  <si>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</si>
  <si>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</si>
  <si>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</si>
  <si>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</si>
  <si>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</si>
  <si>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</si>
  <si>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</si>
  <si>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</si>
  <si>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</si>
  <si>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</si>
  <si>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</si>
  <si>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</si>
  <si>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</si>
  <si>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</si>
  <si>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</si>
  <si>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</si>
  <si>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</si>
  <si>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</si>
  <si>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</si>
  <si>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</si>
  <si>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</si>
  <si>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</si>
  <si>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</si>
  <si>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</si>
  <si>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</si>
  <si>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</si>
  <si>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</si>
  <si>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</si>
  <si>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</si>
  <si>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</si>
  <si>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</si>
  <si>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</si>
  <si>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</si>
  <si>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</si>
  <si>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</si>
  <si>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</si>
  <si>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</si>
  <si>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</si>
  <si>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</si>
  <si>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</si>
  <si>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</si>
  <si>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</si>
  <si>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</si>
  <si>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</si>
  <si>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</si>
  <si>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</si>
  <si>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</si>
  <si>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</si>
  <si>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</si>
  <si>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</si>
  <si>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</si>
  <si>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</si>
  <si>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</si>
  <si>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</si>
  <si>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</si>
  <si>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</si>
  <si>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</si>
  <si>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</si>
  <si>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</si>
  <si>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</si>
  <si>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</si>
  <si>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</si>
  <si>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</si>
  <si>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</si>
  <si>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</si>
  <si>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</si>
  <si>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</si>
  <si>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</si>
  <si>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</si>
  <si>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</si>
  <si>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</si>
  <si>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</si>
  <si>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</si>
  <si>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</si>
  <si>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</si>
  <si>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</si>
  <si>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</si>
  <si>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</si>
  <si>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</si>
  <si>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</si>
  <si>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</si>
  <si>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</si>
  <si>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</si>
  <si>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</si>
  <si>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</si>
  <si>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</si>
  <si>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</si>
  <si>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</si>
  <si>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</si>
  <si>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</si>
  <si>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</si>
  <si>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</si>
  <si>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</si>
  <si>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</si>
  <si>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</si>
  <si>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</si>
  <si>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</si>
  <si>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</si>
  <si>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</si>
  <si>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</si>
  <si>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</si>
  <si>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</si>
  <si>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</si>
  <si>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</si>
  <si>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</si>
  <si>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</si>
  <si>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</si>
  <si>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</si>
  <si>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</si>
  <si>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</si>
  <si>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</si>
  <si>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</si>
  <si>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</si>
  <si>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</si>
  <si>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</si>
  <si>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</si>
  <si>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</si>
  <si>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</si>
  <si>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</si>
  <si>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</si>
  <si>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</si>
  <si>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</si>
  <si>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</si>
  <si>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</si>
  <si>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</si>
  <si>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</si>
  <si>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</si>
  <si>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</si>
  <si>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</si>
  <si>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</si>
  <si>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</si>
  <si>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</si>
  <si>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</si>
  <si>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</si>
  <si>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</si>
  <si>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</si>
  <si>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</si>
  <si>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</si>
  <si>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</si>
  <si>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</si>
  <si>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</si>
  <si>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</si>
  <si>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</si>
  <si>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</si>
  <si>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</si>
  <si>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</si>
  <si>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</si>
  <si>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</si>
  <si>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</si>
  <si>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</si>
  <si>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</si>
  <si>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</si>
  <si>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</si>
  <si>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</si>
  <si>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</si>
  <si>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</si>
  <si>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</si>
  <si>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</si>
  <si>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</si>
  <si>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</si>
  <si>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</si>
  <si>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</si>
  <si>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</si>
  <si>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</si>
  <si>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</si>
  <si>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</si>
  <si>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</si>
  <si>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</si>
  <si>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</si>
  <si>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</si>
  <si>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</si>
  <si>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</si>
  <si>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</si>
  <si>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</si>
  <si>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</si>
  <si>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</si>
  <si>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</si>
  <si>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</si>
  <si>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</si>
  <si>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</si>
  <si>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</si>
  <si>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</si>
  <si>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</si>
  <si>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</si>
  <si>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</si>
  <si>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</si>
  <si>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</si>
  <si>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</si>
  <si>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</si>
  <si>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</si>
  <si>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</si>
  <si>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</si>
  <si>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</si>
  <si>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</si>
  <si>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</si>
  <si>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</si>
  <si>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</si>
  <si>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</si>
  <si>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</si>
  <si>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</si>
  <si>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</si>
  <si>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</si>
  <si>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</si>
  <si>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</si>
  <si>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</si>
  <si>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</si>
  <si>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</si>
  <si>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</si>
  <si>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</si>
  <si>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</si>
  <si>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</si>
  <si>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</si>
  <si>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</si>
  <si>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</si>
  <si>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</si>
  <si>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</si>
  <si>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</si>
  <si>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</si>
  <si>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</si>
  <si>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</si>
  <si>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</si>
  <si>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</si>
  <si>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</si>
  <si>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</si>
  <si>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</si>
  <si>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</si>
  <si>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</si>
  <si>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</si>
  <si>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</si>
  <si>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</si>
  <si>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</si>
  <si>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</si>
  <si>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</si>
  <si>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</si>
  <si>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</si>
  <si>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</si>
  <si>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</si>
  <si>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</si>
  <si>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</si>
  <si>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</si>
  <si>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</si>
  <si>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</si>
  <si>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</si>
  <si>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</si>
  <si>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</si>
  <si>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</si>
  <si>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</si>
  <si>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</si>
  <si>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</si>
  <si>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</si>
  <si>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</si>
  <si>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</si>
  <si>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</si>
  <si>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</si>
  <si>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</si>
  <si>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</si>
  <si>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</si>
  <si>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</si>
  <si>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</si>
  <si>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</si>
  <si>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</si>
  <si>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</si>
  <si>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</si>
  <si>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</si>
  <si>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</si>
  <si>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</si>
  <si>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</si>
  <si>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</si>
  <si>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</si>
  <si>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</si>
  <si>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</si>
  <si>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</si>
  <si>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</si>
  <si>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</si>
  <si>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</si>
  <si>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</si>
  <si>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</si>
  <si>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</si>
  <si>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</si>
  <si>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</si>
  <si>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</si>
  <si>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</si>
  <si>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</si>
  <si>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</si>
  <si>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</si>
  <si>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</si>
  <si>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</si>
  <si>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</si>
  <si>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</si>
  <si>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</si>
  <si>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</si>
  <si>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</si>
  <si>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</si>
  <si>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</si>
  <si>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</si>
  <si>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</si>
  <si>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</si>
  <si>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</si>
  <si>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</si>
  <si>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</si>
  <si>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</si>
  <si>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</si>
  <si>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</si>
  <si>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</si>
  <si>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</si>
  <si>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</si>
  <si>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</si>
  <si>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</si>
  <si>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</si>
  <si>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</si>
  <si>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</si>
  <si>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</si>
  <si>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</si>
  <si>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</si>
  <si>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</si>
  <si>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</si>
  <si>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</si>
  <si>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</si>
  <si>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</si>
  <si>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</si>
  <si>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</si>
  <si>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</si>
  <si>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</si>
  <si>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</si>
  <si>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</si>
  <si>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</si>
  <si>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</si>
  <si>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</si>
  <si>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</si>
  <si>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</si>
  <si>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</si>
  <si>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</si>
  <si>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</si>
  <si>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</si>
  <si>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</si>
  <si>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</si>
  <si>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</si>
  <si>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</si>
  <si>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</si>
  <si>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</si>
  <si>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</si>
  <si>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</si>
  <si>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</si>
  <si>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</si>
  <si>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</si>
  <si>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</si>
  <si>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</si>
  <si>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</si>
  <si>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</si>
  <si>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</si>
  <si>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</si>
  <si>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</si>
  <si>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</si>
  <si>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</si>
  <si>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</si>
  <si>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</si>
  <si>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</si>
  <si>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</si>
  <si>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</si>
  <si>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</si>
  <si>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</si>
  <si>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</si>
  <si>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</si>
  <si>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</si>
  <si>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</si>
  <si>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</si>
  <si>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</si>
  <si>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</si>
  <si>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</si>
  <si>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</si>
  <si>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</si>
  <si>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</si>
  <si>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</si>
  <si>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</si>
  <si>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</si>
  <si>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</si>
  <si>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</si>
  <si>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</si>
  <si>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</si>
  <si>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</si>
  <si>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</si>
  <si>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</si>
  <si>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</si>
  <si>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</si>
  <si>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</si>
  <si>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</si>
  <si>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</si>
  <si>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</si>
  <si>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</si>
  <si>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</si>
  <si>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</si>
  <si>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</si>
  <si>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</si>
  <si>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</si>
  <si>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</si>
  <si>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</si>
  <si>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</si>
  <si>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</si>
  <si>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</si>
  <si>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</si>
  <si>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</si>
  <si>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</si>
  <si>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</si>
  <si>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</si>
  <si>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</si>
  <si>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</si>
  <si>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</si>
  <si>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</si>
  <si>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</si>
  <si>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</si>
  <si>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</si>
  <si>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</si>
  <si>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</si>
  <si>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</si>
  <si>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</si>
  <si>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</si>
  <si>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</si>
  <si>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</si>
  <si>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</si>
  <si>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</si>
  <si>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</si>
  <si>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</si>
  <si>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</si>
  <si>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</si>
  <si>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</si>
  <si>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</si>
  <si>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</si>
  <si>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</si>
  <si>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</si>
  <si>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</si>
  <si>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</si>
  <si>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</si>
  <si>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</si>
  <si>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</si>
  <si>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</si>
  <si>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</si>
  <si>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</si>
  <si>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</si>
  <si>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</si>
  <si>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</si>
  <si>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</si>
  <si>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</si>
  <si>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</si>
  <si>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</si>
  <si>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</si>
  <si>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</si>
  <si>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</si>
  <si>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</si>
  <si>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</si>
  <si>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</si>
  <si>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</si>
  <si>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</si>
  <si>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</si>
  <si>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</si>
  <si>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</si>
  <si>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</si>
  <si>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</si>
  <si>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</si>
  <si>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</si>
  <si>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</si>
  <si>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</si>
  <si>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</si>
  <si>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</si>
  <si>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</si>
  <si>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</si>
  <si>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</si>
  <si>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</si>
  <si>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</si>
  <si>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</si>
  <si>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</si>
  <si>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</si>
  <si>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</si>
  <si>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</si>
  <si>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</si>
  <si>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</si>
  <si>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</si>
  <si>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</si>
  <si>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</si>
  <si>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</si>
  <si>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</si>
  <si>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</si>
  <si>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</si>
  <si>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</si>
  <si>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</si>
  <si>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</si>
  <si>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</si>
  <si>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</si>
  <si>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</si>
  <si>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</si>
  <si>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</si>
  <si>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</si>
  <si>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</si>
  <si>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</si>
  <si>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</si>
  <si>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</si>
  <si>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</si>
  <si>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</si>
  <si>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</si>
  <si>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</si>
  <si>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</si>
  <si>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</si>
  <si>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</si>
  <si>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</si>
  <si>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</si>
  <si>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</si>
  <si>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</si>
  <si>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</si>
  <si>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</si>
  <si>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</si>
  <si>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</si>
  <si>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</si>
  <si>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</si>
  <si>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</si>
  <si>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</si>
  <si>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</si>
  <si>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</si>
  <si>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</si>
  <si>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</si>
  <si>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</si>
  <si>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</si>
  <si>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</si>
  <si>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</si>
  <si>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</si>
  <si>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</si>
  <si>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</si>
  <si>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</si>
  <si>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</si>
  <si>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</si>
  <si>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</si>
  <si>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</si>
  <si>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</si>
  <si>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</si>
  <si>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</si>
  <si>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</si>
  <si>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</si>
  <si>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</si>
  <si>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</si>
  <si>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</si>
  <si>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</si>
  <si>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</si>
  <si>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</si>
  <si>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</si>
  <si>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</si>
  <si>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</si>
  <si>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</si>
  <si>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</si>
  <si>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</si>
  <si>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</si>
  <si>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</si>
  <si>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</si>
  <si>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</si>
  <si>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</si>
  <si>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</si>
  <si>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</si>
  <si>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</si>
  <si>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</si>
  <si>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</si>
  <si>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</si>
  <si>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</si>
  <si>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</si>
  <si>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</si>
  <si>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</si>
  <si>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</si>
  <si>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</si>
  <si>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</si>
  <si>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</si>
  <si>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</si>
  <si>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</si>
  <si>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</si>
  <si>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</si>
  <si>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</si>
  <si>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</si>
  <si>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</si>
  <si>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</si>
  <si>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</si>
  <si>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</si>
  <si>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</si>
  <si>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</si>
  <si>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</si>
  <si>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</si>
  <si>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</si>
  <si>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</si>
  <si>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</si>
  <si>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</si>
  <si>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</si>
  <si>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</si>
  <si>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</si>
  <si>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</si>
  <si>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</si>
  <si>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</si>
  <si>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</si>
  <si>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</si>
  <si>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</si>
  <si>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</si>
  <si>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</si>
  <si>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</si>
  <si>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</si>
  <si>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</si>
  <si>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</si>
  <si>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</si>
  <si>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</si>
  <si>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</si>
  <si>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</si>
  <si>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</si>
  <si>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</si>
  <si>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</si>
  <si>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</si>
  <si>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</si>
  <si>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</si>
  <si>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</si>
  <si>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</si>
  <si>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</si>
  <si>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</si>
  <si>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</si>
  <si>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</si>
  <si>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</si>
  <si>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</si>
  <si>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</si>
  <si>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</si>
  <si>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</si>
  <si>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</si>
  <si>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</si>
  <si>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</si>
  <si>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</si>
  <si>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</si>
  <si>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</si>
  <si>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</si>
  <si>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</si>
  <si>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</si>
  <si>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</si>
  <si>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</si>
  <si>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</si>
  <si>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</si>
  <si>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</si>
  <si>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</si>
  <si>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</si>
  <si>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</si>
  <si>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</si>
  <si>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</si>
  <si>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</si>
  <si>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</si>
  <si>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</si>
  <si>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</si>
  <si>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</si>
  <si>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</si>
  <si>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</si>
  <si>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</si>
  <si>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</si>
  <si>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</si>
  <si>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</si>
  <si>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</si>
  <si>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</si>
  <si>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</si>
  <si>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</si>
  <si>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</si>
  <si>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</si>
  <si>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</si>
  <si>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</si>
  <si>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</si>
  <si>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</si>
  <si>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</si>
  <si>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</si>
  <si>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</si>
  <si>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</si>
  <si>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</si>
  <si>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</si>
  <si>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</si>
  <si>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</si>
  <si>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</si>
  <si>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</si>
  <si>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</si>
  <si>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</si>
  <si>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</si>
  <si>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</si>
  <si>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</si>
  <si>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</si>
  <si>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</si>
  <si>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</si>
  <si>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</si>
  <si>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</si>
  <si>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</si>
  <si>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</si>
  <si>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</si>
  <si>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</si>
  <si>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</si>
  <si>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</si>
  <si>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</si>
  <si>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</si>
  <si>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</si>
  <si>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</si>
  <si>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</si>
  <si>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</si>
  <si>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</si>
  <si>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</si>
  <si>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</si>
  <si>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</si>
  <si>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</si>
  <si>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</si>
  <si>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</si>
  <si>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</si>
  <si>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</si>
  <si>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</si>
  <si>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</si>
  <si>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</si>
  <si>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</si>
  <si>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</si>
  <si>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</si>
  <si>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</si>
  <si>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</si>
  <si>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</si>
  <si>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</si>
  <si>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</si>
  <si>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</si>
  <si>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</si>
  <si>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</si>
  <si>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</si>
  <si>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</si>
  <si>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</si>
  <si>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</si>
  <si>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</si>
  <si>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</si>
  <si>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</si>
  <si>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</si>
  <si>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</si>
  <si>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</si>
  <si>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</si>
  <si>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</si>
  <si>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</si>
  <si>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</si>
  <si>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</si>
  <si>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</si>
  <si>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</si>
  <si>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</si>
  <si>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</si>
  <si>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</si>
  <si>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</si>
  <si>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</si>
  <si>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</si>
  <si>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</si>
  <si>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</si>
  <si>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</si>
  <si>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</si>
  <si>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</si>
  <si>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</si>
  <si>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</si>
  <si>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</si>
  <si>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</si>
  <si>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</si>
  <si>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</si>
  <si>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</si>
  <si>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</si>
  <si>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</si>
  <si>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</si>
  <si>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</si>
  <si>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</si>
  <si>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</si>
  <si>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</si>
  <si>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</si>
  <si>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</si>
  <si>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</si>
  <si>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</si>
  <si>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</si>
  <si>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</si>
  <si>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</si>
  <si>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</si>
  <si>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</si>
  <si>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</si>
  <si>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</si>
  <si>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</si>
  <si>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</si>
  <si>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</si>
  <si>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</si>
  <si>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</si>
  <si>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</si>
  <si>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</si>
  <si>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</si>
  <si>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</si>
  <si>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</si>
  <si>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</si>
  <si>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</si>
  <si>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</si>
  <si>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</si>
  <si>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</si>
  <si>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</si>
  <si>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</si>
  <si>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</si>
  <si>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</si>
  <si>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</si>
  <si>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</si>
  <si>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</si>
  <si>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</si>
  <si>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</si>
  <si>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</si>
  <si>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</si>
  <si>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</si>
  <si>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</si>
  <si>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</si>
  <si>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</si>
  <si>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</si>
  <si>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</si>
  <si>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</si>
  <si>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</si>
  <si>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</si>
  <si>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</si>
  <si>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</si>
  <si>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</si>
  <si>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</si>
  <si>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</si>
  <si>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</si>
  <si>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</si>
  <si>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</si>
  <si>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</si>
  <si>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</si>
  <si>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</si>
  <si>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</si>
  <si>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</si>
  <si>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</si>
  <si>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</si>
  <si>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</si>
  <si>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</si>
  <si>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</si>
  <si>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</si>
  <si>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</si>
  <si>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</si>
  <si>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</si>
  <si>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</si>
  <si>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</si>
  <si>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</si>
  <si>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</si>
  <si>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</si>
  <si>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</si>
  <si>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</si>
  <si>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</si>
  <si>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</si>
  <si>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</si>
  <si>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</si>
  <si>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</si>
  <si>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</si>
  <si>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</si>
  <si>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</si>
  <si>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</si>
  <si>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</si>
  <si>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</si>
  <si>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</si>
  <si>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</si>
  <si>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</si>
  <si>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</si>
  <si>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</si>
  <si>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</si>
  <si>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</si>
  <si>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</si>
  <si>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</si>
  <si>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</si>
  <si>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</si>
  <si>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</si>
  <si>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</si>
  <si>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</si>
  <si>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</si>
  <si>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</si>
  <si>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</si>
  <si>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</si>
  <si>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</si>
  <si>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</si>
  <si>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</si>
  <si>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</si>
  <si>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</si>
  <si>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</si>
  <si>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</si>
  <si>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</si>
  <si>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</si>
  <si>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</si>
  <si>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</si>
  <si>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</si>
  <si>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</si>
  <si>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</si>
  <si>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</si>
  <si>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</si>
  <si>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</si>
  <si>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</si>
  <si>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</si>
  <si>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</si>
  <si>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</si>
  <si>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</si>
  <si>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</si>
  <si>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</si>
  <si>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</si>
  <si>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</si>
  <si>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</si>
  <si>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</si>
  <si>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</si>
  <si>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</si>
  <si>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</si>
  <si>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</si>
  <si>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</si>
  <si>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</si>
  <si>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</si>
  <si>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</si>
  <si>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</si>
  <si>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</si>
  <si>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</si>
  <si>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</si>
  <si>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</si>
  <si>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</si>
  <si>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</si>
  <si>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</si>
  <si>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</si>
  <si>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</si>
  <si>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</si>
  <si>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</si>
  <si>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</si>
  <si>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</si>
  <si>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</si>
  <si>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</si>
  <si>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</si>
  <si>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</si>
  <si>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</si>
  <si>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</si>
  <si>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</si>
  <si>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</si>
  <si>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</si>
  <si>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</si>
  <si>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</si>
  <si>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</si>
  <si>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</si>
  <si>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</si>
  <si>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</si>
  <si>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</si>
  <si>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</si>
  <si>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</si>
  <si>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</si>
  <si>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</si>
  <si>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</si>
  <si>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</si>
  <si>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</si>
  <si>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</si>
  <si>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</si>
  <si>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</si>
  <si>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</si>
  <si>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</si>
  <si>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</si>
  <si>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</si>
  <si>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</si>
  <si>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</si>
  <si>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</si>
  <si>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</si>
  <si>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</si>
  <si>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</si>
  <si>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</si>
  <si>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</si>
  <si>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</si>
  <si>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</si>
  <si>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</si>
  <si>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</si>
  <si>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</si>
  <si>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</si>
  <si>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</si>
  <si>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</si>
  <si>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</si>
  <si>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</si>
  <si>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</si>
  <si>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</si>
  <si>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</si>
  <si>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</si>
  <si>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</si>
  <si>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</si>
  <si>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</si>
  <si>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</si>
  <si>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</si>
  <si>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</si>
  <si>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</si>
  <si>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</si>
  <si>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</si>
  <si>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</si>
  <si>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</si>
  <si>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</si>
  <si>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</si>
  <si>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</si>
  <si>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</si>
  <si>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</si>
  <si>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</si>
  <si>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</si>
  <si>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</si>
  <si>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</si>
  <si>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</si>
  <si>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</si>
  <si>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</si>
  <si>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</si>
  <si>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</si>
  <si>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</si>
  <si>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</si>
  <si>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</si>
  <si>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</si>
  <si>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</si>
  <si>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</si>
  <si>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</si>
  <si>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</si>
  <si>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</si>
  <si>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</si>
  <si>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</si>
  <si>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</si>
  <si>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</si>
  <si>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</si>
  <si>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</si>
  <si>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</si>
  <si>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</si>
  <si>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</si>
  <si>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</si>
  <si>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</si>
  <si>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</si>
  <si>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</si>
  <si>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</si>
  <si>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</si>
  <si>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</si>
  <si>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</si>
  <si>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</si>
  <si>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</si>
  <si>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</si>
  <si>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</si>
  <si>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</si>
  <si>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</si>
  <si>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</si>
  <si>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</si>
  <si>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</si>
  <si>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</si>
  <si>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</si>
  <si>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</si>
  <si>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</si>
  <si>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</si>
  <si>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</si>
  <si>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</si>
  <si>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</si>
  <si>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</si>
  <si>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</si>
  <si>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</si>
  <si>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</si>
  <si>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</si>
  <si>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</si>
  <si>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</si>
  <si>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</si>
  <si>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</si>
  <si>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</si>
  <si>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</si>
  <si>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</si>
  <si>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</si>
  <si>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</si>
  <si>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</si>
  <si>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</si>
  <si>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</si>
  <si>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</si>
  <si>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</si>
  <si>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</si>
  <si>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</si>
  <si>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</si>
  <si>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</si>
  <si>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</si>
  <si>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</si>
  <si>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</si>
  <si>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</si>
  <si>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</si>
  <si>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</si>
  <si>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</si>
  <si>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</si>
  <si>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</si>
  <si>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</si>
  <si>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</si>
  <si>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</si>
  <si>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</si>
  <si>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</si>
  <si>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</si>
  <si>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</si>
  <si>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</si>
  <si>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</si>
  <si>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</si>
  <si>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</si>
  <si>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</si>
  <si>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</si>
  <si>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</si>
  <si>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</si>
  <si>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</si>
  <si>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</si>
  <si>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</si>
  <si>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</si>
  <si>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</si>
  <si>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</si>
  <si>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</si>
  <si>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</si>
  <si>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</si>
  <si>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</si>
  <si>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</si>
  <si>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</si>
  <si>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</si>
  <si>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</si>
  <si>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</si>
  <si>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</si>
  <si>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</si>
  <si>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</si>
  <si>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</si>
  <si>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</si>
  <si>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</si>
  <si>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</si>
  <si>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</si>
  <si>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</si>
  <si>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</si>
  <si>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</si>
  <si>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</si>
  <si>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</si>
  <si>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</si>
  <si>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</si>
  <si>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</si>
  <si>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</si>
  <si>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</si>
  <si>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</si>
  <si>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</si>
  <si>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</si>
  <si>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</si>
  <si>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</si>
  <si>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</si>
  <si>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</si>
  <si>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</si>
  <si>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</si>
  <si>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</si>
  <si>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</si>
  <si>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</si>
  <si>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</si>
  <si>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</si>
  <si>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</si>
  <si>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</si>
  <si>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</si>
  <si>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</si>
  <si>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</si>
  <si>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</si>
  <si>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</si>
  <si>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</si>
  <si>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</si>
  <si>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</si>
  <si>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</si>
  <si>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</si>
  <si>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</si>
  <si>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</si>
  <si>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</si>
  <si>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</si>
  <si>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</si>
  <si>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</si>
  <si>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</si>
  <si>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</si>
  <si>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</si>
  <si>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</si>
  <si>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</si>
  <si>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</si>
  <si>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</si>
  <si>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</si>
  <si>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</si>
  <si>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</si>
  <si>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</si>
  <si>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</si>
  <si>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</si>
  <si>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</si>
  <si>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</si>
  <si>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</si>
  <si>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</si>
  <si>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</si>
  <si>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</si>
  <si>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</si>
  <si>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</si>
  <si>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</si>
  <si>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</si>
  <si>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</si>
  <si>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</si>
  <si>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</si>
  <si>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</si>
  <si>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</si>
  <si>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</si>
  <si>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</si>
  <si>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</si>
  <si>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</si>
  <si>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</si>
  <si>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</si>
  <si>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</si>
  <si>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</si>
  <si>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</si>
  <si>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</si>
  <si>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</si>
  <si>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</si>
  <si>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</si>
  <si>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</si>
  <si>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</si>
  <si>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</si>
  <si>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</si>
  <si>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</si>
  <si>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</si>
  <si>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</si>
  <si>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</si>
  <si>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</si>
  <si>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</si>
  <si>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</si>
  <si>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</si>
  <si>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</si>
  <si>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</si>
  <si>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</si>
  <si>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</si>
  <si>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</si>
  <si>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</si>
  <si>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</si>
  <si>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</si>
  <si>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</si>
  <si>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</si>
  <si>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</si>
  <si>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</si>
  <si>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</si>
  <si>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</si>
  <si>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</si>
  <si>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</si>
  <si>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</si>
  <si>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</si>
  <si>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</si>
  <si>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</si>
  <si>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</si>
  <si>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</si>
  <si>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</si>
  <si>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</si>
  <si>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</si>
  <si>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</si>
  <si>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</si>
  <si>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</si>
  <si>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</si>
  <si>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</si>
  <si>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</si>
  <si>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</si>
  <si>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</si>
  <si>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</si>
  <si>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</si>
  <si>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</si>
  <si>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</si>
  <si>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</si>
  <si>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</si>
  <si>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</si>
  <si>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</si>
  <si>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</si>
  <si>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</si>
  <si>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</si>
  <si>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</si>
  <si>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</si>
  <si>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</si>
  <si>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</si>
  <si>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</si>
  <si>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</si>
  <si>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</si>
  <si>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</si>
  <si>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</si>
  <si>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</si>
  <si>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</si>
  <si>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</si>
  <si>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</si>
  <si>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</si>
  <si>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</si>
  <si>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</si>
  <si>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</si>
  <si>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</si>
  <si>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</si>
  <si>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</si>
  <si>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</si>
  <si>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</si>
  <si>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</si>
  <si>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</si>
  <si>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</si>
  <si>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</si>
  <si>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</si>
  <si>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</si>
  <si>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</si>
  <si>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</si>
  <si>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</si>
  <si>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</si>
  <si>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</si>
  <si>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</si>
  <si>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</si>
  <si>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</si>
  <si>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</si>
  <si>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</si>
  <si>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</si>
  <si>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</si>
  <si>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</si>
  <si>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</si>
  <si>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</si>
  <si>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</si>
  <si>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</si>
  <si>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</si>
  <si>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</si>
  <si>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</si>
  <si>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</si>
  <si>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</si>
  <si>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</si>
  <si>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</si>
  <si>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</si>
  <si>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</si>
  <si>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</si>
  <si>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</si>
  <si>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</si>
  <si>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</si>
  <si>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</si>
  <si>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</si>
  <si>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</si>
  <si>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</si>
  <si>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</si>
  <si>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</si>
  <si>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</si>
  <si>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</si>
  <si>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</si>
  <si>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</si>
  <si>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</si>
  <si>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</si>
  <si>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</si>
  <si>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</si>
  <si>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</si>
  <si>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</si>
  <si>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</si>
  <si>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</si>
  <si>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</si>
  <si>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</si>
  <si>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</si>
  <si>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</si>
  <si>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</si>
  <si>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</si>
  <si>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</si>
  <si>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</si>
  <si>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</si>
  <si>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</si>
  <si>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</si>
  <si>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</si>
  <si>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</si>
  <si>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</si>
  <si>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</si>
  <si>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</si>
  <si>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</si>
  <si>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</si>
  <si>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</si>
  <si>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</si>
  <si>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</si>
  <si>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</si>
  <si>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</si>
  <si>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</si>
  <si>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</si>
  <si>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</si>
  <si>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</si>
  <si>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</si>
  <si>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</si>
  <si>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</si>
  <si>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</si>
  <si>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</si>
  <si>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</si>
  <si>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</si>
  <si>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</si>
  <si>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</si>
  <si>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</si>
  <si>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</si>
  <si>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</si>
  <si>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</si>
  <si>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</si>
  <si>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</si>
  <si>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</si>
  <si>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</si>
  <si>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</si>
  <si>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</si>
  <si>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</si>
  <si>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</si>
  <si>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</si>
  <si>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</si>
  <si>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</si>
  <si>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</si>
  <si>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</si>
  <si>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</si>
  <si>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</si>
  <si>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</si>
  <si>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</si>
  <si>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</si>
  <si>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</si>
  <si>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</si>
  <si>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</si>
  <si>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</si>
  <si>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</si>
  <si>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</si>
  <si>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</si>
  <si>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</si>
  <si>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</si>
  <si>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</si>
  <si>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</si>
  <si>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</si>
  <si>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</si>
  <si>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</si>
  <si>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</si>
  <si>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</si>
  <si>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</si>
  <si>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</si>
  <si>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</si>
  <si>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</si>
  <si>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</si>
  <si>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</si>
  <si>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</si>
  <si>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</si>
  <si>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</si>
  <si>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</si>
  <si>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</si>
  <si>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</si>
  <si>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</si>
  <si>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</si>
  <si>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</si>
  <si>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</si>
  <si>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</si>
  <si>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</si>
  <si>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</si>
  <si>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</si>
  <si>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</si>
  <si>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</si>
  <si>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</si>
  <si>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</si>
  <si>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</si>
  <si>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</si>
  <si>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</si>
  <si>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</si>
  <si>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</si>
  <si>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</si>
  <si>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</si>
  <si>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</si>
  <si>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</si>
  <si>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</si>
  <si>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</si>
  <si>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</si>
  <si>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</si>
  <si>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</si>
  <si>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</si>
  <si>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</si>
  <si>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</si>
  <si>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</si>
  <si>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</si>
  <si>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</si>
  <si>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</si>
  <si>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</si>
  <si>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</si>
  <si>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</si>
  <si>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</si>
  <si>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</si>
  <si>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</si>
  <si>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</si>
  <si>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</si>
  <si>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</si>
  <si>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</si>
  <si>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</si>
  <si>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</si>
  <si>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</si>
  <si>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</si>
  <si>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</si>
  <si>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</si>
  <si>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</si>
  <si>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</si>
  <si>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</si>
  <si>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</si>
  <si>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</si>
  <si>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</si>
  <si>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</si>
  <si>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r>
      <t>N</t>
    </r>
    <r>
      <rPr>
        <sz val="11"/>
        <color theme="1"/>
        <rFont val="宋体"/>
        <family val="3"/>
        <charset val="134"/>
        <scheme val="minor"/>
      </rPr>
      <t>09-1/03</t>
    </r>
    <phoneticPr fontId="234" type="noConversion"/>
  </si>
  <si>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</si>
  <si>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</si>
  <si>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</si>
  <si>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</si>
  <si>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</si>
  <si>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</si>
  <si>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</si>
  <si>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</si>
  <si>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</si>
  <si>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</si>
  <si>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</si>
  <si>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</si>
  <si>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</si>
  <si>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</si>
  <si>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</si>
  <si>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</si>
  <si>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</si>
  <si>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</si>
  <si>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</si>
  <si>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</si>
  <si>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</si>
  <si>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</si>
  <si>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</si>
  <si>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</si>
  <si>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</si>
  <si>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</si>
  <si>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首钢美利山公园城市</t>
    <phoneticPr fontId="3" type="noConversion"/>
  </si>
  <si>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</si>
  <si>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</si>
  <si>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</si>
  <si>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</si>
  <si>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尚格锦园</t>
    <phoneticPr fontId="3" type="noConversion"/>
  </si>
  <si>
    <t>次</t>
    <phoneticPr fontId="21" type="noConversion"/>
  </si>
  <si>
    <t>高层</t>
  </si>
  <si>
    <t>高层</t>
    <phoneticPr fontId="21" type="noConversion"/>
  </si>
  <si>
    <t>富力湾</t>
    <phoneticPr fontId="3"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</si>
  <si>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</si>
  <si>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</si>
  <si>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</si>
  <si>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</si>
  <si>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</si>
  <si>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</si>
  <si>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</si>
  <si>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</si>
  <si>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</si>
  <si>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</si>
  <si>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</si>
  <si>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</si>
  <si>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</si>
  <si>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</si>
  <si>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</si>
  <si>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</si>
  <si>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</si>
  <si>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</si>
  <si>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</si>
  <si>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</si>
  <si>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</si>
  <si>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</si>
  <si>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</si>
  <si>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</si>
  <si>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</si>
  <si>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</si>
  <si>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</si>
  <si>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</si>
  <si>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</si>
  <si>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</si>
  <si>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</si>
  <si>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</si>
  <si>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</si>
  <si>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</si>
  <si>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</si>
  <si>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</si>
  <si>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</si>
  <si>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</si>
  <si>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</si>
  <si>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</si>
  <si>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</si>
  <si>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</si>
  <si>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</si>
  <si>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</si>
  <si>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</si>
  <si>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</si>
  <si>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</si>
  <si>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</si>
  <si>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</si>
  <si>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</si>
  <si>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</si>
  <si>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</si>
  <si>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</si>
  <si>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</si>
  <si>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</si>
  <si>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</si>
  <si>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</si>
  <si>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</si>
  <si>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</si>
  <si>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</si>
  <si>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</si>
  <si>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</si>
  <si>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</si>
  <si>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</si>
  <si>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</si>
  <si>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</si>
  <si>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</si>
  <si>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</si>
  <si>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</si>
  <si>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</si>
  <si>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</si>
  <si>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</si>
  <si>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</si>
  <si>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</si>
  <si>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</si>
  <si>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</si>
  <si>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</si>
  <si>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</si>
  <si>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</si>
  <si>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</si>
  <si>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</si>
  <si>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</si>
  <si>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</si>
  <si>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</si>
  <si>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</si>
  <si>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</si>
  <si>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</si>
  <si>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</si>
  <si>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</si>
  <si>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</si>
  <si>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</si>
  <si>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</si>
  <si>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</si>
  <si>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</si>
  <si>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</si>
  <si>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</si>
  <si>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</si>
  <si>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</si>
  <si>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</si>
  <si>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</si>
  <si>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</si>
  <si>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</si>
  <si>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</si>
  <si>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</si>
  <si>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</si>
  <si>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</si>
  <si>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</si>
  <si>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</si>
  <si>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</si>
  <si>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</si>
  <si>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</si>
  <si>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</si>
  <si>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</si>
  <si>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</si>
  <si>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</si>
  <si>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</si>
  <si>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</si>
  <si>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</si>
  <si>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</si>
  <si>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</si>
  <si>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</si>
  <si>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</si>
  <si>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</si>
  <si>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</si>
  <si>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</si>
  <si>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</si>
  <si>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</si>
  <si>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</si>
  <si>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</si>
  <si>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</si>
  <si>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</si>
  <si>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</si>
  <si>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</si>
  <si>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</si>
  <si>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</si>
  <si>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</si>
  <si>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</si>
  <si>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</si>
  <si>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</si>
  <si>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</si>
  <si>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</si>
  <si>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</si>
  <si>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</si>
  <si>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</si>
  <si>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</si>
  <si>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</si>
  <si>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</si>
  <si>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</si>
  <si>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</si>
  <si>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</si>
  <si>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</si>
  <si>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</si>
  <si>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</si>
  <si>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</si>
  <si>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</si>
  <si>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</si>
  <si>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</si>
  <si>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</si>
  <si>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</si>
  <si>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</si>
  <si>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</si>
  <si>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</si>
  <si>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</si>
  <si>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</si>
  <si>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</si>
  <si>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</si>
  <si>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</si>
  <si>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</si>
  <si>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</si>
  <si>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</si>
  <si>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</si>
  <si>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</si>
  <si>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</si>
  <si>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</si>
  <si>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</si>
  <si>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</si>
  <si>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</si>
  <si>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</si>
  <si>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</si>
  <si>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</si>
  <si>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</si>
  <si>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</si>
  <si>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</si>
  <si>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</si>
  <si>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</si>
  <si>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</si>
  <si>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</si>
  <si>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</si>
  <si>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</si>
  <si>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</si>
  <si>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</si>
  <si>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</si>
  <si>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</si>
  <si>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</si>
  <si>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</si>
  <si>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</si>
  <si>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</si>
  <si>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</si>
  <si>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</si>
  <si>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</si>
  <si>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</si>
  <si>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</si>
  <si>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</si>
  <si>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</si>
  <si>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</si>
  <si>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</si>
  <si>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</si>
  <si>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</si>
  <si>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</si>
  <si>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</si>
  <si>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</si>
  <si>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</si>
  <si>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</si>
  <si>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</si>
  <si>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</si>
  <si>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</si>
  <si>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</si>
  <si>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</si>
  <si>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</si>
  <si>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</si>
  <si>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</si>
  <si>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</si>
  <si>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</si>
  <si>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</si>
  <si>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</si>
  <si>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</si>
  <si>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</si>
  <si>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</si>
  <si>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</si>
  <si>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</si>
  <si>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</si>
  <si>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</si>
  <si>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</si>
  <si>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</si>
  <si>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</si>
  <si>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</si>
  <si>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</si>
  <si>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</si>
  <si>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</si>
  <si>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</si>
  <si>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</si>
  <si>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</si>
  <si>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</si>
  <si>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</si>
  <si>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</si>
  <si>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</si>
  <si>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</si>
  <si>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</si>
  <si>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</si>
  <si>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</si>
  <si>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</si>
  <si>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</si>
  <si>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</si>
  <si>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</si>
  <si>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</si>
  <si>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</si>
  <si>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</si>
  <si>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</si>
  <si>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</si>
  <si>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</si>
  <si>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</si>
  <si>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</si>
  <si>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</si>
  <si>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</si>
  <si>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</si>
  <si>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</si>
  <si>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</si>
  <si>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</si>
  <si>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</si>
  <si>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</si>
  <si>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</si>
  <si>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</si>
  <si>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</si>
  <si>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</si>
  <si>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</si>
  <si>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</si>
  <si>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</si>
  <si>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</si>
  <si>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</si>
  <si>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</si>
  <si>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</si>
  <si>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</si>
  <si>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</si>
  <si>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</si>
  <si>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</si>
  <si>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</si>
  <si>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</si>
  <si>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</si>
  <si>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</si>
  <si>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</si>
  <si>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</si>
  <si>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</si>
  <si>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</si>
  <si>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</si>
  <si>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</si>
  <si>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</si>
  <si>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</si>
  <si>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</si>
  <si>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</si>
  <si>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</si>
  <si>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</si>
  <si>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</si>
  <si>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</si>
  <si>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</si>
  <si>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</si>
  <si>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</si>
  <si>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</si>
  <si>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</si>
  <si>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</si>
  <si>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</si>
  <si>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</si>
  <si>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</si>
  <si>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</si>
  <si>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</si>
  <si>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</si>
  <si>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</si>
  <si>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</si>
  <si>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</si>
  <si>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</si>
  <si>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</si>
  <si>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</si>
  <si>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</si>
  <si>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</si>
  <si>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</si>
  <si>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</si>
  <si>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</si>
  <si>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</si>
  <si>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</si>
  <si>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</si>
  <si>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</si>
  <si>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</si>
  <si>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</si>
  <si>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</si>
  <si>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</si>
  <si>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</si>
  <si>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</si>
  <si>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</si>
  <si>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</si>
  <si>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</si>
  <si>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</si>
  <si>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</si>
  <si>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</si>
  <si>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</si>
  <si>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</si>
  <si>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</si>
  <si>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</si>
  <si>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</si>
  <si>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</si>
  <si>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</si>
  <si>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商业用地</t>
  </si>
  <si>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</si>
  <si>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</si>
  <si>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</si>
  <si>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</si>
  <si>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</si>
  <si>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</si>
  <si>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</si>
  <si>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</si>
  <si>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</si>
  <si>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</si>
  <si>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</si>
  <si>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</si>
  <si>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</si>
  <si>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</si>
  <si>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</si>
  <si>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</si>
  <si>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</si>
  <si>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</si>
  <si>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</si>
  <si>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东环商务中心</t>
    <phoneticPr fontId="3" type="noConversion"/>
  </si>
  <si>
    <t>渝北渝北霓裳大道1号</t>
    <phoneticPr fontId="3" type="noConversion"/>
  </si>
  <si>
    <t>中德莱茵国际</t>
    <phoneticPr fontId="3" type="noConversion"/>
  </si>
  <si>
    <t>重庆创意公园</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</si>
  <si>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</si>
  <si>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</si>
  <si>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比较法-住宅、综合 (商业)</t>
  </si>
  <si>
    <t>商业用地</t>
    <phoneticPr fontId="234" type="noConversion"/>
  </si>
  <si>
    <t>商业用地、商务用地</t>
    <phoneticPr fontId="3" type="noConversion"/>
  </si>
  <si>
    <t>商业用地、商务用地</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</si>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</sst>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
      <sz val="11"/>
      <color theme="1"/>
      <name val="宋体"/>
      <family val="2"/>
      <scheme val="minor"/>
    </font>
    <font>
      <sz val="11"/>
      <color rgb="FF666666"/>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71" fillId="0" borderId="0"/>
  </cellStyleXfs>
  <cellXfs count="35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6" fillId="0" borderId="0" xfId="0" applyFont="1" applyAlignme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148" fillId="0" borderId="0" xfId="0" applyFont="1" applyAlignment="1">
      <alignment vertical="center"/>
    </xf>
    <xf numFmtId="0" fontId="270" fillId="0" borderId="0" xfId="0" applyFont="1" applyAlignment="1">
      <alignment vertical="center"/>
    </xf>
    <xf numFmtId="181" fontId="72" fillId="9" borderId="2" xfId="0" applyNumberFormat="1" applyFont="1" applyFill="1" applyBorder="1" applyAlignment="1" applyProtection="1">
      <alignment horizontal="center" vertical="center"/>
      <protection locked="0"/>
    </xf>
    <xf numFmtId="177" fontId="77" fillId="9" borderId="2" xfId="2" applyNumberFormat="1" applyFont="1" applyFill="1" applyBorder="1" applyAlignment="1" applyProtection="1">
      <alignment horizontal="center" vertical="center"/>
      <protection locked="0"/>
    </xf>
    <xf numFmtId="9" fontId="77" fillId="9" borderId="5" xfId="0" applyNumberFormat="1" applyFont="1" applyFill="1" applyBorder="1" applyAlignment="1" applyProtection="1">
      <alignment horizontal="center" vertical="center"/>
      <protection locked="0"/>
    </xf>
    <xf numFmtId="176" fontId="72" fillId="9" borderId="12" xfId="2" applyNumberFormat="1" applyFont="1" applyFill="1" applyBorder="1" applyAlignment="1" applyProtection="1">
      <alignment horizontal="center" vertical="center"/>
      <protection locked="0"/>
    </xf>
    <xf numFmtId="0" fontId="272" fillId="5" borderId="2" xfId="14" applyFont="1" applyFill="1" applyBorder="1" applyAlignment="1">
      <alignment horizontal="center" vertical="center" wrapText="1"/>
    </xf>
    <xf numFmtId="0" fontId="272" fillId="0" borderId="0" xfId="14" applyFont="1" applyBorder="1" applyAlignment="1">
      <alignment horizontal="left" vertical="center" wrapText="1"/>
    </xf>
    <xf numFmtId="0" fontId="146" fillId="0" borderId="0" xfId="1">
      <alignment vertical="center"/>
    </xf>
    <xf numFmtId="14" fontId="272" fillId="5" borderId="2" xfId="14" applyNumberFormat="1" applyFont="1" applyFill="1" applyBorder="1" applyAlignment="1">
      <alignment horizontal="center" vertical="center" wrapText="1"/>
    </xf>
    <xf numFmtId="0" fontId="272" fillId="13" borderId="2" xfId="14" applyFont="1" applyFill="1" applyBorder="1" applyAlignment="1" applyProtection="1">
      <alignment horizontal="center" vertical="center" wrapText="1"/>
      <protection locked="0"/>
    </xf>
    <xf numFmtId="0" fontId="271" fillId="5" borderId="2" xfId="14" applyFill="1" applyBorder="1" applyAlignment="1">
      <alignment vertical="center"/>
    </xf>
    <xf numFmtId="0" fontId="272" fillId="5" borderId="10" xfId="14" applyFont="1" applyFill="1" applyBorder="1" applyAlignment="1">
      <alignment horizontal="center" vertical="center" wrapText="1"/>
    </xf>
    <xf numFmtId="0" fontId="146" fillId="5" borderId="2" xfId="14" applyFont="1" applyFill="1" applyBorder="1" applyAlignment="1">
      <alignment vertical="center"/>
    </xf>
    <xf numFmtId="0" fontId="271" fillId="0" borderId="2" xfId="14" applyBorder="1" applyAlignment="1" applyProtection="1">
      <alignment vertical="center"/>
      <protection locked="0"/>
    </xf>
    <xf numFmtId="0" fontId="272" fillId="0" borderId="2" xfId="14" applyFont="1" applyBorder="1" applyAlignment="1" applyProtection="1">
      <alignment horizontal="left"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3" fillId="8" borderId="82" xfId="0" applyFont="1" applyFill="1" applyBorder="1" applyAlignment="1" applyProtection="1">
      <alignment horizontal="center" vertical="center"/>
    </xf>
    <xf numFmtId="0" fontId="264" fillId="8" borderId="82" xfId="0" applyFont="1" applyFill="1" applyBorder="1" applyAlignment="1" applyProtection="1">
      <alignment horizontal="center" vertical="center" wrapText="1"/>
    </xf>
    <xf numFmtId="176" fontId="264" fillId="8" borderId="82" xfId="0" applyNumberFormat="1" applyFont="1" applyFill="1" applyBorder="1" applyAlignment="1" applyProtection="1">
      <alignment horizontal="center" vertical="center" wrapText="1"/>
    </xf>
    <xf numFmtId="0" fontId="264" fillId="8" borderId="82" xfId="0"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264" fillId="8" borderId="82" xfId="0" applyFont="1" applyFill="1" applyBorder="1" applyAlignment="1" applyProtection="1">
      <alignment horizontal="center" vertical="center" wrapText="1"/>
      <protection locked="0"/>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6" fillId="0" borderId="0" xfId="0" applyFont="1" applyAlignme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18">
          <cell r="D18" t="str">
            <v>高鹏</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4">
          <cell r="C44" t="str">
            <v>——</v>
          </cell>
        </row>
        <row r="45">
          <cell r="C45" t="str">
            <v>——</v>
          </cell>
        </row>
        <row r="46">
          <cell r="C46" t="str">
            <v>——</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101">
          <cell r="B101" t="str">
            <v>土地级别</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65322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根据《不动产权证书》[渝（2017）渝北区不动产权第000290828号]，估价对象（分摊）出让国有建设用地使用权面积为46771平方米。根据，估价对象规划建筑面积为76634平方米。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46771</v>
      </c>
    </row>
    <row r="44" spans="1:2">
      <c r="A44" s="2879" t="s">
        <v>3114</v>
      </c>
      <c r="B44" s="2880" t="str">
        <f>'预评函-2'!O3</f>
        <v>规划建筑面积/㎡</v>
      </c>
    </row>
    <row r="45" spans="1:2">
      <c r="A45" s="2879" t="s">
        <v>3096</v>
      </c>
      <c r="B45" s="2880">
        <f>'预评函-2'!O5</f>
        <v>76634</v>
      </c>
    </row>
    <row r="46" spans="1:2">
      <c r="A46" s="2879" t="s">
        <v>3097</v>
      </c>
      <c r="B46" s="2880">
        <f ca="1">'预评函-2'!P5</f>
        <v>7149</v>
      </c>
    </row>
    <row r="47" spans="1:2">
      <c r="A47" s="2879" t="s">
        <v>3098</v>
      </c>
      <c r="B47" s="2880">
        <f ca="1">'预评函-2'!Q5</f>
        <v>4363</v>
      </c>
    </row>
    <row r="48" spans="1:2">
      <c r="A48" s="2879" t="s">
        <v>3099</v>
      </c>
      <c r="B48" s="2880">
        <f ca="1">'预评函-2'!R5</f>
        <v>33438</v>
      </c>
    </row>
    <row r="49" spans="1:2">
      <c r="A49" s="2879" t="s">
        <v>3115</v>
      </c>
      <c r="B49" s="2880" t="str">
        <f>'预评函-2'!A6</f>
        <v>抵押价格</v>
      </c>
    </row>
    <row r="50" spans="1:2">
      <c r="A50" s="2879" t="s">
        <v>3100</v>
      </c>
      <c r="B50" s="2880">
        <f ca="1">'预评函-2'!R6</f>
        <v>33438</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2009</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2010</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2011</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2012</v>
      </c>
      <c r="D4" s="9" t="s">
        <v>2306</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2013</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2014</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2015</v>
      </c>
      <c r="F7" s="9" t="s">
        <v>169</v>
      </c>
      <c r="H7" s="9" t="s">
        <v>119</v>
      </c>
      <c r="I7" s="9" t="s">
        <v>120</v>
      </c>
    </row>
    <row r="8" spans="1:23">
      <c r="A8" s="8" t="s">
        <v>121</v>
      </c>
      <c r="B8" s="8" t="s">
        <v>122</v>
      </c>
      <c r="C8" s="1564" t="s">
        <v>2016</v>
      </c>
      <c r="F8" s="9" t="s">
        <v>170</v>
      </c>
      <c r="H8" s="9"/>
      <c r="I8" s="9" t="s">
        <v>123</v>
      </c>
    </row>
    <row r="9" spans="1:23">
      <c r="A9" s="8" t="s">
        <v>124</v>
      </c>
      <c r="B9" s="8" t="s">
        <v>171</v>
      </c>
      <c r="C9" s="1564" t="s">
        <v>2017</v>
      </c>
      <c r="F9" s="9" t="s">
        <v>125</v>
      </c>
      <c r="H9" s="9"/>
    </row>
    <row r="10" spans="1:23">
      <c r="A10" s="8" t="s">
        <v>126</v>
      </c>
      <c r="B10" s="8" t="s">
        <v>172</v>
      </c>
      <c r="C10" s="1564" t="s">
        <v>2018</v>
      </c>
      <c r="F10" s="9" t="s">
        <v>6</v>
      </c>
    </row>
    <row r="11" spans="1:23">
      <c r="A11" s="8" t="s">
        <v>127</v>
      </c>
      <c r="B11" s="8" t="s">
        <v>173</v>
      </c>
      <c r="C11" s="1564" t="s">
        <v>2019</v>
      </c>
    </row>
    <row r="12" spans="1:23">
      <c r="A12" s="8" t="s">
        <v>128</v>
      </c>
      <c r="B12" s="8" t="s">
        <v>174</v>
      </c>
      <c r="C12" s="1564" t="s">
        <v>2020</v>
      </c>
    </row>
    <row r="13" spans="1:23">
      <c r="A13" s="8" t="s">
        <v>129</v>
      </c>
      <c r="B13" s="8" t="s">
        <v>175</v>
      </c>
      <c r="C13" s="1564" t="s">
        <v>2021</v>
      </c>
    </row>
    <row r="14" spans="1:23">
      <c r="A14" s="8" t="s">
        <v>130</v>
      </c>
      <c r="B14" s="8" t="s">
        <v>176</v>
      </c>
      <c r="C14" s="1567" t="s">
        <v>2199</v>
      </c>
    </row>
    <row r="15" spans="1:23">
      <c r="A15" s="8" t="s">
        <v>131</v>
      </c>
      <c r="B15" s="8" t="s">
        <v>1979</v>
      </c>
      <c r="C15" s="1567"/>
    </row>
    <row r="16" spans="1:23">
      <c r="A16" s="8" t="s">
        <v>132</v>
      </c>
      <c r="B16" s="8" t="s">
        <v>1980</v>
      </c>
      <c r="C16" s="1567"/>
    </row>
    <row r="17" spans="1:3">
      <c r="A17" s="8" t="s">
        <v>133</v>
      </c>
      <c r="B17" s="8" t="s">
        <v>1981</v>
      </c>
      <c r="C17" s="1567"/>
    </row>
    <row r="18" spans="1:3">
      <c r="A18" s="8" t="s">
        <v>134</v>
      </c>
      <c r="B18" s="8" t="s">
        <v>3727</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2250</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2298</v>
      </c>
      <c r="B52" s="1780" t="s">
        <v>2299</v>
      </c>
      <c r="C52" s="1778" t="s">
        <v>2300</v>
      </c>
      <c r="D52" s="1778" t="s">
        <v>2301</v>
      </c>
      <c r="E52" s="1779"/>
    </row>
    <row r="53" spans="1:5">
      <c r="A53" s="3284" t="s">
        <v>2302</v>
      </c>
      <c r="B53" s="1778" t="s">
        <v>2309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84"/>
      <c r="B54" s="1778" t="s">
        <v>2310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84"/>
      <c r="B55" s="1778" t="s">
        <v>2303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84"/>
      <c r="B56" s="1778" t="s">
        <v>2304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84"/>
      <c r="B57" s="1778" t="s">
        <v>2305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2361</v>
      </c>
      <c r="B58" s="1778" t="s">
        <v>2362</v>
      </c>
      <c r="C58" s="11" t="s">
        <v>2363</v>
      </c>
      <c r="D58" s="1330" t="s">
        <v>2364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22" sqref="B22"/>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2245</v>
      </c>
      <c r="B1" s="3287" t="str">
        <f>IF(B10="北京市","北京市",C10)&amp;F10&amp;B16&amp;"国有建设用地使用权"&amp;B9&amp;"预评估"</f>
        <v>重庆市重庆市渝北区回兴街道A08-8/02号地块出让国有建设用地使用权抵押价格预评估</v>
      </c>
      <c r="C1" s="3288"/>
      <c r="D1" s="3288"/>
      <c r="E1" s="3288"/>
      <c r="F1" s="3288"/>
      <c r="G1" s="3288"/>
      <c r="H1" s="3288"/>
      <c r="I1" s="3289"/>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2246</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2247</v>
      </c>
      <c r="B3" s="1673">
        <v>42907</v>
      </c>
      <c r="C3" s="1674" t="s">
        <v>2307</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2248</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2249</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2250</v>
      </c>
      <c r="B8" s="1681" t="s">
        <v>3231</v>
      </c>
      <c r="C8" s="1682"/>
      <c r="D8" s="3293" t="s">
        <v>2252</v>
      </c>
      <c r="E8" s="1854" t="s">
        <v>2308</v>
      </c>
      <c r="F8" s="1683"/>
      <c r="G8" s="1671"/>
      <c r="H8" s="1671"/>
      <c r="I8" s="1718"/>
      <c r="J8" s="1705"/>
      <c r="K8" s="1784"/>
      <c r="L8" s="1733"/>
      <c r="M8" s="1733"/>
      <c r="N8" s="1705"/>
      <c r="O8" s="1706"/>
      <c r="P8" s="1705"/>
      <c r="Q8" s="1705"/>
      <c r="R8" s="1705"/>
      <c r="S8" s="1705"/>
      <c r="T8" s="1705"/>
      <c r="U8" s="1705"/>
    </row>
    <row r="9" spans="1:21" ht="15" thickBot="1">
      <c r="A9" s="1684" t="s">
        <v>2251</v>
      </c>
      <c r="B9" s="1685" t="s">
        <v>2308</v>
      </c>
      <c r="C9" s="1686"/>
      <c r="D9" s="3294"/>
      <c r="E9" s="1685" t="s">
        <v>1227</v>
      </c>
      <c r="F9" s="1757"/>
      <c r="G9" s="1752"/>
      <c r="H9" s="1752"/>
      <c r="I9" s="1753"/>
      <c r="J9" s="1705"/>
      <c r="K9" s="1784"/>
      <c r="L9" s="1733"/>
      <c r="M9" s="1733"/>
      <c r="N9" s="1705"/>
      <c r="O9" s="1706"/>
      <c r="P9" s="1705"/>
      <c r="Q9" s="1705"/>
      <c r="R9" s="1705"/>
      <c r="S9" s="1705"/>
      <c r="T9" s="1705"/>
      <c r="U9" s="1705"/>
    </row>
    <row r="10" spans="1:21" ht="15" thickTop="1">
      <c r="A10" s="1754" t="s">
        <v>2311</v>
      </c>
      <c r="B10" s="3041" t="s">
        <v>3232</v>
      </c>
      <c r="C10" s="1687" t="s">
        <v>3233</v>
      </c>
      <c r="D10" s="1678"/>
      <c r="E10" s="1688" t="s">
        <v>2254</v>
      </c>
      <c r="F10" s="1689" t="s">
        <v>3234</v>
      </c>
      <c r="G10" s="1755"/>
      <c r="H10" s="1756"/>
      <c r="I10" s="1678"/>
      <c r="J10" s="1705"/>
      <c r="K10" s="1784"/>
      <c r="L10" s="1733"/>
      <c r="M10" s="1733"/>
      <c r="N10" s="1705"/>
      <c r="O10" s="1706"/>
      <c r="P10" s="1705"/>
      <c r="Q10" s="1705"/>
      <c r="R10" s="1705"/>
      <c r="S10" s="1705"/>
      <c r="T10" s="1705"/>
      <c r="U10" s="1705"/>
    </row>
    <row r="11" spans="1:21" ht="28.5">
      <c r="A11" s="1708" t="s">
        <v>2312</v>
      </c>
      <c r="B11" s="1709" t="s">
        <v>2255</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2372</v>
      </c>
      <c r="B12" s="3290" t="s">
        <v>2377</v>
      </c>
      <c r="C12" s="3291"/>
      <c r="D12" s="3292"/>
      <c r="E12" s="1710" t="s">
        <v>2375</v>
      </c>
      <c r="F12" s="3308" t="s">
        <v>3235</v>
      </c>
      <c r="G12" s="3309"/>
      <c r="H12" s="3309"/>
      <c r="I12" s="3310"/>
      <c r="J12" s="1705"/>
      <c r="K12" s="1784"/>
      <c r="L12" s="1733"/>
      <c r="M12" s="1733"/>
      <c r="N12" s="1705"/>
      <c r="O12" s="1706"/>
      <c r="P12" s="1705"/>
      <c r="Q12" s="1705"/>
      <c r="R12" s="1705"/>
      <c r="S12" s="1705"/>
      <c r="T12" s="1705"/>
      <c r="U12" s="1705"/>
    </row>
    <row r="13" spans="1:21">
      <c r="A13" s="1698" t="s">
        <v>2373</v>
      </c>
      <c r="B13" s="3290" t="s">
        <v>2377</v>
      </c>
      <c r="C13" s="3291"/>
      <c r="D13" s="3292"/>
      <c r="E13" s="1710" t="s">
        <v>2375</v>
      </c>
      <c r="F13" s="3308"/>
      <c r="G13" s="3309"/>
      <c r="H13" s="3309"/>
      <c r="I13" s="3310"/>
      <c r="J13" s="1705"/>
      <c r="K13" s="1784"/>
      <c r="L13" s="1733"/>
      <c r="M13" s="1733"/>
      <c r="N13" s="1705"/>
      <c r="O13" s="1706"/>
      <c r="P13" s="1705"/>
      <c r="Q13" s="1705"/>
      <c r="R13" s="1705"/>
      <c r="S13" s="1705"/>
      <c r="T13" s="1705"/>
      <c r="U13" s="1705"/>
    </row>
    <row r="14" spans="1:21">
      <c r="A14" s="1672" t="s">
        <v>2376</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2258</v>
      </c>
      <c r="E15" s="1776" t="s">
        <v>2259</v>
      </c>
      <c r="F15" s="1776" t="s">
        <v>2260</v>
      </c>
      <c r="G15" s="1697" t="s">
        <v>2261</v>
      </c>
      <c r="H15" s="1697" t="s">
        <v>2262</v>
      </c>
      <c r="I15" s="1697" t="s">
        <v>2263</v>
      </c>
      <c r="J15" s="1705"/>
      <c r="K15" s="1784"/>
      <c r="L15" s="1733"/>
      <c r="M15" s="1733"/>
      <c r="N15" s="1705"/>
      <c r="O15" s="1706"/>
      <c r="P15" s="1705"/>
      <c r="Q15" s="1705"/>
      <c r="R15" s="1705"/>
      <c r="S15" s="1705"/>
      <c r="T15" s="1705"/>
      <c r="U15" s="1705"/>
    </row>
    <row r="16" spans="1:21" ht="42.75">
      <c r="A16" s="1691" t="s">
        <v>2256</v>
      </c>
      <c r="B16" s="1692" t="s">
        <v>3236</v>
      </c>
      <c r="C16" s="1710" t="s">
        <v>2257</v>
      </c>
      <c r="D16" s="2700" t="s">
        <v>2258</v>
      </c>
      <c r="E16" s="1732" t="s">
        <v>1971</v>
      </c>
      <c r="F16" s="1732" t="s">
        <v>2939</v>
      </c>
      <c r="G16" s="1732" t="s">
        <v>50</v>
      </c>
      <c r="H16" s="1732" t="s">
        <v>2940</v>
      </c>
      <c r="I16" s="1697" t="s">
        <v>2263</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2264</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2265</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2266</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2374</v>
      </c>
      <c r="D20" s="3305" t="s">
        <v>3237</v>
      </c>
      <c r="E20" s="3306"/>
      <c r="F20" s="3306"/>
      <c r="G20" s="3306"/>
      <c r="H20" s="3306"/>
      <c r="I20" s="3307"/>
      <c r="J20" s="1705"/>
      <c r="K20" s="1784"/>
      <c r="L20" s="1733"/>
      <c r="M20" s="1733"/>
      <c r="N20" s="1705"/>
      <c r="O20" s="1706"/>
      <c r="P20" s="1705"/>
      <c r="Q20" s="1705"/>
      <c r="R20" s="1705"/>
      <c r="S20" s="1705"/>
      <c r="T20" s="1705"/>
      <c r="U20" s="1705"/>
    </row>
    <row r="21" spans="1:21">
      <c r="A21" s="1773" t="s">
        <v>2267</v>
      </c>
      <c r="B21" s="1774" t="s">
        <v>2268</v>
      </c>
      <c r="C21" s="1769">
        <f>'数据-汇总表'!E3</f>
        <v>76634</v>
      </c>
      <c r="D21" s="1770" t="s">
        <v>2269</v>
      </c>
      <c r="E21" s="3295"/>
      <c r="F21" s="3296"/>
      <c r="G21" s="3296"/>
      <c r="H21" s="3296"/>
      <c r="I21" s="3297"/>
      <c r="J21" s="1705"/>
      <c r="K21" s="1784"/>
      <c r="L21" s="1733"/>
      <c r="M21" s="1733"/>
      <c r="N21" s="1705"/>
      <c r="O21" s="1706"/>
      <c r="P21" s="1705"/>
      <c r="Q21" s="1705"/>
      <c r="R21" s="1705"/>
      <c r="S21" s="1705"/>
      <c r="T21" s="1705"/>
      <c r="U21" s="1705"/>
    </row>
    <row r="22" spans="1:21">
      <c r="A22" s="2691" t="s">
        <v>1227</v>
      </c>
      <c r="B22" s="1672" t="s">
        <v>2270</v>
      </c>
      <c r="C22" s="1697">
        <f>'数据-汇总表'!D3</f>
        <v>46771</v>
      </c>
      <c r="D22" s="1698" t="s">
        <v>2269</v>
      </c>
      <c r="E22" s="3295" t="s">
        <v>3238</v>
      </c>
      <c r="F22" s="3296"/>
      <c r="G22" s="3296"/>
      <c r="H22" s="3296"/>
      <c r="I22" s="3297"/>
      <c r="J22" s="1705"/>
      <c r="K22" s="1784"/>
      <c r="L22" s="1733"/>
      <c r="M22" s="1733"/>
      <c r="N22" s="1705"/>
      <c r="O22" s="1706"/>
      <c r="P22" s="1705"/>
      <c r="Q22" s="1705"/>
      <c r="R22" s="1705"/>
      <c r="S22" s="1705"/>
      <c r="T22" s="1705"/>
      <c r="U22" s="1705"/>
    </row>
    <row r="23" spans="1:21" ht="43.5" thickBot="1">
      <c r="A23" s="1775" t="s">
        <v>2271</v>
      </c>
      <c r="B23" s="1712" t="s">
        <v>2272</v>
      </c>
      <c r="C23" s="1713" t="s">
        <v>1973</v>
      </c>
      <c r="D23" s="1714" t="s">
        <v>2273</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2274</v>
      </c>
      <c r="B24" s="3298" t="s">
        <v>2275</v>
      </c>
      <c r="C24" s="3299"/>
      <c r="D24" s="3300" t="s">
        <v>2276</v>
      </c>
      <c r="E24" s="3301"/>
      <c r="F24" s="1719" t="s">
        <v>2277</v>
      </c>
      <c r="G24" s="1705"/>
      <c r="H24" s="1705"/>
      <c r="I24" s="1718"/>
      <c r="J24" s="1705"/>
      <c r="K24" s="3286" t="s">
        <v>2278</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2650</v>
      </c>
      <c r="C25" s="1720" t="s">
        <v>2651</v>
      </c>
      <c r="D25" s="1721"/>
      <c r="E25" s="1722" t="s">
        <v>1227</v>
      </c>
      <c r="F25" s="1723"/>
      <c r="G25" s="1705"/>
      <c r="H25" s="1705"/>
      <c r="I25" s="1718"/>
      <c r="J25" s="1705"/>
      <c r="K25" s="3286"/>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86"/>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2279</v>
      </c>
      <c r="B27" s="1763" t="s">
        <v>2280</v>
      </c>
      <c r="C27" s="1724"/>
      <c r="D27" s="2705" t="s">
        <v>2280</v>
      </c>
      <c r="E27" s="1725"/>
      <c r="F27" s="1699"/>
      <c r="G27" s="1705"/>
      <c r="H27" s="1705"/>
      <c r="I27" s="1718"/>
      <c r="J27" s="1705"/>
      <c r="K27" s="1784"/>
      <c r="L27" s="1733"/>
      <c r="M27" s="1733"/>
      <c r="N27" s="1705"/>
      <c r="O27" s="1706"/>
      <c r="P27" s="1705"/>
      <c r="Q27" s="1705"/>
      <c r="R27" s="1705"/>
      <c r="S27" s="1705"/>
      <c r="T27" s="1705"/>
      <c r="U27" s="1705"/>
    </row>
    <row r="28" spans="1:21">
      <c r="A28" s="1766"/>
      <c r="B28" s="1763" t="s">
        <v>2281</v>
      </c>
      <c r="C28" s="1726"/>
      <c r="D28" s="2706" t="s">
        <v>2281</v>
      </c>
      <c r="E28" s="1727"/>
      <c r="F28" s="1699"/>
      <c r="G28" s="1705"/>
      <c r="H28" s="1705"/>
      <c r="I28" s="1718"/>
      <c r="J28" s="1705"/>
      <c r="K28" s="1784"/>
      <c r="L28" s="1733"/>
      <c r="M28" s="1733"/>
      <c r="N28" s="1705"/>
      <c r="O28" s="1706"/>
      <c r="P28" s="1705"/>
      <c r="Q28" s="1705"/>
      <c r="R28" s="1705"/>
      <c r="S28" s="1705"/>
      <c r="T28" s="1705"/>
      <c r="U28" s="1705"/>
    </row>
    <row r="29" spans="1:21">
      <c r="A29" s="1766"/>
      <c r="B29" s="1763" t="s">
        <v>2282</v>
      </c>
      <c r="C29" s="1726"/>
      <c r="D29" s="2706" t="s">
        <v>2282</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2283</v>
      </c>
      <c r="C30" s="1728"/>
      <c r="D30" s="2707" t="s">
        <v>2283</v>
      </c>
      <c r="E30" s="1729"/>
      <c r="F30" s="1700"/>
      <c r="G30" s="1752"/>
      <c r="H30" s="1752"/>
      <c r="I30" s="1753"/>
      <c r="J30" s="1705"/>
      <c r="K30" s="1784"/>
      <c r="L30" s="1733"/>
      <c r="M30" s="1733"/>
      <c r="N30" s="1705"/>
      <c r="O30" s="1706"/>
      <c r="P30" s="1705"/>
      <c r="Q30" s="1705"/>
      <c r="R30" s="1705"/>
      <c r="S30" s="1705"/>
      <c r="T30" s="1705"/>
      <c r="U30" s="1705"/>
    </row>
    <row r="31" spans="1:21" ht="15" thickTop="1">
      <c r="A31" s="3313" t="s">
        <v>2313</v>
      </c>
      <c r="B31" s="1774" t="s">
        <v>2314</v>
      </c>
      <c r="C31" s="3311" t="s">
        <v>3239</v>
      </c>
      <c r="D31" s="3312"/>
      <c r="E31" s="1705"/>
      <c r="F31" s="1705"/>
      <c r="G31" s="1705"/>
      <c r="H31" s="1705"/>
      <c r="I31" s="1718"/>
      <c r="J31" s="1705"/>
      <c r="K31" s="2510"/>
      <c r="L31" s="1705"/>
      <c r="M31" s="1705"/>
      <c r="N31" s="1705"/>
      <c r="O31" s="1705"/>
      <c r="P31" s="1705"/>
      <c r="Q31" s="1705"/>
      <c r="R31" s="1705"/>
      <c r="S31" s="1705"/>
      <c r="T31" s="1705"/>
      <c r="U31" s="1705"/>
    </row>
    <row r="32" spans="1:21">
      <c r="A32" s="3313"/>
      <c r="B32" s="1672" t="s">
        <v>2315</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313"/>
      <c r="B33" s="1672" t="s">
        <v>2316</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314"/>
      <c r="B34" s="1672" t="s">
        <v>2317</v>
      </c>
      <c r="C34" s="3315"/>
      <c r="D34" s="3316"/>
      <c r="E34" s="1705"/>
      <c r="F34" s="1705"/>
      <c r="G34" s="1705"/>
      <c r="H34" s="1705"/>
      <c r="I34" s="1718"/>
      <c r="J34" s="1705"/>
      <c r="K34" s="2510"/>
      <c r="L34" s="1705"/>
      <c r="M34" s="1705"/>
      <c r="N34" s="1705"/>
      <c r="O34" s="1705"/>
      <c r="P34" s="1705"/>
      <c r="Q34" s="1705"/>
      <c r="R34" s="1705"/>
      <c r="S34" s="1705"/>
      <c r="T34" s="1705"/>
      <c r="U34" s="1705"/>
    </row>
    <row r="35" spans="1:21" ht="28.5">
      <c r="A35" s="3317" t="s">
        <v>1113</v>
      </c>
      <c r="B35" s="1732" t="s">
        <v>3024</v>
      </c>
      <c r="C35" s="1786" t="str">
        <f>IF(B35="场地平整","——","具体情况：")</f>
        <v>具体情况：</v>
      </c>
      <c r="D35" s="3319" t="s">
        <v>3027</v>
      </c>
      <c r="E35" s="3320"/>
      <c r="F35" s="3320"/>
      <c r="G35" s="3320"/>
      <c r="H35" s="3320"/>
      <c r="I35" s="3321"/>
      <c r="J35" s="1705"/>
      <c r="K35" s="1785"/>
      <c r="L35" s="1733"/>
      <c r="M35" s="1733"/>
      <c r="N35" s="1705"/>
      <c r="O35" s="1706"/>
      <c r="P35" s="1705"/>
      <c r="Q35" s="1705"/>
      <c r="R35" s="1705"/>
      <c r="S35" s="1705"/>
      <c r="T35" s="1705"/>
      <c r="U35" s="1705"/>
    </row>
    <row r="36" spans="1:21">
      <c r="A36" s="3313"/>
      <c r="B36" s="3322" t="s">
        <v>2367</v>
      </c>
      <c r="C36" s="3323"/>
      <c r="D36" s="1802" t="s">
        <v>2366</v>
      </c>
      <c r="E36" s="3324"/>
      <c r="F36" s="3324"/>
      <c r="G36" s="1698" t="str">
        <f>IF(B35="场地未平整","估价结果处理","")</f>
        <v/>
      </c>
      <c r="H36" s="3325"/>
      <c r="I36" s="3325"/>
      <c r="J36" s="1705"/>
      <c r="K36" s="1785"/>
      <c r="L36" s="1733"/>
      <c r="M36" s="1733"/>
      <c r="N36" s="1705"/>
      <c r="O36" s="1706"/>
      <c r="P36" s="1705"/>
      <c r="Q36" s="1705"/>
      <c r="R36" s="1705"/>
      <c r="S36" s="1705"/>
      <c r="T36" s="1705"/>
      <c r="U36" s="1705"/>
    </row>
    <row r="37" spans="1:21" ht="28.5">
      <c r="A37" s="3313"/>
      <c r="B37" s="3302"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313"/>
      <c r="B38" s="3303"/>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314"/>
      <c r="B39" s="3304"/>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2284</v>
      </c>
      <c r="B40" s="1701" t="s">
        <v>2285</v>
      </c>
      <c r="C40" s="1701" t="s">
        <v>2286</v>
      </c>
      <c r="D40" s="1701" t="s">
        <v>2287</v>
      </c>
      <c r="E40" s="1701" t="s">
        <v>2288</v>
      </c>
      <c r="F40" s="1701" t="s">
        <v>2289</v>
      </c>
      <c r="G40" s="1701" t="s">
        <v>1993</v>
      </c>
      <c r="H40" s="1701" t="s">
        <v>1227</v>
      </c>
      <c r="I40" s="1718"/>
      <c r="J40" s="1705"/>
      <c r="K40" s="1740">
        <f>COUNTIF(B40:H40,"——")</f>
        <v>1</v>
      </c>
      <c r="L40" s="1710" t="s">
        <v>2290</v>
      </c>
      <c r="M40" s="1707" t="s">
        <v>2291</v>
      </c>
      <c r="N40" s="1707" t="s">
        <v>2292</v>
      </c>
      <c r="O40" s="1707" t="s">
        <v>2293</v>
      </c>
      <c r="P40" s="1707" t="s">
        <v>2294</v>
      </c>
      <c r="Q40" s="1707" t="s">
        <v>2295</v>
      </c>
      <c r="R40" s="1707" t="s">
        <v>2296</v>
      </c>
      <c r="S40" s="3285" t="s">
        <v>2297</v>
      </c>
      <c r="T40" s="1741" t="str">
        <f>NUMBERSTRING(7-K40,1)&amp;"通"</f>
        <v>六通</v>
      </c>
      <c r="U40" s="1705"/>
    </row>
    <row r="41" spans="1:21">
      <c r="A41" s="1674"/>
      <c r="B41" s="3318" t="s">
        <v>2022</v>
      </c>
      <c r="C41" s="3318"/>
      <c r="D41" s="3318"/>
      <c r="E41" s="3318"/>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85"/>
      <c r="T41" s="1743" t="str">
        <f>IF(T40="一通",L41,IF(T40="二通",M41,IF(T40="三通",N41,IF(T40="四通",O41,IF(T40="五通",P41,IF(T40="六通",Q41,R41))))))</f>
        <v>通路、通电、通上水、通下水、通讯、燃气</v>
      </c>
      <c r="U41" s="1705"/>
    </row>
    <row r="42" spans="1:21">
      <c r="A42" s="1745"/>
      <c r="B42" s="1776" t="s">
        <v>2200</v>
      </c>
      <c r="C42" s="1776" t="s">
        <v>2201</v>
      </c>
      <c r="D42" s="1776" t="s">
        <v>2202</v>
      </c>
      <c r="E42" s="1710" t="s">
        <v>2203</v>
      </c>
      <c r="F42" s="1746"/>
      <c r="G42" s="1705"/>
      <c r="H42" s="1705"/>
      <c r="I42" s="1718"/>
      <c r="J42" s="1705"/>
      <c r="K42" s="1784"/>
      <c r="L42" s="1733"/>
      <c r="M42" s="1733"/>
      <c r="N42" s="1705"/>
      <c r="O42" s="1706"/>
      <c r="P42" s="1705"/>
      <c r="Q42" s="1705"/>
      <c r="R42" s="1705"/>
      <c r="S42" s="1705"/>
      <c r="T42" s="1705"/>
      <c r="U42" s="1705"/>
    </row>
    <row r="43" spans="1:21">
      <c r="A43" s="1747" t="s">
        <v>2007</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2008</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2318</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2319</v>
      </c>
      <c r="B48" s="1697" t="s">
        <v>2320</v>
      </c>
      <c r="C48" s="1697" t="s">
        <v>2321</v>
      </c>
      <c r="D48" s="1697" t="s">
        <v>2322</v>
      </c>
      <c r="E48" s="1697" t="s">
        <v>2323</v>
      </c>
      <c r="F48" s="1697" t="s">
        <v>2324</v>
      </c>
      <c r="G48" s="1697" t="s">
        <v>2325</v>
      </c>
      <c r="H48" s="1697" t="s">
        <v>2326</v>
      </c>
      <c r="I48" s="1697" t="s">
        <v>2327</v>
      </c>
      <c r="J48" s="1782" t="s">
        <v>2328</v>
      </c>
      <c r="K48" s="1776" t="s">
        <v>2329</v>
      </c>
      <c r="L48" s="1776" t="s">
        <v>2330</v>
      </c>
      <c r="M48" s="1776" t="s">
        <v>2331</v>
      </c>
      <c r="N48" s="1697" t="s">
        <v>2332</v>
      </c>
      <c r="O48" s="1697" t="s">
        <v>2333</v>
      </c>
      <c r="P48" s="1697" t="s">
        <v>2334</v>
      </c>
      <c r="Q48" s="1710" t="s">
        <v>2335</v>
      </c>
      <c r="R48" s="1710" t="s">
        <v>2336</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6" sqref="G6"/>
    </sheetView>
  </sheetViews>
  <sheetFormatPr defaultColWidth="14.625" defaultRowHeight="13.5"/>
  <cols>
    <col min="1" max="1" width="24.375" style="3207" customWidth="1"/>
    <col min="2" max="16384" width="14.625" style="3207"/>
  </cols>
  <sheetData>
    <row r="1" spans="1:9" ht="16.5">
      <c r="A1" s="3205" t="s">
        <v>3733</v>
      </c>
      <c r="B1" s="3205">
        <f>SUM(B14:B23)</f>
        <v>76634</v>
      </c>
      <c r="C1" s="3206"/>
      <c r="D1" s="3206"/>
      <c r="E1" s="3206"/>
      <c r="F1" s="3206"/>
    </row>
    <row r="2" spans="1:9" ht="16.5">
      <c r="A2" s="3205" t="s">
        <v>3734</v>
      </c>
      <c r="B2" s="3205">
        <f>SUM(C14:C23)</f>
        <v>46771</v>
      </c>
      <c r="C2" s="3206"/>
      <c r="D2" s="3206"/>
      <c r="E2" s="3206"/>
      <c r="F2" s="3206"/>
    </row>
    <row r="3" spans="1:9" ht="16.5">
      <c r="A3" s="3205" t="s">
        <v>3735</v>
      </c>
      <c r="B3" s="3208">
        <f>项目基本情况!D3</f>
        <v>42907</v>
      </c>
      <c r="C3" s="3206"/>
      <c r="D3" s="3206"/>
      <c r="E3" s="3206"/>
      <c r="F3" s="3206"/>
    </row>
    <row r="4" spans="1:9" ht="33">
      <c r="A4" s="3205" t="s">
        <v>3736</v>
      </c>
      <c r="B4" s="3205" t="s">
        <v>3737</v>
      </c>
      <c r="C4" s="3205" t="s">
        <v>3738</v>
      </c>
      <c r="D4" s="3205" t="s">
        <v>3739</v>
      </c>
      <c r="E4" s="3206"/>
      <c r="F4" s="3206"/>
    </row>
    <row r="5" spans="1:9" ht="16.5">
      <c r="A5" s="3205" t="s">
        <v>3740</v>
      </c>
      <c r="B5" s="3205">
        <f ca="1">SUM(D14:D23)</f>
        <v>33438</v>
      </c>
      <c r="C5" s="3205">
        <f ca="1">ROUND(B5*10000/$B$1,0)</f>
        <v>4363</v>
      </c>
      <c r="D5" s="3205">
        <f ca="1">ROUND(B5*10000/$B$2,0)</f>
        <v>7149</v>
      </c>
      <c r="E5" s="3206"/>
      <c r="F5" s="3206"/>
    </row>
    <row r="6" spans="1:9" ht="16.5">
      <c r="A6" s="3205" t="s">
        <v>3741</v>
      </c>
      <c r="B6" s="3205">
        <f>SUM(G14:G23)</f>
        <v>0</v>
      </c>
      <c r="C6" s="3205">
        <f t="shared" ref="C6:C8" si="0">ROUND(B6*10000/$B$1,0)</f>
        <v>0</v>
      </c>
      <c r="D6" s="3205">
        <f t="shared" ref="D6:D8" si="1">ROUND(B6*10000/$B$2,0)</f>
        <v>0</v>
      </c>
      <c r="E6" s="3206"/>
      <c r="F6" s="3206"/>
    </row>
    <row r="7" spans="1:9" ht="16.5">
      <c r="A7" s="3205" t="s">
        <v>3742</v>
      </c>
      <c r="B7" s="3205">
        <f>SUM(H14:H23)</f>
        <v>0</v>
      </c>
      <c r="C7" s="3205">
        <f t="shared" si="0"/>
        <v>0</v>
      </c>
      <c r="D7" s="3205">
        <f t="shared" si="1"/>
        <v>0</v>
      </c>
      <c r="E7" s="3206"/>
      <c r="F7" s="3206"/>
    </row>
    <row r="8" spans="1:9" ht="16.5">
      <c r="A8" s="3205" t="s">
        <v>3743</v>
      </c>
      <c r="B8" s="3205">
        <f>SUM(I14:I23)</f>
        <v>0</v>
      </c>
      <c r="C8" s="3205">
        <f t="shared" si="0"/>
        <v>0</v>
      </c>
      <c r="D8" s="3205">
        <f t="shared" si="1"/>
        <v>0</v>
      </c>
      <c r="E8" s="3206"/>
      <c r="F8" s="3206"/>
    </row>
    <row r="9" spans="1:9" ht="16.5">
      <c r="A9" s="3205" t="s">
        <v>3744</v>
      </c>
      <c r="B9" s="3209"/>
      <c r="C9" s="3206"/>
      <c r="D9" s="3206"/>
      <c r="E9" s="3206"/>
      <c r="F9" s="3206"/>
    </row>
    <row r="10" spans="1:9" ht="16.5">
      <c r="A10" s="3205" t="s">
        <v>3745</v>
      </c>
      <c r="B10" s="3209"/>
      <c r="C10" s="3206"/>
      <c r="D10" s="3206"/>
      <c r="E10" s="3206"/>
      <c r="F10" s="3206"/>
    </row>
    <row r="11" spans="1:9" ht="16.5">
      <c r="A11" s="3205" t="s">
        <v>3746</v>
      </c>
      <c r="B11" s="3209"/>
      <c r="C11" s="3206"/>
      <c r="D11" s="3206"/>
      <c r="E11" s="3206"/>
      <c r="F11" s="3206"/>
    </row>
    <row r="12" spans="1:9" ht="16.5">
      <c r="A12" s="3206"/>
      <c r="B12" s="3206"/>
      <c r="C12" s="3206"/>
      <c r="D12" s="3206"/>
      <c r="E12" s="3206"/>
      <c r="F12" s="3206"/>
    </row>
    <row r="13" spans="1:9" ht="33">
      <c r="A13" s="3210" t="s">
        <v>3747</v>
      </c>
      <c r="B13" s="3211" t="s">
        <v>3733</v>
      </c>
      <c r="C13" s="3211" t="s">
        <v>3734</v>
      </c>
      <c r="D13" s="3211" t="s">
        <v>3748</v>
      </c>
      <c r="E13" s="3205" t="s">
        <v>3749</v>
      </c>
      <c r="F13" s="3205" t="s">
        <v>3739</v>
      </c>
      <c r="G13" s="3211" t="s">
        <v>3750</v>
      </c>
      <c r="H13" s="3211" t="s">
        <v>3751</v>
      </c>
      <c r="I13" s="3211" t="s">
        <v>3752</v>
      </c>
    </row>
    <row r="14" spans="1:9" ht="16.5">
      <c r="A14" s="3212" t="s">
        <v>3753</v>
      </c>
      <c r="B14" s="3211">
        <f>'数据-汇总表'!E3</f>
        <v>76634</v>
      </c>
      <c r="C14" s="3211">
        <f>'数据-汇总表'!D3</f>
        <v>46771</v>
      </c>
      <c r="D14" s="3211">
        <f ca="1">结果表!C42</f>
        <v>33438</v>
      </c>
      <c r="E14" s="3211">
        <f ca="1">ROUND(D14*10000/B14,0)</f>
        <v>4363</v>
      </c>
      <c r="F14" s="3211">
        <f ca="1">ROUND(D14*10000/C14,0)</f>
        <v>7149</v>
      </c>
      <c r="G14" s="3211" t="str">
        <f>[1]结果表!C44</f>
        <v>——</v>
      </c>
      <c r="H14" s="3211" t="str">
        <f>[1]结果表!C45</f>
        <v>——</v>
      </c>
      <c r="I14" s="3211" t="str">
        <f>[1]结果表!C46</f>
        <v>——</v>
      </c>
    </row>
    <row r="15" spans="1:9" ht="16.5">
      <c r="A15" s="3212" t="s">
        <v>3754</v>
      </c>
      <c r="B15" s="3213"/>
      <c r="C15" s="3213"/>
      <c r="D15" s="3213"/>
      <c r="E15" s="3211" t="e">
        <f t="shared" ref="E15:E23" si="2">ROUND(D15*10000/B15,0)</f>
        <v>#DIV/0!</v>
      </c>
      <c r="F15" s="3211" t="e">
        <f t="shared" ref="F15:F23" si="3">ROUND(D15*10000/C15,0)</f>
        <v>#DIV/0!</v>
      </c>
      <c r="G15" s="3214"/>
      <c r="H15" s="3214"/>
      <c r="I15" s="3213"/>
    </row>
    <row r="16" spans="1:9" ht="16.5">
      <c r="A16" s="3212" t="s">
        <v>3755</v>
      </c>
      <c r="B16" s="3213"/>
      <c r="C16" s="3213"/>
      <c r="D16" s="3213"/>
      <c r="E16" s="3211" t="e">
        <f t="shared" si="2"/>
        <v>#DIV/0!</v>
      </c>
      <c r="F16" s="3211" t="e">
        <f t="shared" si="3"/>
        <v>#DIV/0!</v>
      </c>
      <c r="G16" s="3214"/>
      <c r="H16" s="3214"/>
      <c r="I16" s="3213"/>
    </row>
    <row r="17" spans="1:9" ht="16.5">
      <c r="A17" s="3212" t="s">
        <v>3756</v>
      </c>
      <c r="B17" s="3213"/>
      <c r="C17" s="3213"/>
      <c r="D17" s="3213"/>
      <c r="E17" s="3211" t="e">
        <f t="shared" si="2"/>
        <v>#DIV/0!</v>
      </c>
      <c r="F17" s="3211" t="e">
        <f t="shared" si="3"/>
        <v>#DIV/0!</v>
      </c>
      <c r="G17" s="3214"/>
      <c r="H17" s="3214"/>
      <c r="I17" s="3213"/>
    </row>
    <row r="18" spans="1:9" ht="16.5">
      <c r="A18" s="3212" t="s">
        <v>3757</v>
      </c>
      <c r="B18" s="3213"/>
      <c r="C18" s="3213"/>
      <c r="D18" s="3213"/>
      <c r="E18" s="3211" t="e">
        <f t="shared" si="2"/>
        <v>#DIV/0!</v>
      </c>
      <c r="F18" s="3211" t="e">
        <f t="shared" si="3"/>
        <v>#DIV/0!</v>
      </c>
      <c r="G18" s="3213"/>
      <c r="H18" s="3213"/>
      <c r="I18" s="3213"/>
    </row>
    <row r="19" spans="1:9" ht="16.5">
      <c r="A19" s="3212" t="s">
        <v>3758</v>
      </c>
      <c r="B19" s="3213"/>
      <c r="C19" s="3213"/>
      <c r="D19" s="3213"/>
      <c r="E19" s="3211" t="e">
        <f t="shared" si="2"/>
        <v>#DIV/0!</v>
      </c>
      <c r="F19" s="3211" t="e">
        <f t="shared" si="3"/>
        <v>#DIV/0!</v>
      </c>
      <c r="G19" s="3213"/>
      <c r="H19" s="3213"/>
      <c r="I19" s="3213"/>
    </row>
    <row r="20" spans="1:9" ht="16.5">
      <c r="A20" s="3212" t="s">
        <v>3759</v>
      </c>
      <c r="B20" s="3213"/>
      <c r="C20" s="3213"/>
      <c r="D20" s="3213"/>
      <c r="E20" s="3211" t="e">
        <f t="shared" si="2"/>
        <v>#DIV/0!</v>
      </c>
      <c r="F20" s="3211" t="e">
        <f t="shared" si="3"/>
        <v>#DIV/0!</v>
      </c>
      <c r="G20" s="3213"/>
      <c r="H20" s="3213"/>
      <c r="I20" s="3213"/>
    </row>
    <row r="21" spans="1:9" ht="16.5">
      <c r="A21" s="3212" t="s">
        <v>3760</v>
      </c>
      <c r="B21" s="3213"/>
      <c r="C21" s="3213"/>
      <c r="D21" s="3213"/>
      <c r="E21" s="3211" t="e">
        <f t="shared" si="2"/>
        <v>#DIV/0!</v>
      </c>
      <c r="F21" s="3211" t="e">
        <f t="shared" si="3"/>
        <v>#DIV/0!</v>
      </c>
      <c r="G21" s="3213"/>
      <c r="H21" s="3213"/>
      <c r="I21" s="3213"/>
    </row>
    <row r="22" spans="1:9" ht="16.5">
      <c r="A22" s="3212" t="s">
        <v>3761</v>
      </c>
      <c r="B22" s="3213"/>
      <c r="C22" s="3213"/>
      <c r="D22" s="3213"/>
      <c r="E22" s="3211" t="e">
        <f t="shared" si="2"/>
        <v>#DIV/0!</v>
      </c>
      <c r="F22" s="3211" t="e">
        <f t="shared" si="3"/>
        <v>#DIV/0!</v>
      </c>
      <c r="G22" s="3213"/>
      <c r="H22" s="3213"/>
      <c r="I22" s="3213"/>
    </row>
    <row r="23" spans="1:9" ht="16.5">
      <c r="A23" s="3212" t="s">
        <v>3762</v>
      </c>
      <c r="B23" s="3213"/>
      <c r="C23" s="3213"/>
      <c r="D23" s="3213"/>
      <c r="E23" s="3205" t="e">
        <f t="shared" si="2"/>
        <v>#DIV/0!</v>
      </c>
      <c r="F23" s="3205" t="e">
        <f t="shared" si="3"/>
        <v>#DIV/0!</v>
      </c>
      <c r="G23" s="3213"/>
      <c r="H23" s="3213"/>
      <c r="I23" s="3213"/>
    </row>
  </sheetData>
  <sheetProtection password="C66D" sheet="1" objects="1" scenarios="1"/>
  <phoneticPr fontId="2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2659</v>
      </c>
      <c r="BA2" s="2380" t="s">
        <v>2658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面积表!E5</f>
        <v>46771</v>
      </c>
      <c r="B3" s="22">
        <f>IF(C3="否",G5-AT5,G5)</f>
        <v>76634</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76634</v>
      </c>
      <c r="H5" s="27">
        <f t="shared" ref="H5:AT5" si="0">SUM(H13:H641)</f>
        <v>76634</v>
      </c>
      <c r="I5" s="27">
        <f t="shared" si="0"/>
        <v>0</v>
      </c>
      <c r="J5" s="27">
        <f t="shared" si="0"/>
        <v>0</v>
      </c>
      <c r="K5" s="27">
        <f t="shared" si="0"/>
        <v>76634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76634</v>
      </c>
      <c r="BA5" s="29">
        <f t="shared" si="1"/>
        <v>76634</v>
      </c>
      <c r="BB5" s="29">
        <f t="shared" si="1"/>
        <v>0</v>
      </c>
      <c r="BC5" s="29">
        <f t="shared" si="1"/>
        <v>76634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46771</v>
      </c>
      <c r="F6" s="27" t="s">
        <v>1</v>
      </c>
      <c r="G6" s="27" t="s">
        <v>2</v>
      </c>
      <c r="H6" s="33">
        <f>SUMIF(I$12:AB$12,"总值",I6:AB6)</f>
        <v>46771</v>
      </c>
      <c r="I6" s="27">
        <f t="shared" ref="I6:AB6" si="2">ROUND($A$3*I5/$B$3,2)</f>
        <v>0</v>
      </c>
      <c r="J6" s="27">
        <f t="shared" si="2"/>
        <v>0</v>
      </c>
      <c r="K6" s="27">
        <f t="shared" si="2"/>
        <v>46771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46771</v>
      </c>
      <c r="AZ6" s="27" t="s">
        <v>3</v>
      </c>
      <c r="BA6" s="27">
        <f>ROUND($AY$6*BA5/$AZ$5,2)</f>
        <v>46771</v>
      </c>
      <c r="BB6" s="27">
        <f>ROUND($AY$6*BB5/$AZ$5,2)</f>
        <v>0</v>
      </c>
      <c r="BC6" s="27">
        <f t="shared" ref="BC6:BH6" si="4">ROUND($AY$6*BC5/$AZ$5,2)</f>
        <v>46771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2652</v>
      </c>
      <c r="J9" s="51"/>
      <c r="K9" s="3020" t="s">
        <v>2652</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2642</v>
      </c>
      <c r="AE10" s="2355"/>
      <c r="AF10" s="2333" t="s">
        <v>2642</v>
      </c>
      <c r="AG10" s="2355"/>
      <c r="AH10" s="2333" t="s">
        <v>2643</v>
      </c>
      <c r="AI10" s="2355"/>
      <c r="AJ10" s="26" t="s">
        <v>2657</v>
      </c>
      <c r="AK10" s="2352"/>
      <c r="AL10" s="2333" t="s">
        <v>2644</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3334</v>
      </c>
      <c r="L11" s="71"/>
      <c r="M11" s="70"/>
      <c r="N11" s="71"/>
      <c r="O11" s="70"/>
      <c r="P11" s="71"/>
      <c r="Q11" s="70"/>
      <c r="R11" s="71"/>
      <c r="S11" s="70"/>
      <c r="T11" s="71"/>
      <c r="U11" s="70"/>
      <c r="V11" s="71"/>
      <c r="W11" s="70"/>
      <c r="X11" s="71"/>
      <c r="Y11" s="70"/>
      <c r="Z11" s="71"/>
      <c r="AA11" s="70"/>
      <c r="AB11" s="71"/>
      <c r="AC11" s="55"/>
      <c r="AD11" s="2353" t="s">
        <v>2656</v>
      </c>
      <c r="AE11" s="1001"/>
      <c r="AF11" s="2353" t="s">
        <v>2656</v>
      </c>
      <c r="AG11" s="1001"/>
      <c r="AH11" s="2353" t="s">
        <v>2655</v>
      </c>
      <c r="AI11" s="2354"/>
      <c r="AJ11" s="2353" t="s">
        <v>2655</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46771</v>
      </c>
      <c r="F13" s="81"/>
      <c r="G13" s="82">
        <f t="shared" ref="G13:G20" si="7">H13+AC13+AT13</f>
        <v>76634</v>
      </c>
      <c r="H13" s="33">
        <f t="shared" ref="H13:H20" si="8">SUMIF(I$12:AB$12,"总值",I13:AB13)</f>
        <v>76634</v>
      </c>
      <c r="I13" s="3019">
        <v>0</v>
      </c>
      <c r="J13" s="3019"/>
      <c r="K13" s="3019">
        <f>面积表!H5</f>
        <v>76634</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46771</v>
      </c>
      <c r="AZ13" s="27">
        <f t="shared" ref="AZ13:AZ20" si="12">BA13+BL13</f>
        <v>76634</v>
      </c>
      <c r="BA13" s="27">
        <f t="shared" ref="BA13:BA20" si="13">SUM(BB13:BK13)</f>
        <v>76634</v>
      </c>
      <c r="BB13" s="27">
        <f t="shared" ref="BB13:BB20" si="14">IF($D13="是",I13-J13,0)</f>
        <v>0</v>
      </c>
      <c r="BC13" s="27">
        <f t="shared" ref="BC13:BC20" si="15">IF($D13="是",K13-L13,0)</f>
        <v>76634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6" t="s">
        <v>0</v>
      </c>
      <c r="B1" s="3326" t="s">
        <v>4</v>
      </c>
      <c r="C1" s="3326" t="s">
        <v>5</v>
      </c>
      <c r="D1" s="3327" t="s">
        <v>55</v>
      </c>
      <c r="E1" s="3327" t="s">
        <v>56</v>
      </c>
      <c r="F1" s="3327"/>
      <c r="G1" s="3327"/>
      <c r="H1" s="3327"/>
      <c r="I1" s="3327"/>
      <c r="J1" s="3327"/>
      <c r="K1" s="3327"/>
      <c r="L1" s="3327"/>
      <c r="M1" s="3327"/>
    </row>
    <row r="2" spans="1:13" ht="27" customHeight="1">
      <c r="A2" s="3326"/>
      <c r="B2" s="3326"/>
      <c r="C2" s="3326"/>
      <c r="D2" s="3327"/>
      <c r="E2" s="3327" t="s">
        <v>39</v>
      </c>
      <c r="F2" s="3327" t="s">
        <v>40</v>
      </c>
      <c r="G2" s="3327"/>
      <c r="H2" s="3327"/>
      <c r="I2" s="3327"/>
      <c r="J2" s="3327" t="s">
        <v>41</v>
      </c>
      <c r="K2" s="3327"/>
      <c r="L2" s="3327"/>
      <c r="M2" s="3327"/>
    </row>
    <row r="3" spans="1:13" ht="28.5">
      <c r="A3" s="3326"/>
      <c r="B3" s="3326"/>
      <c r="C3" s="3326"/>
      <c r="D3" s="3327"/>
      <c r="E3" s="3327"/>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27" t="s">
        <v>57</v>
      </c>
      <c r="B9" s="3327"/>
      <c r="C9" s="33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5" sqref="G2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37" t="s">
        <v>219</v>
      </c>
      <c r="B2" s="3337"/>
      <c r="C2" s="3337"/>
      <c r="D2" s="1987" t="s">
        <v>220</v>
      </c>
      <c r="E2" s="106" t="s">
        <v>221</v>
      </c>
      <c r="F2" s="1998"/>
      <c r="G2" s="1197"/>
      <c r="H2" s="1198"/>
      <c r="I2" s="1199" t="s">
        <v>1123</v>
      </c>
      <c r="J2" s="1998"/>
      <c r="K2" s="1998"/>
      <c r="L2" s="1998"/>
    </row>
    <row r="3" spans="1:16" ht="15.75" thickBot="1">
      <c r="A3" s="3338" t="s">
        <v>222</v>
      </c>
      <c r="B3" s="3338"/>
      <c r="C3" s="3338"/>
      <c r="D3" s="107">
        <f>'数据-基础表'!AY6</f>
        <v>46771</v>
      </c>
      <c r="E3" s="107">
        <f>'数据-基础表'!AZ5</f>
        <v>76634</v>
      </c>
      <c r="F3" s="1998"/>
      <c r="G3" s="282" t="s">
        <v>1124</v>
      </c>
      <c r="H3" s="277" t="s">
        <v>1125</v>
      </c>
      <c r="I3" s="1988">
        <f>ROUND('数据-基础表'!B3/'数据-基础表'!A3,2)</f>
        <v>1.64</v>
      </c>
      <c r="J3" s="1998"/>
      <c r="K3" s="1998"/>
      <c r="L3" s="1998"/>
    </row>
    <row r="4" spans="1:16" ht="15">
      <c r="A4" s="3339"/>
      <c r="B4" s="3340"/>
      <c r="C4" s="3341"/>
      <c r="D4" s="108" t="s">
        <v>220</v>
      </c>
      <c r="E4" s="109" t="s">
        <v>221</v>
      </c>
      <c r="F4" s="1998"/>
      <c r="G4" s="1200"/>
      <c r="H4" s="277" t="s">
        <v>1126</v>
      </c>
      <c r="I4" s="1988">
        <f>ROUND(SUMIF('数据-基础表'!I9:AS9,"地上",'数据-基础表'!I5:AS5)/'数据-基础表'!A3,2)</f>
        <v>1.64</v>
      </c>
      <c r="J4" s="1998"/>
      <c r="K4" s="1998"/>
      <c r="L4" s="1998"/>
    </row>
    <row r="5" spans="1:16">
      <c r="A5" s="110" t="s">
        <v>223</v>
      </c>
      <c r="B5" s="3342" t="s">
        <v>246</v>
      </c>
      <c r="C5" s="3342"/>
      <c r="D5" s="111">
        <f>ROUND($D$3*E5/$E$3,2)</f>
        <v>0</v>
      </c>
      <c r="E5" s="112">
        <f>SUMIF('数据-基础表'!$11:$11,"住宅",'数据-基础表'!$5:$5)</f>
        <v>0</v>
      </c>
      <c r="F5" s="1998"/>
      <c r="G5" s="282" t="s">
        <v>1127</v>
      </c>
      <c r="H5" s="277" t="s">
        <v>1125</v>
      </c>
      <c r="I5" s="1988">
        <f>ROUND(E31/D31,2)</f>
        <v>1.64</v>
      </c>
      <c r="J5" s="1998"/>
      <c r="K5" s="1998"/>
      <c r="L5" s="1998"/>
    </row>
    <row r="6" spans="1:16" ht="15" thickBot="1">
      <c r="A6" s="113"/>
      <c r="B6" s="3342" t="s">
        <v>224</v>
      </c>
      <c r="C6" s="3342"/>
      <c r="D6" s="111">
        <f>ROUND($D$3*E6/$E$3,2)</f>
        <v>46771</v>
      </c>
      <c r="E6" s="112">
        <f>E3-E5</f>
        <v>76634</v>
      </c>
      <c r="F6" s="1998"/>
      <c r="G6" s="1200"/>
      <c r="H6" s="277" t="s">
        <v>1126</v>
      </c>
      <c r="I6" s="1988">
        <f>ROUND(F31/D31,2)</f>
        <v>1.64</v>
      </c>
      <c r="J6" s="1998"/>
      <c r="K6" s="1998"/>
      <c r="L6" s="1998"/>
    </row>
    <row r="7" spans="1:16" ht="15">
      <c r="A7" s="3334"/>
      <c r="B7" s="3335"/>
      <c r="C7" s="3336"/>
      <c r="D7" s="108" t="s">
        <v>220</v>
      </c>
      <c r="E7" s="114" t="s">
        <v>247</v>
      </c>
      <c r="F7" s="1998"/>
      <c r="G7" s="1155" t="s">
        <v>1927</v>
      </c>
      <c r="H7" s="1156"/>
      <c r="I7" s="1857"/>
      <c r="J7" s="1998"/>
      <c r="K7" s="1998"/>
      <c r="L7" s="1998"/>
    </row>
    <row r="8" spans="1:16">
      <c r="A8" s="110" t="s">
        <v>225</v>
      </c>
      <c r="B8" s="115" t="s">
        <v>226</v>
      </c>
      <c r="C8" s="111" t="s">
        <v>227</v>
      </c>
      <c r="D8" s="111">
        <f t="shared" ref="D8:D15" si="0">ROUND($D$3*E8/$E$3,2)</f>
        <v>46771</v>
      </c>
      <c r="E8" s="116">
        <f>SUMIF('数据-基础表'!BB10:BK10,"地上",'数据-基础表'!BB5:BK5)</f>
        <v>76634</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2653</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2660</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46771</v>
      </c>
      <c r="E16" s="120">
        <f>SUM(E8:E15)</f>
        <v>76634</v>
      </c>
      <c r="F16" s="1998"/>
      <c r="G16" s="2000"/>
      <c r="H16" s="967" t="s">
        <v>235</v>
      </c>
      <c r="I16" s="968"/>
      <c r="J16" s="1998"/>
      <c r="K16" s="3328" t="s">
        <v>2928</v>
      </c>
      <c r="L16" s="3329"/>
      <c r="M16" s="3329"/>
      <c r="N16" s="3329"/>
      <c r="O16" s="3329"/>
      <c r="P16" s="3330"/>
    </row>
    <row r="17" spans="1:19" ht="15">
      <c r="A17" s="121" t="s">
        <v>232</v>
      </c>
      <c r="B17" s="122" t="s">
        <v>233</v>
      </c>
      <c r="C17" s="2317" t="s">
        <v>2637</v>
      </c>
      <c r="D17" s="108" t="s">
        <v>220</v>
      </c>
      <c r="E17" s="124" t="s">
        <v>221</v>
      </c>
      <c r="F17" s="125"/>
      <c r="G17" s="1378"/>
      <c r="H17" s="969" t="s">
        <v>234</v>
      </c>
      <c r="I17" s="970" t="s">
        <v>2635</v>
      </c>
      <c r="J17" s="1998"/>
      <c r="K17" s="3331" t="s">
        <v>2929</v>
      </c>
      <c r="L17" s="3332"/>
      <c r="M17" s="3333"/>
      <c r="N17" s="3331" t="s">
        <v>2930</v>
      </c>
      <c r="O17" s="3332"/>
      <c r="P17" s="3333"/>
      <c r="R17" s="2318" t="s">
        <v>2634</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2632</v>
      </c>
      <c r="S18" s="2319" t="s">
        <v>2633</v>
      </c>
    </row>
    <row r="19" spans="1:19">
      <c r="A19" s="133"/>
      <c r="B19" s="115" t="s">
        <v>241</v>
      </c>
      <c r="C19" s="3026" t="s">
        <v>3224</v>
      </c>
      <c r="D19" s="111">
        <f t="shared" ref="D19:D26" si="1">ROUND($D$3*E19/$E$3,2)</f>
        <v>0</v>
      </c>
      <c r="E19" s="134">
        <f t="shared" ref="E19:E26" si="2">SUM(F19:G19)</f>
        <v>0</v>
      </c>
      <c r="F19" s="135"/>
      <c r="G19" s="1380"/>
      <c r="H19" s="973" t="e">
        <f>ROUND($D$3*I19/$E$3,2)</f>
        <v>#DIV/0!</v>
      </c>
      <c r="I19" s="116" t="e">
        <f>IF($I$17="自定义",P19,M19)</f>
        <v>#DIV/0!</v>
      </c>
      <c r="J19" s="1998"/>
      <c r="K19" s="2661">
        <f t="shared" ref="K19:K26" si="3">ROUND(E$28*E19/E$27,2)</f>
        <v>0</v>
      </c>
      <c r="L19" s="277" t="e">
        <f t="shared" ref="L19:L26" si="4">ROUND(IF(COUNTIF(C19,"*住宅*")&gt;0,E$29*E19/E$32,0),2)</f>
        <v>#DIV/0!</v>
      </c>
      <c r="M19" s="2662" t="e">
        <f>K19+L19</f>
        <v>#DIV/0!</v>
      </c>
      <c r="N19" s="2663"/>
      <c r="O19" s="2664"/>
      <c r="P19" s="2665">
        <f>N19+O19</f>
        <v>0</v>
      </c>
      <c r="R19" s="277" t="e">
        <f t="shared" ref="R19:S26" si="5">D19+H19</f>
        <v>#DIV/0!</v>
      </c>
      <c r="S19" s="2320" t="e">
        <f t="shared" si="5"/>
        <v>#DIV/0!</v>
      </c>
    </row>
    <row r="20" spans="1:19">
      <c r="A20" s="138"/>
      <c r="B20" s="115" t="s">
        <v>242</v>
      </c>
      <c r="C20" s="3026" t="s">
        <v>3341</v>
      </c>
      <c r="D20" s="111">
        <f t="shared" si="1"/>
        <v>46771</v>
      </c>
      <c r="E20" s="134">
        <f t="shared" si="2"/>
        <v>76634</v>
      </c>
      <c r="F20" s="1999">
        <f>'数据-基础表'!K13</f>
        <v>76634</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46771</v>
      </c>
      <c r="S20" s="2320">
        <f t="shared" si="5"/>
        <v>76634</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46771</v>
      </c>
      <c r="E27" s="143">
        <f>IF(SUM(E19:E26)='数据-基础表'!BA5,SUM(E19:E26),IF(F27="地上面积有误","面积有误","地下面积有误"))</f>
        <v>76634</v>
      </c>
      <c r="F27" s="134">
        <f>IF(SUM(F19:F26)=E8,SUM(F19:F26),"地上面积有误")</f>
        <v>76634</v>
      </c>
      <c r="G27" s="112">
        <f>SUM(G19:G26)</f>
        <v>0</v>
      </c>
      <c r="H27" s="974" t="e">
        <f>SUM(H19:H26)</f>
        <v>#DIV/0!</v>
      </c>
      <c r="I27" s="975" t="e">
        <f>SUM(I19:I26)</f>
        <v>#DIV/0!</v>
      </c>
      <c r="J27" s="1998"/>
      <c r="K27" s="2670">
        <f>SUM(K19:K26)</f>
        <v>0</v>
      </c>
      <c r="L27" s="2671" t="e">
        <f>SUM(L19:L26)</f>
        <v>#DIV/0!</v>
      </c>
      <c r="M27" s="2672" t="e">
        <f>SUM(M19:M26)</f>
        <v>#DIV/0!</v>
      </c>
      <c r="N27" s="2670">
        <f t="shared" ref="N27:O27" si="10">SUM(N19:N26)</f>
        <v>0</v>
      </c>
      <c r="O27" s="2671">
        <f t="shared" si="10"/>
        <v>0</v>
      </c>
      <c r="P27" s="2673">
        <f>SUM(P19:P26)</f>
        <v>0</v>
      </c>
      <c r="R27" s="2324" t="e">
        <f>IF(SUM(R19:R26)=$D$3,SUM(R19:R26),SUM(R19:R26)&amp;"误差"&amp;ROUND(SUM(R19:R26)-$D$3,2))</f>
        <v>#DIV/0!</v>
      </c>
      <c r="S27" s="277" t="e">
        <f>IF(SUM(S19:S26)=$E$3,SUM(S19:S26),SUM(S19:S26)&amp;"误差"&amp;ROUND(SUM(S19:S26)-E3,2))</f>
        <v>#DIV/0!</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2645</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2647</v>
      </c>
      <c r="D31" s="1384">
        <f>D27+D30</f>
        <v>46771</v>
      </c>
      <c r="E31" s="1384">
        <f>E27+E30</f>
        <v>76634</v>
      </c>
      <c r="F31" s="1385">
        <f>F27+F30</f>
        <v>76634</v>
      </c>
      <c r="G31" s="1386">
        <f>G27+G30</f>
        <v>0</v>
      </c>
      <c r="H31" s="1998"/>
      <c r="I31" s="1998"/>
      <c r="J31" s="1998"/>
      <c r="K31" s="1998"/>
      <c r="L31" s="1998"/>
    </row>
    <row r="32" spans="1:19">
      <c r="A32" s="1998"/>
      <c r="B32" s="2382" t="s">
        <v>2646</v>
      </c>
      <c r="C32" s="2701"/>
      <c r="D32" s="1200"/>
      <c r="E32" s="1200">
        <f>SUMIF(C19:C26,"*住宅*",E19:E26)</f>
        <v>0</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hidden="1" customWidth="1"/>
    <col min="20" max="20" width="12.125" style="1202" hidden="1"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0" width="0" style="2012" hidden="1" customWidth="1"/>
    <col min="41"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2649</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2648</v>
      </c>
      <c r="AI5" s="171" t="s">
        <v>2608</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c r="D6" s="2327">
        <f>SUMIF(项目基本情况!D$15:I$15,C6,项目基本情况!D$18:I$18)</f>
        <v>0</v>
      </c>
      <c r="E6" s="2328">
        <f>IF(B6="","",SUMIF(项目基本情况!D$15:I$15,C6,项目基本情况!D$17:I$17))</f>
        <v>0</v>
      </c>
      <c r="F6" s="174">
        <f>SUMIF(项目基本情况!D$15:I$15,C6,项目基本情况!D$19:I$19)</f>
        <v>0</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t="e">
        <f>SUMIF('数据-汇总表'!C$19:C$33,A6,'数据-汇总表'!R$19:R$33)</f>
        <v>#DIV/0!</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0</v>
      </c>
      <c r="AI6" s="187">
        <v>365</v>
      </c>
      <c r="AJ6" s="188"/>
      <c r="AK6" s="189">
        <v>0.02</v>
      </c>
      <c r="AL6" s="190">
        <v>3.0000000000000001E-3</v>
      </c>
      <c r="AM6" s="3036">
        <v>0.02</v>
      </c>
      <c r="AN6" s="2444" t="s">
        <v>2719</v>
      </c>
      <c r="AO6" s="2014"/>
      <c r="AP6" s="1203">
        <f>ROUND(1-1/(1+H6)^F6,3)</f>
        <v>0</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1">
        <v>8.5000000000000006E-2</v>
      </c>
      <c r="K7" s="179">
        <f>SUMIF('数据-汇总表'!C$19:C$33,'数据-取费表'!A7,'数据-汇总表'!E$19:E$33)</f>
        <v>76634</v>
      </c>
      <c r="L7" s="3202">
        <v>2500</v>
      </c>
      <c r="M7" s="177">
        <f t="shared" si="0"/>
        <v>19159</v>
      </c>
      <c r="N7" s="3029">
        <v>0</v>
      </c>
      <c r="O7" s="177">
        <f t="shared" ref="O7:O14" si="3">IF($N$5="成新度","——",ROUND(M7*N7,0))</f>
        <v>0</v>
      </c>
      <c r="P7" s="178">
        <f t="shared" ref="P7:P14" si="4">IF($N$5="成新度","——",M7-O7)</f>
        <v>19159</v>
      </c>
      <c r="Q7" s="3203">
        <v>0.1</v>
      </c>
      <c r="R7" s="179">
        <f>SUMIF('数据-汇总表'!C$19:C$33,A7,'数据-汇总表'!R$19:R$33)</f>
        <v>46771</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2.5</v>
      </c>
      <c r="V7" s="181">
        <v>0.02</v>
      </c>
      <c r="W7" s="181">
        <v>0.1</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76634</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2638</v>
      </c>
      <c r="B14" s="2325" t="s">
        <v>1977</v>
      </c>
      <c r="C14" s="2326" t="s">
        <v>2638</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2641</v>
      </c>
      <c r="B15" s="2325" t="s">
        <v>1977</v>
      </c>
      <c r="C15" s="2326" t="s">
        <v>2640</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76634</v>
      </c>
      <c r="L16" s="206">
        <f>ROUND(M16*10000/SUM(K6:K14),0)</f>
        <v>2500</v>
      </c>
      <c r="M16" s="206">
        <f>SUM(M6:M14)</f>
        <v>19159</v>
      </c>
      <c r="N16" s="207">
        <f>ROUND(SUMPRODUCT(M6:M14,N6:N14)/M16,3)</f>
        <v>0</v>
      </c>
      <c r="O16" s="206">
        <f>SUM(O6:O14)</f>
        <v>0</v>
      </c>
      <c r="P16" s="206">
        <f>SUM(P6:P14)</f>
        <v>19159</v>
      </c>
      <c r="Q16" s="208">
        <f>ROUND(SUMPRODUCT(Q6:Q13,K6:K13)/SUMPRODUCT((Q6:Q13&gt;0)*(K6:K13)),2)</f>
        <v>0.1</v>
      </c>
      <c r="R16" s="2330"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2662</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3204">
        <v>1.5</v>
      </c>
      <c r="C20" s="2383" t="s">
        <v>2661</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1.5</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1.5</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2664</v>
      </c>
      <c r="B27" s="227">
        <v>290</v>
      </c>
      <c r="C27" s="2386" t="s">
        <v>2672</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2665</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2663</v>
      </c>
      <c r="B29" s="232">
        <v>0</v>
      </c>
      <c r="C29" s="1565" t="s">
        <v>2666</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0.03</v>
      </c>
      <c r="C33" s="2384" t="s">
        <v>2673</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v>
      </c>
      <c r="C34" s="2384" t="s">
        <v>2667</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2668</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2669</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2670</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2670</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4.7500000000000001E-2</v>
      </c>
      <c r="C40" s="2384" t="s">
        <v>2671</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2672</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2674</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71"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43" t="s">
        <v>1945</v>
      </c>
      <c r="B1" s="3344"/>
      <c r="C1" s="3344"/>
      <c r="D1" s="3344"/>
      <c r="E1" s="3344"/>
      <c r="F1" s="3344"/>
      <c r="G1" s="3344"/>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tabSelected="1" view="pageBreakPreview" topLeftCell="B1" zoomScaleSheetLayoutView="100" zoomScalePageLayoutView="80" workbookViewId="0">
      <selection activeCell="G20" sqref="G20"/>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2368</v>
      </c>
      <c r="B1" s="1788"/>
      <c r="C1" s="1816" t="s">
        <v>2369</v>
      </c>
      <c r="D1" s="1817" t="s">
        <v>2370</v>
      </c>
      <c r="E1" s="1816" t="s">
        <v>2371</v>
      </c>
      <c r="F1" s="1818" t="s">
        <v>2384</v>
      </c>
      <c r="G1" s="316"/>
      <c r="H1" s="316"/>
      <c r="I1" s="316"/>
      <c r="J1" s="2043"/>
      <c r="K1" s="2043"/>
      <c r="L1" s="2043"/>
      <c r="M1" s="2043"/>
      <c r="N1" s="2043"/>
      <c r="O1" s="2043"/>
      <c r="P1" s="2043"/>
      <c r="Q1" s="2043"/>
      <c r="R1" s="2043"/>
      <c r="S1" s="2043"/>
      <c r="T1" s="2043"/>
      <c r="U1" s="2043"/>
      <c r="V1" s="2043"/>
    </row>
    <row r="2" spans="1:22" ht="21.75" customHeight="1" thickBot="1">
      <c r="A2" s="3380" t="str">
        <f>项目基本情况!K2</f>
        <v>重庆市重庆市渝北区回兴街道A08-8/02号地块出让国有建设用地使用权</v>
      </c>
      <c r="B2" s="3381"/>
      <c r="C2" s="3382"/>
      <c r="D2" s="3382"/>
      <c r="E2" s="3382"/>
      <c r="F2" s="3382"/>
      <c r="G2" s="3381"/>
      <c r="H2" s="3381"/>
      <c r="I2" s="3383"/>
      <c r="J2" s="2044"/>
      <c r="K2" s="2043"/>
      <c r="L2" s="2043"/>
      <c r="M2" s="2043"/>
      <c r="N2" s="2043"/>
      <c r="O2" s="2043"/>
      <c r="P2" s="2043"/>
      <c r="Q2" s="2043"/>
      <c r="R2" s="2043"/>
      <c r="S2" s="2043"/>
      <c r="T2" s="2043"/>
      <c r="U2" s="2043"/>
      <c r="V2" s="2043"/>
    </row>
    <row r="3" spans="1:22" ht="14.25">
      <c r="A3" s="3390" t="s">
        <v>320</v>
      </c>
      <c r="B3" s="3391"/>
      <c r="C3" s="3391"/>
      <c r="D3" s="3391"/>
      <c r="E3" s="3391"/>
      <c r="F3" s="3391"/>
      <c r="G3" s="3391"/>
      <c r="H3" s="3391"/>
      <c r="I3" s="3391"/>
      <c r="J3" s="2044"/>
      <c r="K3" s="2043"/>
      <c r="L3" s="2043"/>
      <c r="M3" s="2043"/>
      <c r="N3" s="2043"/>
      <c r="O3" s="2043"/>
      <c r="P3" s="2043"/>
      <c r="Q3" s="2043"/>
      <c r="R3" s="2043"/>
      <c r="S3" s="2043"/>
      <c r="T3" s="2043"/>
      <c r="U3" s="2043"/>
      <c r="V3" s="2043"/>
    </row>
    <row r="4" spans="1:22" ht="14.25">
      <c r="A4" s="260" t="s">
        <v>321</v>
      </c>
      <c r="B4" s="261" t="s">
        <v>322</v>
      </c>
      <c r="C4" s="262" t="s">
        <v>3729</v>
      </c>
      <c r="D4" s="262" t="s">
        <v>2675</v>
      </c>
      <c r="E4" s="3356" t="s">
        <v>323</v>
      </c>
      <c r="F4" s="3396"/>
      <c r="G4" s="3396"/>
      <c r="H4" s="3396"/>
      <c r="I4" s="3357"/>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84" t="s">
        <v>324</v>
      </c>
      <c r="B5" s="3270">
        <v>25</v>
      </c>
      <c r="C5" s="3392"/>
      <c r="D5" s="3395"/>
      <c r="E5" s="263" t="s">
        <v>325</v>
      </c>
      <c r="F5" s="264"/>
      <c r="G5" s="264"/>
      <c r="H5" s="264"/>
      <c r="I5" s="265"/>
      <c r="J5" s="2044"/>
      <c r="K5" s="2043"/>
      <c r="L5" s="2043"/>
      <c r="M5" s="2043"/>
      <c r="N5" s="2043"/>
      <c r="O5" s="2043"/>
      <c r="P5" s="2043"/>
      <c r="Q5" s="2043"/>
      <c r="R5" s="2043"/>
      <c r="S5" s="2043"/>
      <c r="T5" s="2043"/>
      <c r="U5" s="2043"/>
      <c r="V5" s="2043"/>
    </row>
    <row r="6" spans="1:22" ht="14.25">
      <c r="A6" s="3384"/>
      <c r="B6" s="3270"/>
      <c r="C6" s="3393"/>
      <c r="D6" s="3395"/>
      <c r="E6" s="263" t="s">
        <v>326</v>
      </c>
      <c r="F6" s="264"/>
      <c r="G6" s="264"/>
      <c r="H6" s="264"/>
      <c r="I6" s="265"/>
      <c r="J6" s="2044"/>
      <c r="K6" s="2043"/>
      <c r="L6" s="2043"/>
      <c r="M6" s="2043"/>
      <c r="N6" s="2043"/>
      <c r="O6" s="2043"/>
      <c r="P6" s="2043"/>
      <c r="Q6" s="2043"/>
      <c r="R6" s="2043"/>
      <c r="S6" s="2043"/>
      <c r="T6" s="2043"/>
      <c r="U6" s="2043"/>
      <c r="V6" s="2043"/>
    </row>
    <row r="7" spans="1:22" ht="14.25">
      <c r="A7" s="3384"/>
      <c r="B7" s="3270"/>
      <c r="C7" s="3394"/>
      <c r="D7" s="3395"/>
      <c r="E7" s="263" t="s">
        <v>327</v>
      </c>
      <c r="F7" s="264"/>
      <c r="G7" s="264"/>
      <c r="H7" s="264"/>
      <c r="I7" s="265"/>
      <c r="J7" s="2044"/>
      <c r="K7" s="2043"/>
      <c r="L7" s="2043"/>
      <c r="M7" s="2043"/>
      <c r="N7" s="2043"/>
      <c r="O7" s="2043"/>
      <c r="P7" s="2043"/>
      <c r="Q7" s="2043"/>
      <c r="R7" s="2043"/>
      <c r="S7" s="2043"/>
      <c r="T7" s="2043"/>
      <c r="U7" s="2043"/>
      <c r="V7" s="2043"/>
    </row>
    <row r="8" spans="1:22" ht="14.25">
      <c r="A8" s="3384" t="s">
        <v>328</v>
      </c>
      <c r="B8" s="3270">
        <v>15</v>
      </c>
      <c r="C8" s="3392"/>
      <c r="D8" s="3395"/>
      <c r="E8" s="263" t="s">
        <v>329</v>
      </c>
      <c r="F8" s="264"/>
      <c r="G8" s="264"/>
      <c r="H8" s="264"/>
      <c r="I8" s="265"/>
      <c r="J8" s="2044"/>
      <c r="K8" s="2043"/>
      <c r="L8" s="2043"/>
      <c r="M8" s="2043"/>
      <c r="N8" s="2043"/>
      <c r="O8" s="2043"/>
      <c r="P8" s="2043"/>
      <c r="Q8" s="2043"/>
      <c r="R8" s="2043"/>
      <c r="S8" s="2043"/>
      <c r="T8" s="2043"/>
      <c r="U8" s="2043"/>
      <c r="V8" s="2043"/>
    </row>
    <row r="9" spans="1:22" ht="14.25">
      <c r="A9" s="3384"/>
      <c r="B9" s="3270"/>
      <c r="C9" s="3394"/>
      <c r="D9" s="3395"/>
      <c r="E9" s="263" t="s">
        <v>330</v>
      </c>
      <c r="F9" s="264"/>
      <c r="G9" s="264"/>
      <c r="H9" s="264"/>
      <c r="I9" s="265"/>
      <c r="J9" s="2044"/>
      <c r="K9" s="2043"/>
      <c r="L9" s="2043"/>
      <c r="M9" s="2043"/>
      <c r="N9" s="2043"/>
      <c r="O9" s="2043"/>
      <c r="P9" s="2043"/>
      <c r="Q9" s="2043"/>
      <c r="R9" s="2043"/>
      <c r="S9" s="2043"/>
      <c r="T9" s="2043"/>
      <c r="U9" s="2043"/>
      <c r="V9" s="2043"/>
    </row>
    <row r="10" spans="1:22" ht="14.25">
      <c r="A10" s="3384" t="s">
        <v>331</v>
      </c>
      <c r="B10" s="3270">
        <v>15</v>
      </c>
      <c r="C10" s="3392"/>
      <c r="D10" s="3395"/>
      <c r="E10" s="263" t="s">
        <v>332</v>
      </c>
      <c r="F10" s="264"/>
      <c r="G10" s="264"/>
      <c r="H10" s="264"/>
      <c r="I10" s="265"/>
      <c r="J10" s="2044"/>
      <c r="K10" s="2043"/>
      <c r="L10" s="2043"/>
      <c r="M10" s="2043"/>
      <c r="N10" s="2043"/>
      <c r="O10" s="2043"/>
      <c r="P10" s="2043"/>
      <c r="Q10" s="2043"/>
      <c r="R10" s="2043"/>
      <c r="S10" s="2043"/>
      <c r="T10" s="2043"/>
      <c r="U10" s="2043"/>
      <c r="V10" s="2043"/>
    </row>
    <row r="11" spans="1:22" ht="14.25">
      <c r="A11" s="3384"/>
      <c r="B11" s="3270"/>
      <c r="C11" s="3394"/>
      <c r="D11" s="3395"/>
      <c r="E11" s="263" t="s">
        <v>333</v>
      </c>
      <c r="F11" s="264"/>
      <c r="G11" s="264"/>
      <c r="H11" s="264"/>
      <c r="I11" s="265"/>
      <c r="J11" s="2044"/>
      <c r="K11" s="2043"/>
      <c r="L11" s="2043"/>
      <c r="M11" s="2043"/>
      <c r="N11" s="2043"/>
      <c r="O11" s="2043"/>
      <c r="P11" s="2043"/>
      <c r="Q11" s="2043"/>
      <c r="R11" s="2043"/>
      <c r="S11" s="2043"/>
      <c r="T11" s="2043"/>
      <c r="U11" s="2043"/>
      <c r="V11" s="2043"/>
    </row>
    <row r="12" spans="1:22" ht="14.25">
      <c r="A12" s="3384" t="s">
        <v>334</v>
      </c>
      <c r="B12" s="3270">
        <v>15</v>
      </c>
      <c r="C12" s="3392"/>
      <c r="D12" s="3395"/>
      <c r="E12" s="263" t="s">
        <v>335</v>
      </c>
      <c r="F12" s="264"/>
      <c r="G12" s="264"/>
      <c r="H12" s="264"/>
      <c r="I12" s="265"/>
      <c r="J12" s="2044"/>
      <c r="K12" s="2043"/>
      <c r="L12" s="2043"/>
      <c r="M12" s="2043"/>
      <c r="N12" s="2043"/>
      <c r="O12" s="2043"/>
      <c r="P12" s="2043"/>
      <c r="Q12" s="2043"/>
      <c r="R12" s="2043"/>
      <c r="S12" s="2043"/>
      <c r="T12" s="2043"/>
      <c r="U12" s="2043"/>
      <c r="V12" s="2043"/>
    </row>
    <row r="13" spans="1:22" ht="14.25">
      <c r="A13" s="3384"/>
      <c r="B13" s="3270"/>
      <c r="C13" s="3394"/>
      <c r="D13" s="3395"/>
      <c r="E13" s="263" t="s">
        <v>336</v>
      </c>
      <c r="F13" s="264"/>
      <c r="G13" s="264"/>
      <c r="H13" s="264"/>
      <c r="I13" s="265"/>
      <c r="J13" s="2044"/>
      <c r="K13" s="2043"/>
      <c r="L13" s="2043"/>
      <c r="M13" s="2043"/>
      <c r="N13" s="2043"/>
      <c r="O13" s="2043"/>
      <c r="P13" s="2043"/>
      <c r="Q13" s="2043"/>
      <c r="R13" s="2043"/>
      <c r="S13" s="2043"/>
      <c r="T13" s="2043"/>
      <c r="U13" s="2043"/>
      <c r="V13" s="2043"/>
    </row>
    <row r="14" spans="1:22" ht="14.25">
      <c r="A14" s="3384" t="s">
        <v>337</v>
      </c>
      <c r="B14" s="3270">
        <v>30</v>
      </c>
      <c r="C14" s="3392">
        <v>6</v>
      </c>
      <c r="D14" s="3395">
        <v>4</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84"/>
      <c r="B15" s="3270"/>
      <c r="C15" s="3393"/>
      <c r="D15" s="3395"/>
      <c r="E15" s="263" t="s">
        <v>339</v>
      </c>
      <c r="F15" s="264"/>
      <c r="G15" s="264"/>
      <c r="H15" s="264"/>
      <c r="I15" s="265"/>
      <c r="J15" s="2044"/>
      <c r="K15" s="2043"/>
      <c r="L15" s="2043"/>
      <c r="M15" s="2043"/>
      <c r="N15" s="2043"/>
      <c r="O15" s="2043"/>
      <c r="P15" s="2043"/>
      <c r="Q15" s="2043"/>
      <c r="R15" s="2043"/>
      <c r="S15" s="2043"/>
      <c r="T15" s="2043"/>
      <c r="U15" s="2043"/>
      <c r="V15" s="2043"/>
    </row>
    <row r="16" spans="1:22" ht="14.25">
      <c r="A16" s="3384"/>
      <c r="B16" s="3270"/>
      <c r="C16" s="3394"/>
      <c r="D16" s="3395"/>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6</v>
      </c>
      <c r="D17" s="267">
        <f>SUM(D5:D16)</f>
        <v>4</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0.6</v>
      </c>
      <c r="D18" s="269">
        <f>1-C18</f>
        <v>0.4</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21220</v>
      </c>
      <c r="D19" s="273">
        <f ca="1">SUMIF(INDIRECT("'"&amp;D4&amp;"'"&amp;"!A:A"),结果表!B19,INDIRECT("'"&amp;D4&amp;"'"&amp;"!B:B"))</f>
        <v>51765</v>
      </c>
      <c r="E19" s="270" t="s">
        <v>345</v>
      </c>
      <c r="F19" s="271" t="s">
        <v>344</v>
      </c>
      <c r="G19" s="274">
        <f ca="1">ROUND(C19*$C$18+D19*$D$18,0)</f>
        <v>33438</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2769</v>
      </c>
      <c r="D20" s="279">
        <f ca="1">SUMIF(INDIRECT("'"&amp;D4&amp;"'"&amp;"!A:A"),结果表!B20,INDIRECT("'"&amp;D4&amp;"'"&amp;"!B:B"))</f>
        <v>6755</v>
      </c>
      <c r="E20" s="276"/>
      <c r="F20" s="277" t="s">
        <v>347</v>
      </c>
      <c r="G20" s="280">
        <f ca="1">ROUND(C20*$C$18+D20*$D$18,0)</f>
        <v>4363</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4537</v>
      </c>
      <c r="D21" s="151">
        <f ca="1">SUMIF(INDIRECT("'"&amp;D4&amp;"'"&amp;"!A:A"),结果表!B21,INDIRECT("'"&amp;D4&amp;"'"&amp;"!B:B"))</f>
        <v>11068</v>
      </c>
      <c r="E21" s="276"/>
      <c r="F21" s="282" t="s">
        <v>349</v>
      </c>
      <c r="G21" s="284">
        <f ca="1">ROUND(C21*$C$18+D21*$D$18,0)</f>
        <v>7149</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1.4394439208294063</v>
      </c>
      <c r="E22" s="286"/>
      <c r="F22" s="287"/>
      <c r="G22" s="288">
        <f ca="1">ROUND(G19/('数据-汇总表'!D3/666.67),0)</f>
        <v>477</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58"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98"/>
      <c r="B25" s="1332" t="s">
        <v>353</v>
      </c>
      <c r="C25" s="292">
        <f>IF(B30=0,0,C30)</f>
        <v>0</v>
      </c>
      <c r="D25" s="293"/>
      <c r="E25" s="316"/>
      <c r="F25" s="316"/>
      <c r="G25" s="316"/>
      <c r="H25" s="316"/>
      <c r="I25" s="316"/>
      <c r="J25" s="2043"/>
      <c r="K25" s="1263" t="str">
        <f ca="1">项目基本情况!B16&amp;"国有建设用地使用权价格："&amp;O38&amp;"万元"</f>
        <v>出让国有建设用地使用权价格：33438万元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大写金额：人民币叁亿叁仟肆佰叁拾捌万元整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单位面积地价：7149元/平方米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楼面地价：4363元/平方米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抵押价格：33438万元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大写金额：人民币叁亿叁仟肆佰叁拾捌万元整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1986</v>
      </c>
      <c r="C32" s="1394">
        <f ca="1">G19-C24</f>
        <v>33438</v>
      </c>
      <c r="D32" s="1395" t="s">
        <v>1987</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1988</v>
      </c>
      <c r="C33" s="266">
        <f ca="1">ROUND(C32*10000/'数据-汇总表'!E3,0)</f>
        <v>4363</v>
      </c>
      <c r="D33" s="1397" t="s">
        <v>1989</v>
      </c>
      <c r="E33" s="3358"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1990</v>
      </c>
      <c r="C34" s="266">
        <f ca="1">ROUND(C32*10000/'数据-汇总表'!D3,0)</f>
        <v>7149</v>
      </c>
      <c r="D34" s="1399" t="s">
        <v>1989</v>
      </c>
      <c r="E34" s="3359"/>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477</v>
      </c>
      <c r="D35" s="1402" t="s">
        <v>1991</v>
      </c>
      <c r="E35" s="3360"/>
      <c r="F35" s="306" t="s">
        <v>364</v>
      </c>
      <c r="G35" s="981"/>
      <c r="H35" s="980" t="s">
        <v>365</v>
      </c>
      <c r="I35" s="316"/>
      <c r="J35" s="2043"/>
      <c r="K35" s="3363" t="s">
        <v>372</v>
      </c>
      <c r="L35" s="3363" t="s">
        <v>373</v>
      </c>
      <c r="M35" s="1272" t="s">
        <v>374</v>
      </c>
      <c r="N35" s="3363" t="s">
        <v>375</v>
      </c>
      <c r="O35" s="3363" t="s">
        <v>376</v>
      </c>
      <c r="P35" s="2043"/>
      <c r="V35" s="2043"/>
    </row>
    <row r="36" spans="1:26" ht="16.5" customHeight="1">
      <c r="A36" s="308" t="s">
        <v>366</v>
      </c>
      <c r="B36" s="309" t="s">
        <v>355</v>
      </c>
      <c r="C36" s="310" t="s">
        <v>367</v>
      </c>
      <c r="D36" s="310" t="s">
        <v>368</v>
      </c>
      <c r="E36" s="311" t="s">
        <v>369</v>
      </c>
      <c r="F36" s="316"/>
      <c r="G36" s="316"/>
      <c r="H36" s="316"/>
      <c r="I36" s="316"/>
      <c r="J36" s="2045"/>
      <c r="K36" s="3364"/>
      <c r="L36" s="3364"/>
      <c r="M36" s="1274" t="s">
        <v>377</v>
      </c>
      <c r="N36" s="3364"/>
      <c r="O36" s="3364"/>
      <c r="P36" s="2043"/>
      <c r="V36" s="2043"/>
    </row>
    <row r="37" spans="1:26" ht="16.5" customHeight="1" thickBot="1">
      <c r="A37" s="1268" t="s">
        <v>370</v>
      </c>
      <c r="B37" s="312"/>
      <c r="C37" s="296"/>
      <c r="D37" s="296"/>
      <c r="E37" s="297"/>
      <c r="F37" s="316"/>
      <c r="G37" s="316"/>
      <c r="H37" s="316"/>
      <c r="I37" s="316"/>
      <c r="J37" s="2045"/>
      <c r="K37" s="3365"/>
      <c r="L37" s="3365"/>
      <c r="M37" s="1275"/>
      <c r="N37" s="3365"/>
      <c r="O37" s="3365"/>
      <c r="P37" s="2043"/>
      <c r="V37" s="2043"/>
    </row>
    <row r="38" spans="1:26" ht="16.5" customHeight="1" thickBot="1">
      <c r="A38" s="1268" t="s">
        <v>371</v>
      </c>
      <c r="B38" s="312"/>
      <c r="C38" s="296"/>
      <c r="D38" s="296"/>
      <c r="E38" s="297"/>
      <c r="F38" s="316"/>
      <c r="G38" s="316"/>
      <c r="H38" s="316"/>
      <c r="I38" s="316"/>
      <c r="J38" s="2045"/>
      <c r="K38" s="1276">
        <f>'数据-汇总表'!D3</f>
        <v>46771</v>
      </c>
      <c r="L38" s="1277">
        <f>'数据-汇总表'!E3</f>
        <v>76634</v>
      </c>
      <c r="M38" s="1277">
        <f ca="1">C34</f>
        <v>7149</v>
      </c>
      <c r="N38" s="1277">
        <f ca="1">C33</f>
        <v>4363</v>
      </c>
      <c r="O38" s="1278">
        <f ca="1">C32</f>
        <v>33438</v>
      </c>
      <c r="P38" s="2043"/>
      <c r="V38" s="2043"/>
    </row>
    <row r="39" spans="1:26" ht="16.5" customHeight="1" thickBot="1">
      <c r="A39" s="1273"/>
      <c r="B39" s="313"/>
      <c r="C39" s="314"/>
      <c r="D39" s="314"/>
      <c r="E39" s="315"/>
      <c r="F39" s="316"/>
      <c r="G39" s="316"/>
      <c r="H39" s="316"/>
      <c r="I39" s="316"/>
      <c r="J39" s="2045"/>
      <c r="K39" s="3345" t="str">
        <f>MID(A44,3,LEN(A44)-2)</f>
        <v>抵押价格</v>
      </c>
      <c r="L39" s="3346"/>
      <c r="M39" s="3346"/>
      <c r="N39" s="3347"/>
      <c r="O39" s="1404">
        <f ca="1">C44</f>
        <v>33438</v>
      </c>
      <c r="P39" s="2043"/>
      <c r="V39" s="2043"/>
    </row>
    <row r="40" spans="1:26" ht="19.5" thickBot="1">
      <c r="A40" s="104" t="s">
        <v>1140</v>
      </c>
      <c r="B40" s="316"/>
      <c r="C40" s="316"/>
      <c r="D40" s="316"/>
      <c r="E40" s="316"/>
      <c r="F40" s="316"/>
      <c r="G40" s="316"/>
      <c r="H40" s="316"/>
      <c r="I40" s="316"/>
      <c r="J40" s="2045"/>
      <c r="K40" s="3345" t="str">
        <f t="shared" ref="K40:K41" si="0">MID(A45,3,LEN(A45)-2)</f>
        <v/>
      </c>
      <c r="L40" s="3346"/>
      <c r="M40" s="3346"/>
      <c r="N40" s="3347"/>
      <c r="O40" s="1404" t="str">
        <f>C45</f>
        <v>——</v>
      </c>
      <c r="P40" s="2043"/>
      <c r="V40" s="2043"/>
    </row>
    <row r="41" spans="1:26" ht="16.5" thickBot="1">
      <c r="A41" s="317" t="s">
        <v>378</v>
      </c>
      <c r="B41" s="318"/>
      <c r="C41" s="319" t="s">
        <v>379</v>
      </c>
      <c r="D41" s="320" t="s">
        <v>380</v>
      </c>
      <c r="E41" s="320" t="s">
        <v>381</v>
      </c>
      <c r="F41" s="321" t="s">
        <v>382</v>
      </c>
      <c r="G41" s="316"/>
      <c r="H41" s="316"/>
      <c r="I41" s="316"/>
      <c r="J41" s="2045"/>
      <c r="K41" s="3345" t="str">
        <f t="shared" si="0"/>
        <v/>
      </c>
      <c r="L41" s="3346"/>
      <c r="M41" s="3346"/>
      <c r="N41" s="3347"/>
      <c r="O41" s="1404" t="str">
        <f>C46</f>
        <v>——</v>
      </c>
      <c r="P41" s="2043"/>
      <c r="V41" s="2043"/>
    </row>
    <row r="42" spans="1:26" ht="29.25">
      <c r="A42" s="3399" t="s">
        <v>2382</v>
      </c>
      <c r="B42" s="3400"/>
      <c r="C42" s="266">
        <f ca="1">C32</f>
        <v>33438</v>
      </c>
      <c r="D42" s="322">
        <f ca="1">C33</f>
        <v>4363</v>
      </c>
      <c r="E42" s="322">
        <f ca="1">C34</f>
        <v>7149</v>
      </c>
      <c r="F42" s="323">
        <f ca="1">C35</f>
        <v>477</v>
      </c>
      <c r="G42" s="316"/>
      <c r="H42" s="316"/>
      <c r="I42" s="324"/>
      <c r="J42" s="2045"/>
      <c r="K42" s="1279" t="s">
        <v>383</v>
      </c>
      <c r="L42" s="2062" t="s">
        <v>384</v>
      </c>
      <c r="M42" s="1280" t="s">
        <v>385</v>
      </c>
      <c r="N42" s="2063" t="s">
        <v>386</v>
      </c>
      <c r="O42" s="2064" t="s">
        <v>387</v>
      </c>
      <c r="P42" s="2043"/>
      <c r="V42" s="2043"/>
    </row>
    <row r="43" spans="1:26" ht="30">
      <c r="A43" s="3409" t="s">
        <v>3104</v>
      </c>
      <c r="B43" s="3410"/>
      <c r="C43" s="266">
        <f>IF(H33="正常操作",G33+G34+G35,G34+G35)</f>
        <v>0</v>
      </c>
      <c r="D43" s="322" t="s">
        <v>58</v>
      </c>
      <c r="E43" s="322" t="s">
        <v>59</v>
      </c>
      <c r="F43" s="323" t="s">
        <v>59</v>
      </c>
      <c r="G43" s="2868" t="s">
        <v>1227</v>
      </c>
      <c r="H43" s="316"/>
      <c r="I43" s="324"/>
      <c r="J43" s="2045"/>
      <c r="K43" s="1281" t="str">
        <f>C4</f>
        <v>比较法-住宅、综合 (商业)</v>
      </c>
      <c r="L43" s="1282">
        <f ca="1">IF(L42="估价结果/万元",C19,C20)</f>
        <v>21220</v>
      </c>
      <c r="M43" s="1283">
        <f>C18</f>
        <v>0.6</v>
      </c>
      <c r="N43" s="1284">
        <f ca="1">IF(N42="测算结果/万元",G19,G20)</f>
        <v>33438</v>
      </c>
      <c r="O43" s="1285">
        <f ca="1">IF(O42="最终结果/万元",C32,C33)</f>
        <v>33438</v>
      </c>
      <c r="P43" s="2043"/>
      <c r="V43" s="2043"/>
    </row>
    <row r="44" spans="1:26" ht="30.75" thickBot="1">
      <c r="A44" s="3399" t="str">
        <f>IF(OR(项目基本情况!E8="抵押价格",项目基本情况!E8="已注销及未注销"),"3.抵押价格","——")</f>
        <v>3.抵押价格</v>
      </c>
      <c r="B44" s="3400"/>
      <c r="C44" s="266">
        <f ca="1">IF(A44="——","——",C42-C43)</f>
        <v>33438</v>
      </c>
      <c r="D44" s="322">
        <f ca="1">ROUND(C44*10000/'数据-汇总表'!E3,0)</f>
        <v>4363</v>
      </c>
      <c r="E44" s="322">
        <f ca="1">ROUND(C44*10000/'数据-汇总表'!D3,0)</f>
        <v>7149</v>
      </c>
      <c r="F44" s="323">
        <f ca="1">ROUND(C44/('数据-汇总表'!D3/666.67),0)</f>
        <v>477</v>
      </c>
      <c r="G44" s="316"/>
      <c r="H44" s="316"/>
      <c r="I44" s="324"/>
      <c r="J44" s="2045"/>
      <c r="K44" s="1286" t="str">
        <f>D4</f>
        <v>剩余法-待开发</v>
      </c>
      <c r="L44" s="1287">
        <f ca="1">IF(L42="估价结果/万元",D19,D20)</f>
        <v>51765</v>
      </c>
      <c r="M44" s="1288">
        <f>D18</f>
        <v>0.4</v>
      </c>
      <c r="N44" s="1289"/>
      <c r="O44" s="1290"/>
      <c r="P44" s="2043"/>
      <c r="V44" s="2043"/>
    </row>
    <row r="45" spans="1:26" ht="15">
      <c r="A45" s="3404" t="str">
        <f>IF(项目基本情况!E8="已注销及未注销","4.抵押担保权已注销时的抵押价格",IF(项目基本情况!E8="已注销","3.抵押担保权已注销时的抵押价格","——"))</f>
        <v>——</v>
      </c>
      <c r="B45" s="3405"/>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401" t="str">
        <f>IF(项目基本情况!E9="抵押净值",IF(A45="——","4.抵押净值","5.抵押净值"),"——")</f>
        <v>——</v>
      </c>
      <c r="B46" s="3402"/>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7" t="s">
        <v>3721</v>
      </c>
      <c r="G47" s="329">
        <f ca="1">G19+结果表!$G$19+结果表!$G$19+[2]结果表!$G$19</f>
        <v>165636</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68" t="s">
        <v>396</v>
      </c>
      <c r="B63" s="3369"/>
      <c r="C63" s="3370"/>
      <c r="D63" s="346">
        <f ca="1">ROUND(C42*F63,0)</f>
        <v>33438</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406" t="s">
        <v>400</v>
      </c>
      <c r="B64" s="3407"/>
      <c r="C64" s="3407"/>
      <c r="D64" s="3407"/>
      <c r="E64" s="3407"/>
      <c r="F64" s="3407"/>
      <c r="G64" s="3408"/>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403" t="s">
        <v>408</v>
      </c>
      <c r="B66" s="3375"/>
      <c r="C66" s="3375"/>
      <c r="D66" s="263">
        <f ca="1">IF(H66="情况1",0,IF(H66="情况2",D70,IF(H66="情况3",D71,IF(H66="情况4",D72))))</f>
        <v>1783</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349" t="s">
        <v>407</v>
      </c>
      <c r="M66" s="3350"/>
      <c r="N66" s="2511"/>
      <c r="O66" s="2512"/>
      <c r="P66" s="2513"/>
      <c r="Q66" s="2043"/>
      <c r="R66" s="2043"/>
      <c r="S66" s="2043"/>
      <c r="T66" s="2043"/>
      <c r="U66" s="2043"/>
      <c r="V66" s="2043"/>
    </row>
    <row r="67" spans="1:22" ht="25.5" customHeight="1">
      <c r="A67" s="357" t="s">
        <v>412</v>
      </c>
      <c r="B67" s="3386" t="s">
        <v>413</v>
      </c>
      <c r="C67" s="3386"/>
      <c r="D67" s="358">
        <v>0</v>
      </c>
      <c r="E67" s="41" t="s">
        <v>414</v>
      </c>
      <c r="F67" s="62" t="s">
        <v>36</v>
      </c>
      <c r="G67" s="3371"/>
      <c r="H67" s="316"/>
      <c r="I67" s="1301"/>
      <c r="J67" s="2050"/>
      <c r="K67" s="1989">
        <v>2</v>
      </c>
      <c r="L67" s="3348" t="s">
        <v>411</v>
      </c>
      <c r="M67" s="3348"/>
      <c r="N67" s="1336">
        <f>'数据-取费表'!B2</f>
        <v>42907</v>
      </c>
      <c r="O67" s="1336"/>
      <c r="P67" s="1336"/>
      <c r="Q67" s="2043"/>
      <c r="R67" s="2043"/>
      <c r="S67" s="2043"/>
      <c r="T67" s="2043"/>
      <c r="U67" s="2043"/>
      <c r="V67" s="2043"/>
    </row>
    <row r="68" spans="1:22" ht="25.5" customHeight="1">
      <c r="A68" s="359"/>
      <c r="B68" s="3386" t="s">
        <v>416</v>
      </c>
      <c r="C68" s="3386"/>
      <c r="D68" s="360"/>
      <c r="E68" s="77"/>
      <c r="F68" s="361"/>
      <c r="G68" s="3372"/>
      <c r="H68" s="316"/>
      <c r="I68" s="1301"/>
      <c r="J68" s="2050"/>
      <c r="K68" s="1989">
        <v>3</v>
      </c>
      <c r="L68" s="3348" t="s">
        <v>415</v>
      </c>
      <c r="M68" s="3348"/>
      <c r="N68" s="1302">
        <f ca="1">C42</f>
        <v>33438</v>
      </c>
      <c r="O68" s="1302"/>
      <c r="P68" s="1302"/>
      <c r="Q68" s="2043"/>
      <c r="R68" s="2043"/>
      <c r="S68" s="2043"/>
      <c r="T68" s="2043"/>
      <c r="U68" s="2043"/>
      <c r="V68" s="2043"/>
    </row>
    <row r="69" spans="1:22" ht="12" customHeight="1">
      <c r="A69" s="362"/>
      <c r="B69" s="3386" t="s">
        <v>418</v>
      </c>
      <c r="C69" s="3386"/>
      <c r="D69" s="363"/>
      <c r="E69" s="73"/>
      <c r="F69" s="361"/>
      <c r="G69" s="3373"/>
      <c r="H69" s="316"/>
      <c r="I69" s="1301"/>
      <c r="J69" s="2050"/>
      <c r="K69" s="1303">
        <v>4</v>
      </c>
      <c r="L69" s="3352" t="s">
        <v>417</v>
      </c>
      <c r="M69" s="3352"/>
      <c r="N69" s="1304">
        <f ca="1">C44</f>
        <v>33438</v>
      </c>
      <c r="O69" s="1304"/>
      <c r="P69" s="1304"/>
      <c r="Q69" s="2043"/>
      <c r="R69" s="2043"/>
      <c r="S69" s="2043"/>
      <c r="T69" s="2043"/>
      <c r="U69" s="2043"/>
      <c r="V69" s="2043"/>
    </row>
    <row r="70" spans="1:22" ht="24" customHeight="1">
      <c r="A70" s="364" t="s">
        <v>420</v>
      </c>
      <c r="B70" s="3386" t="s">
        <v>421</v>
      </c>
      <c r="C70" s="3386"/>
      <c r="D70" s="363">
        <f ca="1">ROUND(D63*'数据-取费表'!B41/(1+'数据-取费表'!B42),0)</f>
        <v>1783</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85" t="s">
        <v>429</v>
      </c>
      <c r="C71" s="3397"/>
      <c r="D71" s="363">
        <f ca="1">ROUND(D63*'数据-取费表'!B41/(1+'数据-取费表'!B42),0)</f>
        <v>1783</v>
      </c>
      <c r="E71" s="17" t="s">
        <v>422</v>
      </c>
      <c r="F71" s="365">
        <f>'数据-取费表'!B41</f>
        <v>5.6000000000000001E-2</v>
      </c>
      <c r="G71" s="366"/>
      <c r="H71" s="316"/>
      <c r="I71" s="1301"/>
      <c r="J71" s="2050"/>
      <c r="K71" s="1990" t="s">
        <v>423</v>
      </c>
      <c r="L71" s="3349" t="s">
        <v>424</v>
      </c>
      <c r="M71" s="3349"/>
      <c r="N71" s="1990" t="s">
        <v>425</v>
      </c>
      <c r="O71" s="1990" t="s">
        <v>426</v>
      </c>
      <c r="P71" s="1990" t="s">
        <v>427</v>
      </c>
      <c r="Q71" s="2043"/>
      <c r="R71" s="2043"/>
      <c r="S71" s="2043"/>
      <c r="T71" s="2043"/>
      <c r="U71" s="2043"/>
      <c r="V71" s="2043"/>
    </row>
    <row r="72" spans="1:22" ht="12" customHeight="1">
      <c r="A72" s="364" t="s">
        <v>431</v>
      </c>
      <c r="B72" s="3385" t="s">
        <v>432</v>
      </c>
      <c r="C72" s="3397"/>
      <c r="D72" s="363">
        <f ca="1">C86</f>
        <v>1783</v>
      </c>
      <c r="E72" s="73" t="s">
        <v>433</v>
      </c>
      <c r="F72" s="365">
        <f>'数据-取费表'!B41</f>
        <v>5.6000000000000001E-2</v>
      </c>
      <c r="G72" s="366"/>
      <c r="H72" s="1308"/>
      <c r="I72" s="1301"/>
      <c r="J72" s="2050"/>
      <c r="K72" s="1989">
        <v>1</v>
      </c>
      <c r="L72" s="3351" t="s">
        <v>430</v>
      </c>
      <c r="M72" s="3351"/>
      <c r="N72" s="1306">
        <f ca="1">D66</f>
        <v>1783</v>
      </c>
      <c r="O72" s="1989" t="str">
        <f>E66</f>
        <v>销售额×税（费）率</v>
      </c>
      <c r="P72" s="1307">
        <f>F66</f>
        <v>5.6000000000000001E-2</v>
      </c>
      <c r="Q72" s="2043"/>
      <c r="R72" s="2043"/>
      <c r="S72" s="2043"/>
      <c r="T72" s="2043"/>
      <c r="U72" s="2043"/>
      <c r="V72" s="2043"/>
    </row>
    <row r="73" spans="1:22" ht="24" customHeight="1">
      <c r="A73" s="3374" t="s">
        <v>435</v>
      </c>
      <c r="B73" s="3375"/>
      <c r="C73" s="3375"/>
      <c r="D73" s="367">
        <f>IF(H73="个人住宅",0,ROUND(D63*I73,0))</f>
        <v>0</v>
      </c>
      <c r="E73" s="17" t="s">
        <v>436</v>
      </c>
      <c r="F73" s="365" t="str">
        <f>IF(H73="正常",I73,"免征")</f>
        <v>免征</v>
      </c>
      <c r="G73" s="366"/>
      <c r="H73" s="191" t="s">
        <v>2811</v>
      </c>
      <c r="I73" s="365">
        <f>'数据-取费表'!B49</f>
        <v>5.0000000000000001E-4</v>
      </c>
      <c r="J73" s="2050"/>
      <c r="K73" s="1989">
        <v>2</v>
      </c>
      <c r="L73" s="3351" t="s">
        <v>434</v>
      </c>
      <c r="M73" s="3351"/>
      <c r="N73" s="1306">
        <f t="shared" ref="N73:P74" si="1">D73</f>
        <v>0</v>
      </c>
      <c r="O73" s="1989" t="str">
        <f t="shared" si="1"/>
        <v>销售额×税（费）率</v>
      </c>
      <c r="P73" s="1307" t="str">
        <f t="shared" si="1"/>
        <v>免征</v>
      </c>
      <c r="Q73" s="2043"/>
      <c r="R73" s="2043"/>
      <c r="S73" s="2043"/>
      <c r="T73" s="2043"/>
      <c r="U73" s="2043"/>
      <c r="V73" s="2043"/>
    </row>
    <row r="74" spans="1:22" ht="25.5">
      <c r="A74" s="3374" t="s">
        <v>439</v>
      </c>
      <c r="B74" s="3375"/>
      <c r="C74" s="3375"/>
      <c r="D74" s="367">
        <f ca="1">IF(H74="个人住宅",D75,D76)</f>
        <v>2729</v>
      </c>
      <c r="E74" s="17" t="s">
        <v>440</v>
      </c>
      <c r="F74" s="365" t="str">
        <f>IF(H74="正常",F76,"免征")</f>
        <v>——</v>
      </c>
      <c r="G74" s="982" t="s">
        <v>441</v>
      </c>
      <c r="H74" s="368" t="s">
        <v>437</v>
      </c>
      <c r="I74" s="42"/>
      <c r="J74" s="2050"/>
      <c r="K74" s="1989">
        <v>3</v>
      </c>
      <c r="L74" s="3351" t="s">
        <v>438</v>
      </c>
      <c r="M74" s="3351"/>
      <c r="N74" s="1306">
        <f t="shared" ca="1" si="1"/>
        <v>2729</v>
      </c>
      <c r="O74" s="1989" t="str">
        <f t="shared" si="1"/>
        <v>增值额×税（费）率</v>
      </c>
      <c r="P74" s="1309" t="str">
        <f t="shared" si="1"/>
        <v>——</v>
      </c>
      <c r="Q74" s="2043"/>
      <c r="R74" s="2043"/>
      <c r="S74" s="2043"/>
      <c r="T74" s="2043"/>
      <c r="U74" s="2043"/>
      <c r="V74" s="2043"/>
    </row>
    <row r="75" spans="1:22" ht="25.5">
      <c r="A75" s="364" t="s">
        <v>442</v>
      </c>
      <c r="B75" s="3356" t="s">
        <v>443</v>
      </c>
      <c r="C75" s="3357"/>
      <c r="D75" s="369">
        <v>0</v>
      </c>
      <c r="E75" s="41" t="s">
        <v>444</v>
      </c>
      <c r="F75" s="370"/>
      <c r="G75" s="366"/>
      <c r="H75" s="42"/>
      <c r="I75" s="42"/>
      <c r="J75" s="2050"/>
      <c r="K75" s="1989">
        <f>IF(H77="非个人房产","",4)</f>
        <v>4</v>
      </c>
      <c r="L75" s="3351" t="str">
        <f>IF(H77="非个人房产","——","个人所得税")</f>
        <v>个人所得税</v>
      </c>
      <c r="M75" s="3351"/>
      <c r="N75" s="1310">
        <f>D77</f>
        <v>0</v>
      </c>
      <c r="O75" s="1303" t="str">
        <f>E77</f>
        <v>销售额×税（费）率</v>
      </c>
      <c r="P75" s="1311" t="str">
        <f>F77</f>
        <v>免征</v>
      </c>
      <c r="Q75" s="2043"/>
      <c r="R75" s="2043"/>
      <c r="S75" s="2043"/>
      <c r="T75" s="2043"/>
      <c r="U75" s="2043"/>
      <c r="V75" s="2043"/>
    </row>
    <row r="76" spans="1:22" ht="24.75">
      <c r="A76" s="364" t="s">
        <v>420</v>
      </c>
      <c r="B76" s="3356" t="s">
        <v>447</v>
      </c>
      <c r="C76" s="3396"/>
      <c r="D76" s="367">
        <f ca="1">IF(H76="转让取得",C99,C115)</f>
        <v>2729</v>
      </c>
      <c r="E76" s="17" t="s">
        <v>448</v>
      </c>
      <c r="F76" s="53" t="s">
        <v>36</v>
      </c>
      <c r="G76" s="366"/>
      <c r="H76" s="368" t="s">
        <v>449</v>
      </c>
      <c r="I76" s="42"/>
      <c r="J76" s="2050"/>
      <c r="K76" s="3351">
        <f>IF(H77="非个人房产",4,5)</f>
        <v>5</v>
      </c>
      <c r="L76" s="3351" t="s">
        <v>445</v>
      </c>
      <c r="M76" s="1312" t="s">
        <v>446</v>
      </c>
      <c r="N76" s="1313"/>
      <c r="O76" s="1314">
        <f ca="1">SUMIF(N72:N75,"&lt;9e307")</f>
        <v>4512</v>
      </c>
      <c r="P76" s="1315"/>
      <c r="Q76" s="2043"/>
      <c r="R76" s="2043"/>
      <c r="S76" s="2043"/>
      <c r="T76" s="2043"/>
      <c r="U76" s="2043"/>
      <c r="V76" s="2043"/>
    </row>
    <row r="77" spans="1:22" ht="26.25" thickBot="1">
      <c r="A77" s="3366" t="s">
        <v>451</v>
      </c>
      <c r="B77" s="3367"/>
      <c r="C77" s="3367"/>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51"/>
      <c r="L77" s="3351"/>
      <c r="M77" s="1312" t="s">
        <v>450</v>
      </c>
      <c r="N77" s="1313"/>
      <c r="O77" s="1314" t="str">
        <f ca="1">NUMBERSTRING(INT(O76*10000),2)&amp;"元整"</f>
        <v>肆仟伍佰壹拾贰万元整</v>
      </c>
      <c r="P77" s="1315"/>
      <c r="Q77" s="2043"/>
      <c r="R77" s="2043"/>
      <c r="S77" s="2043"/>
      <c r="T77" s="2043"/>
      <c r="U77" s="2043"/>
      <c r="V77" s="2043"/>
    </row>
    <row r="78" spans="1:22" ht="12" customHeight="1">
      <c r="A78" s="1316"/>
      <c r="B78" s="316"/>
      <c r="C78" s="316"/>
      <c r="D78" s="316"/>
      <c r="E78" s="42"/>
      <c r="F78" s="42"/>
      <c r="G78" s="42"/>
      <c r="H78" s="1002"/>
      <c r="I78" s="316"/>
      <c r="J78" s="2050"/>
      <c r="K78" s="3351">
        <f>IF(H77="非个人房产",5,6)</f>
        <v>6</v>
      </c>
      <c r="L78" s="3351" t="s">
        <v>453</v>
      </c>
      <c r="M78" s="1312" t="s">
        <v>446</v>
      </c>
      <c r="N78" s="1313"/>
      <c r="O78" s="1314">
        <f ca="1">N69-O76</f>
        <v>28926</v>
      </c>
      <c r="P78" s="1315"/>
      <c r="Q78" s="2043"/>
      <c r="R78" s="2043"/>
      <c r="S78" s="2043"/>
      <c r="T78" s="2043"/>
      <c r="U78" s="2043"/>
      <c r="V78" s="2043"/>
    </row>
    <row r="79" spans="1:22" ht="26.25" thickBot="1">
      <c r="A79" s="3353" t="s">
        <v>454</v>
      </c>
      <c r="B79" s="3353"/>
      <c r="C79" s="3353"/>
      <c r="D79" s="3353"/>
      <c r="E79" s="3353"/>
      <c r="F79" s="42"/>
      <c r="G79" s="42"/>
      <c r="H79" s="1002"/>
      <c r="I79" s="316"/>
      <c r="J79" s="2050"/>
      <c r="K79" s="3351"/>
      <c r="L79" s="3351"/>
      <c r="M79" s="1312" t="s">
        <v>450</v>
      </c>
      <c r="N79" s="1313"/>
      <c r="O79" s="1314" t="str">
        <f ca="1">NUMBERSTRING(INT(O78*10000),2)&amp;"元整"</f>
        <v>贰亿捌仟玖佰贰拾陆万元整</v>
      </c>
      <c r="P79" s="1315"/>
      <c r="Q79" s="2043"/>
      <c r="R79" s="2043"/>
      <c r="S79" s="2043"/>
      <c r="T79" s="2043"/>
      <c r="U79" s="2043"/>
      <c r="V79" s="2043"/>
    </row>
    <row r="80" spans="1:22" ht="13.5" thickBot="1">
      <c r="A80" s="3354" t="s">
        <v>456</v>
      </c>
      <c r="B80" s="3355"/>
      <c r="C80" s="993"/>
      <c r="D80" s="993" t="s">
        <v>457</v>
      </c>
      <c r="E80" s="375" t="s">
        <v>458</v>
      </c>
      <c r="F80" s="42"/>
      <c r="G80" s="42"/>
      <c r="H80" s="1002"/>
      <c r="I80" s="316"/>
      <c r="J80" s="2043"/>
      <c r="K80" s="1991">
        <f>IF(H77="非个人房产",6,7)</f>
        <v>7</v>
      </c>
      <c r="L80" s="3361" t="s">
        <v>455</v>
      </c>
      <c r="M80" s="3362"/>
      <c r="N80" s="1317"/>
      <c r="O80" s="1318">
        <f ca="1">ROUND(O78*10000/'数据-汇总表'!E3,0)</f>
        <v>3775</v>
      </c>
      <c r="P80" s="1319"/>
      <c r="Q80" s="2043"/>
      <c r="R80" s="2043"/>
      <c r="S80" s="2043"/>
      <c r="T80" s="2043"/>
      <c r="U80" s="2043"/>
      <c r="V80" s="2043"/>
    </row>
    <row r="81" spans="1:26" ht="13.5" thickTop="1">
      <c r="A81" s="386" t="s">
        <v>2126</v>
      </c>
      <c r="B81" s="376" t="s">
        <v>459</v>
      </c>
      <c r="C81" s="377">
        <f ca="1">ROUND((C82+C83)/(1+'数据-取费表'!B42),0)</f>
        <v>31846</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2127</v>
      </c>
      <c r="B82" s="381" t="s">
        <v>460</v>
      </c>
      <c r="C82" s="382">
        <f ca="1">D63</f>
        <v>33438</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2128</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2129</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2130</v>
      </c>
      <c r="B85" s="387" t="s">
        <v>463</v>
      </c>
      <c r="C85" s="390">
        <f ca="1">C81-C84</f>
        <v>31846</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2131</v>
      </c>
      <c r="B86" s="392" t="s">
        <v>464</v>
      </c>
      <c r="C86" s="393">
        <f ca="1">IF(C85&lt;=0,0,ROUND(C85*D86,0))</f>
        <v>1783</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88" t="s">
        <v>465</v>
      </c>
      <c r="B88" s="3389"/>
      <c r="C88" s="3389"/>
      <c r="D88" s="3389"/>
      <c r="E88" s="3389"/>
      <c r="F88" s="3389"/>
      <c r="G88" s="3389"/>
      <c r="H88" s="3389"/>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54" t="s">
        <v>456</v>
      </c>
      <c r="B89" s="3355"/>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2126</v>
      </c>
      <c r="B90" s="387" t="s">
        <v>467</v>
      </c>
      <c r="C90" s="390">
        <f ca="1">ROUND(D63/(1+'数据-取费表'!B42),0)</f>
        <v>31846</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2132</v>
      </c>
      <c r="B91" s="353" t="s">
        <v>468</v>
      </c>
      <c r="C91" s="390">
        <f ca="1">C92+C96</f>
        <v>2752</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2133</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2134</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2135</v>
      </c>
      <c r="B94" s="405" t="s">
        <v>474</v>
      </c>
      <c r="C94" s="383">
        <f>IF(F93="购房发票",ROUND(C93*H93*5%,0),0)</f>
        <v>500</v>
      </c>
      <c r="D94" s="406">
        <v>0.05</v>
      </c>
      <c r="E94" s="3385" t="s">
        <v>475</v>
      </c>
      <c r="F94" s="3386"/>
      <c r="G94" s="3386"/>
      <c r="H94" s="3387"/>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2136</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2137</v>
      </c>
      <c r="B96" s="381" t="s">
        <v>478</v>
      </c>
      <c r="C96" s="410">
        <f ca="1">ROUND(D63*D96/(1+'数据-取费表'!B42),0)</f>
        <v>191</v>
      </c>
      <c r="D96" s="411">
        <f>'数据-取费表'!B43</f>
        <v>6.000000000000001E-3</v>
      </c>
      <c r="E96" s="3376" t="s">
        <v>2782</v>
      </c>
      <c r="F96" s="3377"/>
      <c r="G96" s="3377"/>
      <c r="H96" s="3378"/>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2138</v>
      </c>
      <c r="B97" s="387" t="s">
        <v>479</v>
      </c>
      <c r="C97" s="390">
        <f ca="1">C90-C91</f>
        <v>29094</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2139</v>
      </c>
      <c r="B98" s="387" t="s">
        <v>480</v>
      </c>
      <c r="C98" s="412">
        <f ca="1">IF(C97&lt;=0,0,C97/C91)</f>
        <v>10.571947674418604</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2140</v>
      </c>
      <c r="B99" s="392" t="s">
        <v>481</v>
      </c>
      <c r="C99" s="413">
        <f ca="1">ROUND(IF(C97&lt;=0,0,IF(C98&gt;=200%,C97*60%-C91*35%,IF(C98&gt;=100%,C97*50%-C91*15%,IF(C98&gt;=50%,C97*40%-C91*5%,IF(C98&lt;50%,C97*30%,0))))),0)</f>
        <v>16493</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88" t="s">
        <v>482</v>
      </c>
      <c r="B101" s="3389"/>
      <c r="C101" s="3389"/>
      <c r="D101" s="3389"/>
      <c r="E101" s="3389"/>
      <c r="F101" s="3389"/>
      <c r="G101" s="3389"/>
      <c r="H101" s="3389"/>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54" t="s">
        <v>456</v>
      </c>
      <c r="B102" s="3355"/>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2126</v>
      </c>
      <c r="B103" s="387" t="s">
        <v>467</v>
      </c>
      <c r="C103" s="390">
        <f ca="1">ROUND(D63/(1+'数据-取费表'!B42),0)</f>
        <v>31846</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2132</v>
      </c>
      <c r="B104" s="353" t="s">
        <v>468</v>
      </c>
      <c r="C104" s="390">
        <f ca="1">IF(H106="仅含出让金",C105+C108+C109+C110+C111+C112,C105+C109+C110+C111+C112)</f>
        <v>22749</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2133</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2134</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2135</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2137</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2141</v>
      </c>
      <c r="B109" s="381" t="s">
        <v>489</v>
      </c>
      <c r="C109" s="410">
        <f>IF(H109="——",IF(F1="现房",'剩余法-现房'!C18,'剩余法-待开发'!C18),I109)</f>
        <v>0</v>
      </c>
      <c r="D109" s="411"/>
      <c r="E109" s="3379" t="s">
        <v>490</v>
      </c>
      <c r="F109" s="3377"/>
      <c r="G109" s="3377"/>
      <c r="H109" s="1953" t="s">
        <v>2595</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2142</v>
      </c>
      <c r="B110" s="381" t="s">
        <v>491</v>
      </c>
      <c r="C110" s="410">
        <f>ROUND((C105+C108+C109)*D110,0)</f>
        <v>2051</v>
      </c>
      <c r="D110" s="411">
        <v>0.1</v>
      </c>
      <c r="E110" s="3379" t="s">
        <v>492</v>
      </c>
      <c r="F110" s="3377"/>
      <c r="G110" s="3377"/>
      <c r="H110" s="3378"/>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2143</v>
      </c>
      <c r="B111" s="381" t="s">
        <v>478</v>
      </c>
      <c r="C111" s="410">
        <f ca="1">ROUND(D63*D111/(1+'数据-取费表'!B42),0)</f>
        <v>191</v>
      </c>
      <c r="D111" s="411">
        <f>'数据-取费表'!B43</f>
        <v>6.000000000000001E-3</v>
      </c>
      <c r="E111" s="3376" t="s">
        <v>2782</v>
      </c>
      <c r="F111" s="3377"/>
      <c r="G111" s="3377"/>
      <c r="H111" s="3378"/>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2144</v>
      </c>
      <c r="B112" s="381" t="s">
        <v>493</v>
      </c>
      <c r="C112" s="410">
        <f>ROUND(C108*D112,0)</f>
        <v>0</v>
      </c>
      <c r="D112" s="411">
        <v>0.2</v>
      </c>
      <c r="E112" s="3379" t="s">
        <v>2808</v>
      </c>
      <c r="F112" s="3377"/>
      <c r="G112" s="3377"/>
      <c r="H112" s="3378"/>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2138</v>
      </c>
      <c r="B113" s="387" t="s">
        <v>479</v>
      </c>
      <c r="C113" s="390">
        <f ca="1">ROUND(C103-C104,0)</f>
        <v>9097</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2139</v>
      </c>
      <c r="B114" s="387" t="s">
        <v>480</v>
      </c>
      <c r="C114" s="412">
        <f ca="1">IF(C113&lt;=0,0,C113/C104)</f>
        <v>0.39988570926194555</v>
      </c>
      <c r="D114" s="383" t="s">
        <v>34</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2140</v>
      </c>
      <c r="B115" s="392" t="s">
        <v>481</v>
      </c>
      <c r="C115" s="413">
        <f ca="1">ROUND(IF(C113&lt;=0,0,IF(C114&gt;=200%,C113*60%-C104*35%,IF(C114&gt;=100%,C113*50%-C104*15%,IF(C114&gt;=50%,C113*40%-C104*5%,IF(C114&lt;50%,C113*30%,0))))),0)</f>
        <v>2729</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K78:K79"/>
    <mergeCell ref="L78:L79"/>
    <mergeCell ref="L68:M68"/>
    <mergeCell ref="L69:M69"/>
    <mergeCell ref="L71:M71"/>
    <mergeCell ref="L72:M72"/>
    <mergeCell ref="L73:M73"/>
    <mergeCell ref="K39:N39"/>
    <mergeCell ref="K40:N40"/>
    <mergeCell ref="K41:N41"/>
    <mergeCell ref="L67:M67"/>
    <mergeCell ref="L66:M66"/>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29" zoomScale="80" zoomScaleNormal="95" zoomScaleSheetLayoutView="80" workbookViewId="0">
      <selection activeCell="C13" sqref="C1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42930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5602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9179</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612</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45" t="s">
        <v>551</v>
      </c>
      <c r="D6" s="3246"/>
      <c r="E6" s="3245" t="s">
        <v>552</v>
      </c>
      <c r="F6" s="3246"/>
      <c r="G6" s="3245" t="s">
        <v>553</v>
      </c>
      <c r="H6" s="3246"/>
      <c r="I6" s="3245" t="s">
        <v>554</v>
      </c>
      <c r="J6" s="3246"/>
      <c r="K6" s="517" t="s">
        <v>555</v>
      </c>
      <c r="L6" s="2152"/>
      <c r="M6" s="2151"/>
      <c r="N6" s="2151"/>
      <c r="O6" s="2153"/>
      <c r="P6" s="3247" t="s">
        <v>556</v>
      </c>
      <c r="Q6" s="3248"/>
      <c r="R6" s="3253" t="s">
        <v>552</v>
      </c>
      <c r="S6" s="3254"/>
      <c r="T6" s="3253" t="s">
        <v>553</v>
      </c>
      <c r="U6" s="3254"/>
      <c r="V6" s="3265" t="s">
        <v>554</v>
      </c>
      <c r="W6" s="3265"/>
      <c r="X6" s="1580"/>
      <c r="Y6" s="3253" t="s">
        <v>556</v>
      </c>
      <c r="Z6" s="3254"/>
      <c r="AA6" s="3242" t="s">
        <v>552</v>
      </c>
      <c r="AB6" s="3243" t="s">
        <v>553</v>
      </c>
      <c r="AC6" s="3242" t="s">
        <v>554</v>
      </c>
    </row>
    <row r="7" spans="1:30" ht="20.25">
      <c r="A7" s="518"/>
      <c r="B7" s="519"/>
      <c r="C7" s="3257" t="s">
        <v>3234</v>
      </c>
      <c r="D7" s="3258"/>
      <c r="E7" s="3257" t="s">
        <v>3240</v>
      </c>
      <c r="F7" s="3258"/>
      <c r="G7" s="3257" t="str">
        <f>住宅案例!A7</f>
        <v>两江新区礼嘉组团A标准分区A29-3/05、A29-4/05、A37-2/05、A37-5-1/05、A37-6-1/05、A39-1/05、A49-5/05(西侧部分)号宗地</v>
      </c>
      <c r="H7" s="3258"/>
      <c r="I7" s="3257" t="str">
        <f>住宅案例!A13</f>
        <v>渝北区两路组团A分区A062-1/03号宗地</v>
      </c>
      <c r="J7" s="3258"/>
      <c r="K7" s="517"/>
      <c r="L7" s="2152"/>
      <c r="M7" s="2151"/>
      <c r="N7" s="2151"/>
      <c r="O7" s="2153"/>
      <c r="P7" s="3249"/>
      <c r="Q7" s="3250"/>
      <c r="R7" s="3255"/>
      <c r="S7" s="3256"/>
      <c r="T7" s="3255"/>
      <c r="U7" s="3256"/>
      <c r="V7" s="3265"/>
      <c r="W7" s="3265"/>
      <c r="X7" s="1580"/>
      <c r="Y7" s="3255"/>
      <c r="Z7" s="3256"/>
      <c r="AA7" s="3243"/>
      <c r="AB7" s="3243"/>
      <c r="AC7" s="3243"/>
    </row>
    <row r="8" spans="1:30" ht="21" thickBot="1">
      <c r="A8" s="518"/>
      <c r="B8" s="519"/>
      <c r="C8" s="3259" t="s">
        <v>3241</v>
      </c>
      <c r="D8" s="3260"/>
      <c r="E8" s="3259" t="s">
        <v>3241</v>
      </c>
      <c r="F8" s="3260"/>
      <c r="G8" s="3261" t="s">
        <v>3241</v>
      </c>
      <c r="H8" s="3262"/>
      <c r="I8" s="3261" t="s">
        <v>3241</v>
      </c>
      <c r="J8" s="3262"/>
      <c r="K8" s="517" t="s">
        <v>562</v>
      </c>
      <c r="L8" s="2152"/>
      <c r="M8" s="2151"/>
      <c r="N8" s="2151"/>
      <c r="O8" s="2153"/>
      <c r="P8" s="3251"/>
      <c r="Q8" s="3252"/>
      <c r="R8" s="3255"/>
      <c r="S8" s="3256"/>
      <c r="T8" s="3263"/>
      <c r="U8" s="3264"/>
      <c r="V8" s="3265"/>
      <c r="W8" s="3265"/>
      <c r="X8" s="1580"/>
      <c r="Y8" s="3263"/>
      <c r="Z8" s="3264"/>
      <c r="AA8" s="3244"/>
      <c r="AB8" s="3244"/>
      <c r="AC8" s="3244"/>
    </row>
    <row r="9" spans="1:30" s="1219" customFormat="1" ht="21" thickBot="1">
      <c r="A9" s="2914"/>
      <c r="B9" s="2921" t="s">
        <v>563</v>
      </c>
      <c r="C9" s="2913">
        <f>'数据-取费表'!B2</f>
        <v>42907</v>
      </c>
      <c r="D9" s="523">
        <v>100</v>
      </c>
      <c r="E9" s="524">
        <v>42730</v>
      </c>
      <c r="F9" s="525">
        <f>SUMIF(72:72,YEAR(E9)&amp;"-"&amp;INT((MONTH(E9)+2)/3),73:73)</f>
        <v>96</v>
      </c>
      <c r="G9" s="526" t="str">
        <f>住宅案例!H7</f>
        <v>2016-12-23</v>
      </c>
      <c r="H9" s="523">
        <f>SUMIF(72:72,YEAR(G9)&amp;"-"&amp;INT((MONTH(G9)+2)/3),73:73)</f>
        <v>96</v>
      </c>
      <c r="I9" s="526">
        <v>42730</v>
      </c>
      <c r="J9" s="523">
        <f>SUMIF(72:72,YEAR(I9)&amp;"-"&amp;INT((MONTH(I9)+2)/3),73:73)</f>
        <v>96</v>
      </c>
      <c r="K9" s="527"/>
      <c r="L9" s="2154"/>
      <c r="M9" s="2151"/>
      <c r="N9" s="2151"/>
      <c r="O9" s="2155"/>
      <c r="P9" s="3266" t="s">
        <v>564</v>
      </c>
      <c r="Q9" s="3267"/>
      <c r="R9" s="1581" t="s">
        <v>8</v>
      </c>
      <c r="S9" s="1582">
        <f t="shared" ref="S9:S17" si="0">F9</f>
        <v>96</v>
      </c>
      <c r="T9" s="1581" t="s">
        <v>8</v>
      </c>
      <c r="U9" s="1582">
        <f t="shared" ref="U9:U17" si="1">H9</f>
        <v>96</v>
      </c>
      <c r="V9" s="1581" t="s">
        <v>8</v>
      </c>
      <c r="W9" s="1582">
        <f t="shared" ref="W9:W17" si="2">J9</f>
        <v>96</v>
      </c>
      <c r="X9" s="1583"/>
      <c r="Y9" s="3266" t="s">
        <v>564</v>
      </c>
      <c r="Z9" s="3268"/>
      <c r="AA9" s="1584">
        <f>D9/F9</f>
        <v>1.0416666666666667</v>
      </c>
      <c r="AB9" s="1584">
        <f>D9/H9</f>
        <v>1.0416666666666667</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66" t="s">
        <v>567</v>
      </c>
      <c r="Q10" s="3268"/>
      <c r="R10" s="1581" t="s">
        <v>8</v>
      </c>
      <c r="S10" s="1582">
        <f t="shared" si="0"/>
        <v>100</v>
      </c>
      <c r="T10" s="1581" t="s">
        <v>8</v>
      </c>
      <c r="U10" s="1582">
        <f t="shared" si="1"/>
        <v>100</v>
      </c>
      <c r="V10" s="1581" t="s">
        <v>8</v>
      </c>
      <c r="W10" s="1582">
        <f t="shared" si="2"/>
        <v>100</v>
      </c>
      <c r="X10" s="1583"/>
      <c r="Y10" s="3266" t="s">
        <v>567</v>
      </c>
      <c r="Z10" s="3268"/>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3335</v>
      </c>
      <c r="H11" s="256">
        <f>SUMIF(77:77,G11,78:78)-SUMIF(77:77,C11,78:78)+100</f>
        <v>100</v>
      </c>
      <c r="I11" s="529" t="s">
        <v>3335</v>
      </c>
      <c r="J11" s="256">
        <f>SUMIF(77:77,I11,78:78)-SUMIF(77:77,C11,78:78)+100</f>
        <v>100</v>
      </c>
      <c r="K11" s="527"/>
      <c r="L11" s="2154"/>
      <c r="M11" s="2151"/>
      <c r="N11" s="2151"/>
      <c r="O11" s="2156"/>
      <c r="P11" s="3269" t="s">
        <v>569</v>
      </c>
      <c r="Q11" s="1150" t="str">
        <f t="shared" ref="Q11:Q17" si="6">B11</f>
        <v>用途</v>
      </c>
      <c r="R11" s="1581" t="s">
        <v>8</v>
      </c>
      <c r="S11" s="1582">
        <f t="shared" si="0"/>
        <v>100</v>
      </c>
      <c r="T11" s="1581" t="s">
        <v>8</v>
      </c>
      <c r="U11" s="1582">
        <f t="shared" si="1"/>
        <v>100</v>
      </c>
      <c r="V11" s="1581" t="s">
        <v>8</v>
      </c>
      <c r="W11" s="1582">
        <f t="shared" si="2"/>
        <v>100</v>
      </c>
      <c r="X11" s="1583"/>
      <c r="Y11" s="3270" t="s">
        <v>570</v>
      </c>
      <c r="Z11" s="114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69"/>
      <c r="Q12" s="1150" t="str">
        <f t="shared" si="6"/>
        <v>土地使用年限（年）</v>
      </c>
      <c r="R12" s="1581" t="s">
        <v>8</v>
      </c>
      <c r="S12" s="1582">
        <f t="shared" si="0"/>
        <v>118</v>
      </c>
      <c r="T12" s="1581" t="s">
        <v>8</v>
      </c>
      <c r="U12" s="1582">
        <f t="shared" si="1"/>
        <v>118</v>
      </c>
      <c r="V12" s="1581" t="s">
        <v>8</v>
      </c>
      <c r="W12" s="1582">
        <f t="shared" si="2"/>
        <v>118</v>
      </c>
      <c r="X12" s="1583"/>
      <c r="Y12" s="3270"/>
      <c r="Z12" s="114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3.41</v>
      </c>
      <c r="D13" s="257">
        <v>100</v>
      </c>
      <c r="E13" s="535">
        <v>2.7</v>
      </c>
      <c r="F13" s="257">
        <f>LOOKUP(E13,82:82,83:83)-LOOKUP(C13,82:82,83:83)+100</f>
        <v>101</v>
      </c>
      <c r="G13" s="536">
        <v>2.72</v>
      </c>
      <c r="H13" s="257">
        <f>LOOKUP(G13,82:82,83:83)-LOOKUP(C13,82:82,83:83)+100</f>
        <v>101</v>
      </c>
      <c r="I13" s="535">
        <v>2.8</v>
      </c>
      <c r="J13" s="257">
        <f>LOOKUP(I13,82:82,83:83)-LOOKUP(C13,82:82,83:83)+100</f>
        <v>101</v>
      </c>
      <c r="K13" s="537">
        <v>1</v>
      </c>
      <c r="L13" s="2159"/>
      <c r="M13" s="2151"/>
      <c r="N13" s="2151"/>
      <c r="O13" s="2160"/>
      <c r="P13" s="3269"/>
      <c r="Q13" s="1150" t="str">
        <f t="shared" si="6"/>
        <v>容积率</v>
      </c>
      <c r="R13" s="1581" t="s">
        <v>8</v>
      </c>
      <c r="S13" s="1582">
        <f t="shared" si="0"/>
        <v>101</v>
      </c>
      <c r="T13" s="1581" t="s">
        <v>8</v>
      </c>
      <c r="U13" s="1582">
        <f t="shared" si="1"/>
        <v>101</v>
      </c>
      <c r="V13" s="1581" t="s">
        <v>8</v>
      </c>
      <c r="W13" s="1582">
        <f t="shared" si="2"/>
        <v>101</v>
      </c>
      <c r="X13" s="1583"/>
      <c r="Y13" s="3270"/>
      <c r="Z13" s="1149" t="str">
        <f t="shared" si="7"/>
        <v>容积率</v>
      </c>
      <c r="AA13" s="1584">
        <f t="shared" si="3"/>
        <v>0.99009900990099009</v>
      </c>
      <c r="AB13" s="1584">
        <f t="shared" si="4"/>
        <v>0.99009900990099009</v>
      </c>
      <c r="AC13" s="1584">
        <f t="shared" si="5"/>
        <v>0.99009900990099009</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69"/>
      <c r="Q14" s="1150" t="str">
        <f t="shared" si="6"/>
        <v>配建</v>
      </c>
      <c r="R14" s="1581" t="s">
        <v>8</v>
      </c>
      <c r="S14" s="1582">
        <f t="shared" si="0"/>
        <v>100</v>
      </c>
      <c r="T14" s="1581" t="s">
        <v>8</v>
      </c>
      <c r="U14" s="1582">
        <f t="shared" si="1"/>
        <v>100</v>
      </c>
      <c r="V14" s="1581" t="s">
        <v>8</v>
      </c>
      <c r="W14" s="1582">
        <f t="shared" si="2"/>
        <v>100</v>
      </c>
      <c r="X14" s="1583"/>
      <c r="Y14" s="3270"/>
      <c r="Z14" s="1149" t="str">
        <f t="shared" si="7"/>
        <v>配建</v>
      </c>
      <c r="AA14" s="1584">
        <f>D14/F14</f>
        <v>1</v>
      </c>
      <c r="AB14" s="1584">
        <f>D14/H14</f>
        <v>1</v>
      </c>
      <c r="AC14" s="1584">
        <f>D14/J14</f>
        <v>1</v>
      </c>
    </row>
    <row r="15" spans="1:30" ht="20.25" hidden="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69"/>
      <c r="Q15" s="1150">
        <f t="shared" si="6"/>
        <v>111</v>
      </c>
      <c r="R15" s="1581" t="s">
        <v>8</v>
      </c>
      <c r="S15" s="1582">
        <f t="shared" si="0"/>
        <v>100</v>
      </c>
      <c r="T15" s="1581" t="s">
        <v>8</v>
      </c>
      <c r="U15" s="1582">
        <f t="shared" si="1"/>
        <v>100</v>
      </c>
      <c r="V15" s="1581" t="s">
        <v>8</v>
      </c>
      <c r="W15" s="1582">
        <f t="shared" si="2"/>
        <v>100</v>
      </c>
      <c r="X15" s="1583"/>
      <c r="Y15" s="3270"/>
      <c r="Z15" s="114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69"/>
      <c r="Q16" s="1150">
        <f t="shared" si="6"/>
        <v>111</v>
      </c>
      <c r="R16" s="1581" t="s">
        <v>8</v>
      </c>
      <c r="S16" s="1582">
        <f t="shared" si="0"/>
        <v>100</v>
      </c>
      <c r="T16" s="1581" t="s">
        <v>8</v>
      </c>
      <c r="U16" s="1582">
        <f t="shared" si="1"/>
        <v>100</v>
      </c>
      <c r="V16" s="1581" t="s">
        <v>8</v>
      </c>
      <c r="W16" s="1582">
        <f t="shared" si="2"/>
        <v>100</v>
      </c>
      <c r="X16" s="1583"/>
      <c r="Y16" s="3270"/>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71" t="s">
        <v>575</v>
      </c>
      <c r="Q17" s="1585" t="str">
        <f t="shared" si="6"/>
        <v>居住社区成熟度</v>
      </c>
      <c r="R17" s="1586" t="s">
        <v>8</v>
      </c>
      <c r="S17" s="1587">
        <f t="shared" si="0"/>
        <v>100</v>
      </c>
      <c r="T17" s="1586" t="s">
        <v>8</v>
      </c>
      <c r="U17" s="1587">
        <f t="shared" si="1"/>
        <v>100</v>
      </c>
      <c r="V17" s="1586" t="s">
        <v>8</v>
      </c>
      <c r="W17" s="1587">
        <f t="shared" si="2"/>
        <v>100</v>
      </c>
      <c r="X17" s="1580"/>
      <c r="Y17" s="3271"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72"/>
      <c r="Q18" s="1585"/>
      <c r="R18" s="1586"/>
      <c r="S18" s="1587"/>
      <c r="T18" s="1586"/>
      <c r="U18" s="1587"/>
      <c r="V18" s="1586"/>
      <c r="W18" s="1587"/>
      <c r="X18" s="1580"/>
      <c r="Y18" s="3272"/>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102</v>
      </c>
      <c r="I19" s="566"/>
      <c r="J19" s="567">
        <f>SUMIF(92:92,I20,93:93)-SUMIF(92:92,C20,93:93)+100</f>
        <v>100</v>
      </c>
      <c r="K19" s="537">
        <v>2</v>
      </c>
      <c r="L19" s="2161"/>
      <c r="M19" s="2151"/>
      <c r="N19" s="2151"/>
      <c r="O19" s="2160"/>
      <c r="P19" s="3272"/>
      <c r="Q19" s="1585" t="str">
        <f>B19</f>
        <v>商业繁华度</v>
      </c>
      <c r="R19" s="1586" t="s">
        <v>8</v>
      </c>
      <c r="S19" s="1587">
        <f>F19</f>
        <v>100</v>
      </c>
      <c r="T19" s="1586" t="s">
        <v>8</v>
      </c>
      <c r="U19" s="1587">
        <f>H19</f>
        <v>102</v>
      </c>
      <c r="V19" s="1586" t="s">
        <v>8</v>
      </c>
      <c r="W19" s="1587">
        <f>J19</f>
        <v>100</v>
      </c>
      <c r="X19" s="1580"/>
      <c r="Y19" s="3272"/>
      <c r="Z19" s="1588" t="str">
        <f>Q19</f>
        <v>商业繁华度</v>
      </c>
      <c r="AA19" s="1589">
        <f t="shared" si="3"/>
        <v>1</v>
      </c>
      <c r="AB19" s="1589">
        <f t="shared" si="4"/>
        <v>0.98039215686274506</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72"/>
      <c r="Q20" s="1585"/>
      <c r="R20" s="1586"/>
      <c r="S20" s="1587"/>
      <c r="T20" s="1586"/>
      <c r="U20" s="1587"/>
      <c r="V20" s="1586"/>
      <c r="W20" s="1587"/>
      <c r="X20" s="1580"/>
      <c r="Y20" s="3272"/>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2</v>
      </c>
      <c r="L21" s="2161"/>
      <c r="M21" s="2151"/>
      <c r="N21" s="2151"/>
      <c r="O21" s="2160"/>
      <c r="P21" s="3272"/>
      <c r="Q21" s="1585" t="str">
        <f>B21</f>
        <v>办公集聚程度</v>
      </c>
      <c r="R21" s="1586" t="s">
        <v>8</v>
      </c>
      <c r="S21" s="1587">
        <f>F21</f>
        <v>100</v>
      </c>
      <c r="T21" s="1586" t="s">
        <v>8</v>
      </c>
      <c r="U21" s="1587">
        <f>H21</f>
        <v>100</v>
      </c>
      <c r="V21" s="1586" t="s">
        <v>8</v>
      </c>
      <c r="W21" s="1587">
        <f>J21</f>
        <v>100</v>
      </c>
      <c r="X21" s="1580"/>
      <c r="Y21" s="3272"/>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72"/>
      <c r="Q22" s="1585"/>
      <c r="R22" s="1586"/>
      <c r="S22" s="1587"/>
      <c r="T22" s="1586"/>
      <c r="U22" s="1587"/>
      <c r="V22" s="1586"/>
      <c r="W22" s="1587"/>
      <c r="X22" s="1580"/>
      <c r="Y22" s="3272"/>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72"/>
      <c r="Q23" s="1585" t="str">
        <f>B23</f>
        <v>交通便捷度</v>
      </c>
      <c r="R23" s="1586" t="s">
        <v>8</v>
      </c>
      <c r="S23" s="1587">
        <f>F23</f>
        <v>100</v>
      </c>
      <c r="T23" s="1586" t="s">
        <v>8</v>
      </c>
      <c r="U23" s="1587">
        <f>H23</f>
        <v>102</v>
      </c>
      <c r="V23" s="1586" t="s">
        <v>8</v>
      </c>
      <c r="W23" s="1587">
        <f>J23</f>
        <v>100</v>
      </c>
      <c r="X23" s="1580"/>
      <c r="Y23" s="3272"/>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72"/>
      <c r="Q24" s="1585"/>
      <c r="R24" s="1586"/>
      <c r="S24" s="1587"/>
      <c r="T24" s="1586"/>
      <c r="U24" s="1587"/>
      <c r="V24" s="1586"/>
      <c r="W24" s="1587"/>
      <c r="X24" s="1580"/>
      <c r="Y24" s="3272"/>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72"/>
      <c r="Q25" s="1585" t="str">
        <f t="shared" ref="Q25:Q39" si="8">B25</f>
        <v>区域土地利用方向</v>
      </c>
      <c r="R25" s="1586" t="s">
        <v>8</v>
      </c>
      <c r="S25" s="1587">
        <f>F25</f>
        <v>100</v>
      </c>
      <c r="T25" s="1586" t="s">
        <v>8</v>
      </c>
      <c r="U25" s="1587">
        <f>H25</f>
        <v>100</v>
      </c>
      <c r="V25" s="1586" t="s">
        <v>8</v>
      </c>
      <c r="W25" s="1587">
        <f>J25</f>
        <v>100</v>
      </c>
      <c r="X25" s="1580"/>
      <c r="Y25" s="3272"/>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72"/>
      <c r="Q26" s="1585"/>
      <c r="R26" s="1586"/>
      <c r="S26" s="1587"/>
      <c r="T26" s="1586"/>
      <c r="U26" s="1587"/>
      <c r="V26" s="1586"/>
      <c r="W26" s="1587"/>
      <c r="X26" s="1580"/>
      <c r="Y26" s="3272"/>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102</v>
      </c>
      <c r="I27" s="566"/>
      <c r="J27" s="561">
        <f>SUMIF(100:100,I28,101:101)-SUMIF(100:100,C28,101:101)+100</f>
        <v>102</v>
      </c>
      <c r="K27" s="537">
        <v>2</v>
      </c>
      <c r="L27" s="2161"/>
      <c r="M27" s="2151"/>
      <c r="N27" s="2151"/>
      <c r="O27" s="2160"/>
      <c r="P27" s="3272"/>
      <c r="Q27" s="1585" t="str">
        <f t="shared" si="8"/>
        <v>自然及人文环境状况</v>
      </c>
      <c r="R27" s="1586" t="s">
        <v>8</v>
      </c>
      <c r="S27" s="1587">
        <f>F27</f>
        <v>102</v>
      </c>
      <c r="T27" s="1586" t="s">
        <v>8</v>
      </c>
      <c r="U27" s="1587">
        <f>H27</f>
        <v>102</v>
      </c>
      <c r="V27" s="1586" t="s">
        <v>8</v>
      </c>
      <c r="W27" s="1587">
        <f>J27</f>
        <v>102</v>
      </c>
      <c r="X27" s="1580"/>
      <c r="Y27" s="3272"/>
      <c r="Z27" s="1588" t="str">
        <f>Q27</f>
        <v>自然及人文环境状况</v>
      </c>
      <c r="AA27" s="1589">
        <f t="shared" si="3"/>
        <v>0.98039215686274506</v>
      </c>
      <c r="AB27" s="1589">
        <f t="shared" si="4"/>
        <v>0.98039215686274506</v>
      </c>
      <c r="AC27" s="1589">
        <f t="shared" si="5"/>
        <v>0.98039215686274506</v>
      </c>
    </row>
    <row r="28" spans="1:29" ht="20.25">
      <c r="A28" s="518"/>
      <c r="B28" s="568"/>
      <c r="C28" s="556" t="s">
        <v>1151</v>
      </c>
      <c r="D28" s="559"/>
      <c r="E28" s="578" t="s">
        <v>1150</v>
      </c>
      <c r="F28" s="557"/>
      <c r="G28" s="556" t="s">
        <v>1150</v>
      </c>
      <c r="H28" s="557"/>
      <c r="I28" s="578" t="s">
        <v>1150</v>
      </c>
      <c r="J28" s="557"/>
      <c r="K28" s="533"/>
      <c r="L28" s="2161"/>
      <c r="M28" s="2151"/>
      <c r="N28" s="2151"/>
      <c r="O28" s="2160"/>
      <c r="P28" s="3272"/>
      <c r="Q28" s="1585"/>
      <c r="R28" s="1586"/>
      <c r="S28" s="1587"/>
      <c r="T28" s="1586"/>
      <c r="U28" s="1587"/>
      <c r="V28" s="1586"/>
      <c r="W28" s="1587"/>
      <c r="X28" s="1580"/>
      <c r="Y28" s="3272"/>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72"/>
      <c r="Q29" s="1150" t="str">
        <f t="shared" si="8"/>
        <v>公共配套设施</v>
      </c>
      <c r="R29" s="1581" t="s">
        <v>8</v>
      </c>
      <c r="S29" s="1582">
        <f>F29</f>
        <v>100</v>
      </c>
      <c r="T29" s="1581" t="s">
        <v>8</v>
      </c>
      <c r="U29" s="1582">
        <f>H29</f>
        <v>100</v>
      </c>
      <c r="V29" s="1581" t="s">
        <v>8</v>
      </c>
      <c r="W29" s="1582">
        <f>J29</f>
        <v>100</v>
      </c>
      <c r="X29" s="1583"/>
      <c r="Y29" s="3272"/>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72"/>
      <c r="Q30" s="1150"/>
      <c r="R30" s="1581"/>
      <c r="S30" s="1582"/>
      <c r="T30" s="1581"/>
      <c r="U30" s="1582"/>
      <c r="V30" s="1581"/>
      <c r="W30" s="1582"/>
      <c r="X30" s="1583"/>
      <c r="Y30" s="3272"/>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72"/>
      <c r="Q31" s="2631" t="str">
        <f t="shared" ref="Q31" si="9">B31</f>
        <v>基础设施水平</v>
      </c>
      <c r="R31" s="1581" t="s">
        <v>8</v>
      </c>
      <c r="S31" s="1582">
        <f>F31</f>
        <v>100</v>
      </c>
      <c r="T31" s="1581" t="s">
        <v>8</v>
      </c>
      <c r="U31" s="1582">
        <f>H31</f>
        <v>100</v>
      </c>
      <c r="V31" s="1581" t="s">
        <v>8</v>
      </c>
      <c r="W31" s="1582">
        <f>J31</f>
        <v>100</v>
      </c>
      <c r="X31" s="1583"/>
      <c r="Y31" s="3272"/>
      <c r="Z31" s="2628" t="str">
        <f>Q31</f>
        <v>基础设施水平</v>
      </c>
      <c r="AA31" s="1589">
        <f>D31/F31</f>
        <v>1</v>
      </c>
      <c r="AB31" s="1589">
        <f>D31/H31</f>
        <v>1</v>
      </c>
      <c r="AC31" s="1589">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72"/>
      <c r="Q32" s="2631"/>
      <c r="R32" s="1581"/>
      <c r="S32" s="1582"/>
      <c r="T32" s="1581"/>
      <c r="U32" s="1582"/>
      <c r="V32" s="1581"/>
      <c r="W32" s="1582"/>
      <c r="X32" s="1583"/>
      <c r="Y32" s="3272"/>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72"/>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72"/>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72"/>
      <c r="Q34" s="1585" t="str">
        <f t="shared" si="8"/>
        <v>毗邻道路的类型与等级</v>
      </c>
      <c r="R34" s="1586" t="s">
        <v>8</v>
      </c>
      <c r="S34" s="1587">
        <f t="shared" si="10"/>
        <v>99</v>
      </c>
      <c r="T34" s="1586" t="s">
        <v>8</v>
      </c>
      <c r="U34" s="1587">
        <f t="shared" si="11"/>
        <v>99</v>
      </c>
      <c r="V34" s="1586" t="s">
        <v>8</v>
      </c>
      <c r="W34" s="1587">
        <f t="shared" si="12"/>
        <v>99</v>
      </c>
      <c r="X34" s="1580"/>
      <c r="Y34" s="3272"/>
      <c r="Z34" s="1588" t="str">
        <f t="shared" si="13"/>
        <v>毗邻道路的类型与等级</v>
      </c>
      <c r="AA34" s="1589">
        <f t="shared" si="3"/>
        <v>1.0101010101010102</v>
      </c>
      <c r="AB34" s="1589">
        <f t="shared" si="4"/>
        <v>1.0101010101010102</v>
      </c>
      <c r="AC34" s="1589">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72"/>
      <c r="Q35" s="1585"/>
      <c r="R35" s="1586"/>
      <c r="S35" s="1587"/>
      <c r="T35" s="1586"/>
      <c r="U35" s="1587"/>
      <c r="V35" s="1586"/>
      <c r="W35" s="1587"/>
      <c r="X35" s="1580"/>
      <c r="Y35" s="3272"/>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72"/>
      <c r="Q36" s="1585" t="str">
        <f t="shared" si="8"/>
        <v>土地级别</v>
      </c>
      <c r="R36" s="1586" t="s">
        <v>8</v>
      </c>
      <c r="S36" s="1587">
        <f t="shared" si="10"/>
        <v>100</v>
      </c>
      <c r="T36" s="1586" t="s">
        <v>8</v>
      </c>
      <c r="U36" s="1587">
        <f t="shared" si="11"/>
        <v>100</v>
      </c>
      <c r="V36" s="1586" t="s">
        <v>8</v>
      </c>
      <c r="W36" s="1587">
        <f t="shared" si="12"/>
        <v>100</v>
      </c>
      <c r="X36" s="1580"/>
      <c r="Y36" s="3272"/>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72"/>
      <c r="Q37" s="1585">
        <f t="shared" si="8"/>
        <v>111</v>
      </c>
      <c r="R37" s="1586" t="s">
        <v>8</v>
      </c>
      <c r="S37" s="1587">
        <f t="shared" si="10"/>
        <v>100</v>
      </c>
      <c r="T37" s="1586" t="s">
        <v>8</v>
      </c>
      <c r="U37" s="1587">
        <f t="shared" si="11"/>
        <v>100</v>
      </c>
      <c r="V37" s="1586" t="s">
        <v>8</v>
      </c>
      <c r="W37" s="1587">
        <f t="shared" si="12"/>
        <v>100</v>
      </c>
      <c r="X37" s="1580"/>
      <c r="Y37" s="3272"/>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77" t="s">
        <v>591</v>
      </c>
      <c r="Q38" s="1585">
        <f t="shared" si="8"/>
        <v>111</v>
      </c>
      <c r="R38" s="1586" t="s">
        <v>8</v>
      </c>
      <c r="S38" s="1587">
        <f t="shared" si="10"/>
        <v>100</v>
      </c>
      <c r="T38" s="1586" t="s">
        <v>8</v>
      </c>
      <c r="U38" s="1587">
        <f t="shared" si="11"/>
        <v>100</v>
      </c>
      <c r="V38" s="1586" t="s">
        <v>8</v>
      </c>
      <c r="W38" s="1587">
        <f t="shared" si="12"/>
        <v>100</v>
      </c>
      <c r="X38" s="1580"/>
      <c r="Y38" s="3278"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78"/>
      <c r="Q39" s="1585">
        <f t="shared" si="8"/>
        <v>111</v>
      </c>
      <c r="R39" s="1590" t="s">
        <v>8</v>
      </c>
      <c r="S39" s="1591">
        <f t="shared" si="10"/>
        <v>100</v>
      </c>
      <c r="T39" s="1590" t="s">
        <v>8</v>
      </c>
      <c r="U39" s="1591">
        <f t="shared" si="11"/>
        <v>100</v>
      </c>
      <c r="V39" s="1590" t="s">
        <v>8</v>
      </c>
      <c r="W39" s="1591">
        <f t="shared" si="12"/>
        <v>100</v>
      </c>
      <c r="X39" s="1592"/>
      <c r="Y39" s="3278"/>
      <c r="Z39" s="1593">
        <f t="shared" si="13"/>
        <v>111</v>
      </c>
      <c r="AA39" s="1589">
        <f t="shared" si="3"/>
        <v>1</v>
      </c>
      <c r="AB39" s="1589">
        <f t="shared" si="4"/>
        <v>1</v>
      </c>
      <c r="AC39" s="1589">
        <f t="shared" si="5"/>
        <v>1</v>
      </c>
    </row>
    <row r="40" spans="1:29" ht="20.25">
      <c r="A40" s="2909" t="s">
        <v>3133</v>
      </c>
      <c r="B40" s="595" t="s">
        <v>593</v>
      </c>
      <c r="C40" s="596">
        <f>'数据-汇总表'!D3</f>
        <v>46771</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78"/>
      <c r="Q40" s="1585" t="str">
        <f>B40</f>
        <v>宗地面积</v>
      </c>
      <c r="R40" s="1586" t="s">
        <v>8</v>
      </c>
      <c r="S40" s="1587">
        <f t="shared" si="10"/>
        <v>102</v>
      </c>
      <c r="T40" s="1586" t="s">
        <v>8</v>
      </c>
      <c r="U40" s="1587">
        <f t="shared" si="11"/>
        <v>102</v>
      </c>
      <c r="V40" s="1586" t="s">
        <v>8</v>
      </c>
      <c r="W40" s="1587">
        <f t="shared" si="12"/>
        <v>101</v>
      </c>
      <c r="X40" s="1580"/>
      <c r="Y40" s="3278"/>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78"/>
      <c r="Q41" s="1585" t="str">
        <f t="shared" ref="Q41:Q47" si="14">B41</f>
        <v>宗地形状</v>
      </c>
      <c r="R41" s="1586" t="s">
        <v>8</v>
      </c>
      <c r="S41" s="1587">
        <f t="shared" si="10"/>
        <v>100</v>
      </c>
      <c r="T41" s="1586" t="s">
        <v>8</v>
      </c>
      <c r="U41" s="1587">
        <f t="shared" si="11"/>
        <v>100</v>
      </c>
      <c r="V41" s="1586" t="s">
        <v>8</v>
      </c>
      <c r="W41" s="1587">
        <f t="shared" si="12"/>
        <v>100</v>
      </c>
      <c r="X41" s="1580"/>
      <c r="Y41" s="3278"/>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78"/>
      <c r="Q42" s="1585" t="str">
        <f t="shared" si="14"/>
        <v>临街宽度及深度</v>
      </c>
      <c r="R42" s="1586" t="s">
        <v>8</v>
      </c>
      <c r="S42" s="1587">
        <f t="shared" si="10"/>
        <v>100</v>
      </c>
      <c r="T42" s="1586" t="s">
        <v>8</v>
      </c>
      <c r="U42" s="1587">
        <f t="shared" si="11"/>
        <v>100</v>
      </c>
      <c r="V42" s="1586" t="s">
        <v>8</v>
      </c>
      <c r="W42" s="1587">
        <f t="shared" si="12"/>
        <v>100</v>
      </c>
      <c r="X42" s="1580"/>
      <c r="Y42" s="3278"/>
      <c r="Z42" s="1588" t="str">
        <f t="shared" si="13"/>
        <v>临街宽度及深度</v>
      </c>
      <c r="AA42" s="1589">
        <f t="shared" si="3"/>
        <v>1</v>
      </c>
      <c r="AB42" s="1589">
        <f t="shared" si="4"/>
        <v>1</v>
      </c>
      <c r="AC42" s="1589">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78"/>
      <c r="Q43" s="1585" t="str">
        <f t="shared" si="14"/>
        <v>宗地开发程度</v>
      </c>
      <c r="R43" s="1581" t="s">
        <v>8</v>
      </c>
      <c r="S43" s="1582">
        <f t="shared" si="10"/>
        <v>100</v>
      </c>
      <c r="T43" s="1581" t="s">
        <v>8</v>
      </c>
      <c r="U43" s="1582">
        <f t="shared" si="11"/>
        <v>100</v>
      </c>
      <c r="V43" s="1581" t="s">
        <v>8</v>
      </c>
      <c r="W43" s="1582">
        <f t="shared" si="12"/>
        <v>100</v>
      </c>
      <c r="X43" s="1583"/>
      <c r="Y43" s="3278"/>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78" t="s">
        <v>591</v>
      </c>
      <c r="Q44" s="1585" t="str">
        <f t="shared" si="14"/>
        <v>工程地质条件</v>
      </c>
      <c r="R44" s="1586" t="s">
        <v>8</v>
      </c>
      <c r="S44" s="1587">
        <f t="shared" si="10"/>
        <v>100</v>
      </c>
      <c r="T44" s="1586" t="s">
        <v>8</v>
      </c>
      <c r="U44" s="1587">
        <f t="shared" si="11"/>
        <v>100</v>
      </c>
      <c r="V44" s="1586" t="s">
        <v>8</v>
      </c>
      <c r="W44" s="1587">
        <f t="shared" si="12"/>
        <v>100</v>
      </c>
      <c r="X44" s="1580"/>
      <c r="Y44" s="3278"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78"/>
      <c r="Q45" s="1585">
        <f t="shared" si="14"/>
        <v>111</v>
      </c>
      <c r="R45" s="1586" t="s">
        <v>8</v>
      </c>
      <c r="S45" s="1587">
        <f t="shared" si="10"/>
        <v>100</v>
      </c>
      <c r="T45" s="1586" t="s">
        <v>8</v>
      </c>
      <c r="U45" s="1587">
        <f t="shared" si="11"/>
        <v>100</v>
      </c>
      <c r="V45" s="1586" t="s">
        <v>8</v>
      </c>
      <c r="W45" s="1587">
        <f t="shared" si="12"/>
        <v>100</v>
      </c>
      <c r="X45" s="1580"/>
      <c r="Y45" s="3278"/>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78"/>
      <c r="Q46" s="1585">
        <f t="shared" si="14"/>
        <v>111</v>
      </c>
      <c r="R46" s="1586" t="s">
        <v>8</v>
      </c>
      <c r="S46" s="1587">
        <f t="shared" si="10"/>
        <v>100</v>
      </c>
      <c r="T46" s="1586" t="s">
        <v>8</v>
      </c>
      <c r="U46" s="1587">
        <f t="shared" si="11"/>
        <v>100</v>
      </c>
      <c r="V46" s="1586" t="s">
        <v>8</v>
      </c>
      <c r="W46" s="1587">
        <f t="shared" si="12"/>
        <v>100</v>
      </c>
      <c r="X46" s="1580"/>
      <c r="Y46" s="3278"/>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78"/>
      <c r="Q47" s="1585">
        <f t="shared" si="14"/>
        <v>111</v>
      </c>
      <c r="R47" s="1590" t="s">
        <v>8</v>
      </c>
      <c r="S47" s="1591">
        <f t="shared" si="10"/>
        <v>100</v>
      </c>
      <c r="T47" s="1590" t="s">
        <v>8</v>
      </c>
      <c r="U47" s="1591">
        <f t="shared" si="11"/>
        <v>100</v>
      </c>
      <c r="V47" s="1590" t="s">
        <v>8</v>
      </c>
      <c r="W47" s="1591">
        <f t="shared" si="12"/>
        <v>100</v>
      </c>
      <c r="X47" s="1592"/>
      <c r="Y47" s="3278"/>
      <c r="Z47" s="1593">
        <f t="shared" si="13"/>
        <v>111</v>
      </c>
      <c r="AA47" s="1589">
        <f t="shared" si="3"/>
        <v>1</v>
      </c>
      <c r="AB47" s="1589">
        <f t="shared" si="4"/>
        <v>1</v>
      </c>
      <c r="AC47" s="1589">
        <f t="shared" si="5"/>
        <v>1</v>
      </c>
    </row>
    <row r="48" spans="1:29" ht="20.25">
      <c r="A48" s="3081" t="s">
        <v>600</v>
      </c>
      <c r="B48" s="3082" t="s">
        <v>2385</v>
      </c>
      <c r="C48" s="609" t="s">
        <v>1</v>
      </c>
      <c r="D48" s="610"/>
      <c r="E48" s="611">
        <v>6164</v>
      </c>
      <c r="F48" s="612"/>
      <c r="G48" s="613">
        <v>7380</v>
      </c>
      <c r="H48" s="614"/>
      <c r="I48" s="611">
        <v>6485</v>
      </c>
      <c r="J48" s="614"/>
      <c r="K48" s="1351"/>
      <c r="L48" s="2163"/>
      <c r="M48" s="2151"/>
      <c r="N48" s="2151"/>
      <c r="O48" s="2164"/>
      <c r="P48" s="3269" t="str">
        <f>A48</f>
        <v>成交单价</v>
      </c>
      <c r="Q48" s="3269"/>
      <c r="R48" s="3265">
        <f>E48</f>
        <v>6164</v>
      </c>
      <c r="S48" s="3265"/>
      <c r="T48" s="3265">
        <f>G48</f>
        <v>7380</v>
      </c>
      <c r="U48" s="3265"/>
      <c r="V48" s="3265">
        <f>I48</f>
        <v>6485</v>
      </c>
      <c r="W48" s="3265"/>
      <c r="X48" s="1572"/>
      <c r="Y48" s="1594"/>
      <c r="Z48" s="1572"/>
      <c r="AA48" s="1572"/>
      <c r="AB48" s="1572"/>
      <c r="AC48" s="1572"/>
    </row>
    <row r="49" spans="1:29" ht="29.25" thickBot="1">
      <c r="A49" s="3083" t="s">
        <v>3066</v>
      </c>
      <c r="B49" s="3084"/>
      <c r="C49" s="617">
        <f>R50</f>
        <v>5602</v>
      </c>
      <c r="D49" s="618"/>
      <c r="E49" s="617">
        <f>R49</f>
        <v>5231</v>
      </c>
      <c r="F49" s="619"/>
      <c r="G49" s="620">
        <f>T49</f>
        <v>6019</v>
      </c>
      <c r="H49" s="618"/>
      <c r="I49" s="617">
        <f>V49</f>
        <v>5557</v>
      </c>
      <c r="J49" s="618"/>
      <c r="K49" s="1352"/>
      <c r="L49" s="2163"/>
      <c r="M49" s="2151"/>
      <c r="N49" s="2151"/>
      <c r="O49" s="2164"/>
      <c r="P49" s="3269" t="str">
        <f>A49</f>
        <v>比较价格（元/平方米）</v>
      </c>
      <c r="Q49" s="3269"/>
      <c r="R49" s="3273">
        <f>ROUND(PRODUCT(R48,AA9:AA47),0)</f>
        <v>5231</v>
      </c>
      <c r="S49" s="3273"/>
      <c r="T49" s="3273">
        <f>ROUND(PRODUCT(T48,AB9:AB47),0)</f>
        <v>6019</v>
      </c>
      <c r="U49" s="3273"/>
      <c r="V49" s="3273">
        <f>ROUND(PRODUCT(V48,AC9:AC47),0)</f>
        <v>5557</v>
      </c>
      <c r="W49" s="3273"/>
      <c r="X49" s="1572"/>
      <c r="Y49" s="1572"/>
      <c r="Z49" s="1572"/>
      <c r="AA49" s="1572"/>
      <c r="AB49" s="1572"/>
      <c r="AC49" s="1572"/>
    </row>
    <row r="50" spans="1:29" ht="57.75" thickBot="1">
      <c r="A50" s="3085" t="s">
        <v>3067</v>
      </c>
      <c r="B50" s="3086"/>
      <c r="C50" s="623">
        <f>R50</f>
        <v>5602</v>
      </c>
      <c r="D50" s="623"/>
      <c r="E50" s="623"/>
      <c r="F50" s="623"/>
      <c r="G50" s="623"/>
      <c r="H50" s="623"/>
      <c r="I50" s="623"/>
      <c r="J50" s="623"/>
      <c r="K50" s="1353"/>
      <c r="L50" s="2163"/>
      <c r="M50" s="2151"/>
      <c r="N50" s="2151"/>
      <c r="O50" s="2164"/>
      <c r="P50" s="3274" t="str">
        <f>A50</f>
        <v>估价对象XX用房的比较价格（楼面单价，元/平方米）</v>
      </c>
      <c r="Q50" s="3275"/>
      <c r="R50" s="3276">
        <f>ROUND(AVERAGE(R49:V49),0)</f>
        <v>5602</v>
      </c>
      <c r="S50" s="3276"/>
      <c r="T50" s="3276"/>
      <c r="U50" s="3276"/>
      <c r="V50" s="3276"/>
      <c r="W50" s="327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0.17835977824507743</v>
      </c>
      <c r="F53" s="627" t="str">
        <f>IF(OR(E53&gt;=0.3,E53&lt;=-0.3),"超过30%","")</f>
        <v/>
      </c>
      <c r="G53" s="626">
        <f>IF(G48&lt;G49,G49/G48-1,G48/G49-1)</f>
        <v>0.22611729523176605</v>
      </c>
      <c r="H53" s="627" t="str">
        <f>IF(OR(G53&gt;=0.3,G53&lt;=-0.3),"超过30%","")</f>
        <v/>
      </c>
      <c r="I53" s="626">
        <f>IF(I48&lt;I49,I49/I48-1,I48/I49-1)</f>
        <v>0.16699658088896885</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0.15064041292295927</v>
      </c>
      <c r="F54" s="627" t="str">
        <f>IF(OR(E54&gt;=0.2,E54&lt;=-0.2),"超过20%","")</f>
        <v/>
      </c>
      <c r="G54" s="626">
        <f>IF(G49&lt;I49,I49/G49-1,G49/I49-1)</f>
        <v>8.3138384020154721E-2</v>
      </c>
      <c r="H54" s="627" t="str">
        <f>IF(OR(G54&gt;=0.2,G54&lt;=-0.2),"超过20%","")</f>
        <v/>
      </c>
      <c r="I54" s="626">
        <f>IF(I49&lt;E49,E49/I49-1,I49/E49-1)</f>
        <v>6.2320779965589823E-2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0.19727449707981837</v>
      </c>
      <c r="F55" s="627" t="str">
        <f>IF(OR(E55&gt;=0.3,E55&lt;=-0.3),"超过30%","")</f>
        <v/>
      </c>
      <c r="G55" s="626">
        <f>IF(G48&lt;I48,I48/G48-1,G48/I48-1)</f>
        <v>0.13801079414032391</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79" t="s">
        <v>2597</v>
      </c>
      <c r="H57" s="328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5602</v>
      </c>
      <c r="C58" s="635">
        <v>1</v>
      </c>
      <c r="D58" s="2247">
        <v>1</v>
      </c>
      <c r="E58" s="635">
        <f>'数据-汇总表'!E8+'数据-汇总表'!E9</f>
        <v>76634</v>
      </c>
      <c r="F58" s="636">
        <f t="shared" ref="F58:F67" si="15">ROUND(B58*E58/10000,0)</f>
        <v>42930</v>
      </c>
      <c r="G58" s="3281"/>
      <c r="H58" s="328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8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8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8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8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1957"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42930</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2204</v>
      </c>
      <c r="B36" s="1666" t="s">
        <v>2205</v>
      </c>
    </row>
    <row r="37" spans="1:9" ht="28.5" customHeight="1">
      <c r="A37" s="1666"/>
      <c r="B37" s="3215" t="str">
        <f>项目基本情况!B1</f>
        <v>重庆市重庆市渝北区回兴街道A08-8/02号地块出让国有建设用地使用权抵押价格预评估</v>
      </c>
      <c r="C37" s="3215"/>
      <c r="D37" s="3215"/>
      <c r="E37" s="3215"/>
      <c r="F37" s="3215"/>
      <c r="G37" s="3215"/>
      <c r="H37" s="3215"/>
      <c r="I37" s="3215"/>
    </row>
    <row r="38" spans="1:9">
      <c r="A38" s="1668"/>
      <c r="B38" s="1668"/>
    </row>
    <row r="39" spans="1:9">
      <c r="A39" s="1666" t="s">
        <v>2204</v>
      </c>
      <c r="B39" s="1666" t="s">
        <v>2358</v>
      </c>
    </row>
    <row r="40" spans="1:9">
      <c r="A40" s="1666"/>
      <c r="B40" s="1666" t="str">
        <f>项目基本情况!B5</f>
        <v>重庆天江坤宸置业有限公司</v>
      </c>
    </row>
    <row r="41" spans="1:9">
      <c r="A41" s="1666"/>
      <c r="B41" s="1666"/>
    </row>
    <row r="42" spans="1:9">
      <c r="A42" s="1666" t="s">
        <v>2204</v>
      </c>
      <c r="B42" s="1666" t="s">
        <v>2359</v>
      </c>
    </row>
    <row r="43" spans="1:9">
      <c r="A43" s="1666"/>
      <c r="B43" s="1666" t="s">
        <v>2206</v>
      </c>
    </row>
    <row r="44" spans="1:9">
      <c r="A44" s="1666"/>
      <c r="B44" s="1666"/>
    </row>
    <row r="45" spans="1:9">
      <c r="A45" s="1666" t="s">
        <v>2204</v>
      </c>
      <c r="B45" s="1666" t="s">
        <v>2357</v>
      </c>
    </row>
    <row r="46" spans="1:9" s="1666" customFormat="1" ht="12.75">
      <c r="B46" s="1666" t="str">
        <f>项目基本情况!K4</f>
        <v>赵雯、杨红英</v>
      </c>
    </row>
    <row r="47" spans="1:9">
      <c r="A47" s="1666"/>
      <c r="B47" s="1666"/>
    </row>
    <row r="48" spans="1:9">
      <c r="A48" s="1666" t="s">
        <v>2204</v>
      </c>
      <c r="B48" s="1666" t="s">
        <v>2360</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7" customWidth="1"/>
    <col min="2" max="2" width="16.125" style="3187" customWidth="1"/>
    <col min="3" max="3" width="20.125" style="3187" customWidth="1"/>
    <col min="4" max="4" width="16.875" style="3187" customWidth="1"/>
    <col min="5" max="5" width="19.375" style="3187" customWidth="1"/>
    <col min="6" max="6" width="16.375" style="3187" customWidth="1"/>
    <col min="7" max="9" width="35.375" style="3187"/>
    <col min="10" max="10" width="22.75" style="3187" customWidth="1"/>
    <col min="11" max="11" width="21.5" style="3187" customWidth="1"/>
    <col min="12" max="16384" width="35.375" style="3187"/>
  </cols>
  <sheetData>
    <row r="1" spans="1:13">
      <c r="A1" s="3187" t="s">
        <v>3360</v>
      </c>
      <c r="B1" s="3187" t="s">
        <v>3361</v>
      </c>
      <c r="C1" s="3187" t="s">
        <v>3362</v>
      </c>
      <c r="D1" s="3187" t="s">
        <v>3363</v>
      </c>
      <c r="E1" s="3187" t="s">
        <v>3364</v>
      </c>
      <c r="F1" s="3187" t="s">
        <v>3365</v>
      </c>
      <c r="G1" s="3187" t="s">
        <v>2344</v>
      </c>
      <c r="H1" s="3187" t="s">
        <v>3366</v>
      </c>
      <c r="I1" s="3187" t="s">
        <v>3367</v>
      </c>
      <c r="J1" s="3187" t="s">
        <v>3368</v>
      </c>
      <c r="K1" s="3187" t="s">
        <v>3369</v>
      </c>
      <c r="L1" s="3187" t="s">
        <v>3370</v>
      </c>
      <c r="M1" s="3187" t="s">
        <v>3371</v>
      </c>
    </row>
    <row r="2" spans="1:13">
      <c r="A2" s="3187" t="s">
        <v>3380</v>
      </c>
      <c r="B2" s="3187" t="s">
        <v>3373</v>
      </c>
      <c r="C2" s="3187" t="s">
        <v>3374</v>
      </c>
      <c r="D2" s="3187" t="s">
        <v>3375</v>
      </c>
      <c r="E2" s="3187">
        <v>66604</v>
      </c>
      <c r="F2" s="3187">
        <v>66605</v>
      </c>
      <c r="G2" s="3187" t="s">
        <v>3381</v>
      </c>
      <c r="H2" s="3187" t="s">
        <v>3382</v>
      </c>
      <c r="I2" s="3187" t="s">
        <v>3383</v>
      </c>
      <c r="J2" s="3187">
        <v>78000</v>
      </c>
      <c r="K2" s="3187">
        <v>11710.82</v>
      </c>
      <c r="L2" s="3187">
        <v>67.3</v>
      </c>
      <c r="M2" s="3187" t="s">
        <v>3379</v>
      </c>
    </row>
    <row r="3" spans="1:13">
      <c r="A3" s="3187" t="s">
        <v>3387</v>
      </c>
      <c r="B3" s="3187" t="s">
        <v>3373</v>
      </c>
      <c r="C3" s="3187" t="s">
        <v>3374</v>
      </c>
      <c r="D3" s="3187" t="s">
        <v>3375</v>
      </c>
      <c r="E3" s="3187">
        <v>203112</v>
      </c>
      <c r="F3" s="3187">
        <v>362486</v>
      </c>
      <c r="G3" s="3187" t="s">
        <v>3388</v>
      </c>
      <c r="H3" s="3187" t="s">
        <v>3389</v>
      </c>
      <c r="I3" s="3187" t="s">
        <v>3390</v>
      </c>
      <c r="J3" s="3187">
        <v>339000</v>
      </c>
      <c r="K3" s="3187">
        <v>9352.09</v>
      </c>
      <c r="L3" s="3187">
        <v>87.04</v>
      </c>
      <c r="M3" s="3187" t="s">
        <v>3379</v>
      </c>
    </row>
    <row r="4" spans="1:13" s="3192" customFormat="1">
      <c r="A4" s="3192" t="s">
        <v>3458</v>
      </c>
      <c r="B4" s="3192" t="s">
        <v>3373</v>
      </c>
      <c r="C4" s="3192" t="s">
        <v>3374</v>
      </c>
      <c r="D4" s="3192" t="s">
        <v>3375</v>
      </c>
      <c r="E4" s="3192">
        <v>156205</v>
      </c>
      <c r="F4" s="3192">
        <v>156205</v>
      </c>
      <c r="G4" s="3192" t="s">
        <v>3459</v>
      </c>
      <c r="H4" s="3192" t="s">
        <v>3456</v>
      </c>
      <c r="I4" s="3192" t="s">
        <v>3460</v>
      </c>
      <c r="J4" s="3192">
        <v>119000</v>
      </c>
      <c r="K4" s="3192">
        <v>7618.18</v>
      </c>
      <c r="L4" s="3192">
        <v>70.540000000000006</v>
      </c>
      <c r="M4" s="3192" t="s">
        <v>3379</v>
      </c>
    </row>
    <row r="5" spans="1:13" s="3192" customFormat="1">
      <c r="A5" s="3192" t="s">
        <v>3464</v>
      </c>
      <c r="B5" s="3192" t="s">
        <v>3373</v>
      </c>
      <c r="C5" s="3192" t="s">
        <v>3374</v>
      </c>
      <c r="D5" s="3192" t="s">
        <v>3375</v>
      </c>
      <c r="E5" s="3192">
        <v>224940</v>
      </c>
      <c r="F5" s="3192">
        <v>335160.59999999998</v>
      </c>
      <c r="G5" s="3192" t="s">
        <v>3465</v>
      </c>
      <c r="H5" s="3192" t="s">
        <v>3466</v>
      </c>
      <c r="I5" s="3192" t="s">
        <v>3446</v>
      </c>
      <c r="J5" s="3192">
        <v>255000</v>
      </c>
      <c r="K5" s="3192">
        <v>7608.28</v>
      </c>
      <c r="L5" s="3192">
        <v>63.39</v>
      </c>
      <c r="M5" s="3192" t="s">
        <v>3379</v>
      </c>
    </row>
    <row r="6" spans="1:13" s="3191" customFormat="1">
      <c r="A6" s="3191" t="s">
        <v>3423</v>
      </c>
      <c r="B6" s="3191" t="s">
        <v>3373</v>
      </c>
      <c r="C6" s="3191" t="s">
        <v>3392</v>
      </c>
      <c r="D6" s="3191" t="s">
        <v>3375</v>
      </c>
      <c r="E6" s="3191">
        <v>221522</v>
      </c>
      <c r="F6" s="3191">
        <v>567430</v>
      </c>
      <c r="G6" s="3191" t="s">
        <v>3424</v>
      </c>
      <c r="H6" s="3191" t="s">
        <v>3425</v>
      </c>
      <c r="I6" s="3191" t="s">
        <v>3426</v>
      </c>
      <c r="J6" s="3191">
        <v>422000</v>
      </c>
      <c r="K6" s="3191">
        <v>7437.03</v>
      </c>
      <c r="L6" s="3191">
        <v>103.89</v>
      </c>
      <c r="M6" s="3191" t="s">
        <v>3411</v>
      </c>
    </row>
    <row r="7" spans="1:13" s="3191" customFormat="1">
      <c r="A7" s="3191" t="s">
        <v>3427</v>
      </c>
      <c r="B7" s="3191" t="s">
        <v>3373</v>
      </c>
      <c r="C7" s="3191" t="s">
        <v>3392</v>
      </c>
      <c r="D7" s="3191" t="s">
        <v>3375</v>
      </c>
      <c r="E7" s="3191">
        <v>221130</v>
      </c>
      <c r="F7" s="3191">
        <v>601589</v>
      </c>
      <c r="G7" s="3191" t="s">
        <v>3428</v>
      </c>
      <c r="H7" s="3191" t="s">
        <v>3425</v>
      </c>
      <c r="I7" s="3191" t="s">
        <v>3429</v>
      </c>
      <c r="J7" s="3191">
        <v>444000</v>
      </c>
      <c r="K7" s="3191">
        <v>7380.44</v>
      </c>
      <c r="L7" s="3191">
        <v>116.4</v>
      </c>
      <c r="M7" s="3191" t="s">
        <v>3411</v>
      </c>
    </row>
    <row r="8" spans="1:13" s="3192" customFormat="1">
      <c r="A8" s="3192" t="s">
        <v>3437</v>
      </c>
      <c r="B8" s="3192" t="s">
        <v>3373</v>
      </c>
      <c r="C8" s="3192" t="s">
        <v>3374</v>
      </c>
      <c r="D8" s="3192" t="s">
        <v>3375</v>
      </c>
      <c r="E8" s="3192">
        <v>63835</v>
      </c>
      <c r="F8" s="3192">
        <v>95753</v>
      </c>
      <c r="G8" s="3192" t="s">
        <v>3408</v>
      </c>
      <c r="H8" s="3192" t="s">
        <v>3438</v>
      </c>
      <c r="I8" s="3192" t="s">
        <v>3439</v>
      </c>
      <c r="J8" s="3192">
        <v>67500</v>
      </c>
      <c r="K8" s="3192">
        <v>7049.39</v>
      </c>
      <c r="L8" s="3192">
        <v>46.87</v>
      </c>
      <c r="M8" s="3192" t="s">
        <v>3401</v>
      </c>
    </row>
    <row r="9" spans="1:13">
      <c r="A9" s="3187" t="s">
        <v>3416</v>
      </c>
      <c r="B9" s="3187" t="s">
        <v>3373</v>
      </c>
      <c r="C9" s="3187" t="s">
        <v>3392</v>
      </c>
      <c r="D9" s="3187" t="s">
        <v>3375</v>
      </c>
      <c r="E9" s="3187">
        <v>157925</v>
      </c>
      <c r="F9" s="3187">
        <v>437910</v>
      </c>
      <c r="G9" s="3187" t="s">
        <v>3417</v>
      </c>
      <c r="H9" s="3187" t="s">
        <v>3418</v>
      </c>
      <c r="I9" s="3187" t="s">
        <v>3419</v>
      </c>
      <c r="J9" s="3187">
        <v>284000</v>
      </c>
      <c r="K9" s="3187">
        <v>6485.35</v>
      </c>
      <c r="L9" s="3187">
        <v>83.97</v>
      </c>
      <c r="M9" s="3187" t="s">
        <v>3411</v>
      </c>
    </row>
    <row r="10" spans="1:13">
      <c r="A10" s="3187" t="s">
        <v>3420</v>
      </c>
      <c r="B10" s="3187" t="s">
        <v>3373</v>
      </c>
      <c r="C10" s="3187" t="s">
        <v>3392</v>
      </c>
      <c r="D10" s="3187" t="s">
        <v>3375</v>
      </c>
      <c r="E10" s="3187">
        <v>200112</v>
      </c>
      <c r="F10" s="3187">
        <v>540233</v>
      </c>
      <c r="G10" s="3187" t="s">
        <v>3421</v>
      </c>
      <c r="H10" s="3187" t="s">
        <v>3418</v>
      </c>
      <c r="I10" s="3187" t="s">
        <v>3422</v>
      </c>
      <c r="J10" s="3187">
        <v>333000</v>
      </c>
      <c r="K10" s="3187">
        <v>6164.01</v>
      </c>
      <c r="L10" s="3187">
        <v>71.430000000000007</v>
      </c>
      <c r="M10" s="3187" t="s">
        <v>3411</v>
      </c>
    </row>
    <row r="11" spans="1:13">
      <c r="A11" s="3187" t="s">
        <v>3402</v>
      </c>
      <c r="B11" s="3187" t="s">
        <v>3373</v>
      </c>
      <c r="C11" s="3187" t="s">
        <v>3374</v>
      </c>
      <c r="D11" s="3187" t="s">
        <v>3375</v>
      </c>
      <c r="E11" s="3187">
        <v>206303</v>
      </c>
      <c r="F11" s="3187">
        <v>434854</v>
      </c>
      <c r="G11" s="3187" t="s">
        <v>3403</v>
      </c>
      <c r="H11" s="3187" t="s">
        <v>3404</v>
      </c>
      <c r="I11" s="3187" t="s">
        <v>3405</v>
      </c>
      <c r="J11" s="3187">
        <v>262000</v>
      </c>
      <c r="K11" s="3187">
        <v>6025.01</v>
      </c>
      <c r="L11" s="3187">
        <v>54.49</v>
      </c>
      <c r="M11" s="3187" t="s">
        <v>3401</v>
      </c>
    </row>
    <row r="12" spans="1:13">
      <c r="A12" s="3187" t="s">
        <v>3430</v>
      </c>
      <c r="B12" s="3187" t="s">
        <v>3373</v>
      </c>
      <c r="C12" s="3187" t="s">
        <v>3392</v>
      </c>
      <c r="D12" s="3187" t="s">
        <v>3375</v>
      </c>
      <c r="E12" s="3187">
        <v>207435</v>
      </c>
      <c r="F12" s="3187">
        <v>318249</v>
      </c>
      <c r="G12" s="3187" t="s">
        <v>3408</v>
      </c>
      <c r="H12" s="3187" t="s">
        <v>3431</v>
      </c>
      <c r="I12" s="3187" t="s">
        <v>3432</v>
      </c>
      <c r="J12" s="3187">
        <v>182000</v>
      </c>
      <c r="K12" s="3187">
        <v>5718.78</v>
      </c>
      <c r="L12" s="3187">
        <v>22.71</v>
      </c>
      <c r="M12" s="3187" t="s">
        <v>3433</v>
      </c>
    </row>
    <row r="13" spans="1:13">
      <c r="A13" s="3187" t="s">
        <v>3384</v>
      </c>
      <c r="B13" s="3187" t="s">
        <v>3373</v>
      </c>
      <c r="C13" s="3187" t="s">
        <v>3374</v>
      </c>
      <c r="D13" s="3187" t="s">
        <v>3375</v>
      </c>
      <c r="E13" s="3187">
        <v>45575</v>
      </c>
      <c r="F13" s="3187">
        <v>156000</v>
      </c>
      <c r="G13" s="3187" t="s">
        <v>3385</v>
      </c>
      <c r="H13" s="3187" t="s">
        <v>3382</v>
      </c>
      <c r="I13" s="3187" t="s">
        <v>3386</v>
      </c>
      <c r="J13" s="3187">
        <v>84400</v>
      </c>
      <c r="K13" s="3187">
        <v>5410.26</v>
      </c>
      <c r="L13" s="3187">
        <v>116.41</v>
      </c>
      <c r="M13" s="3187" t="s">
        <v>3379</v>
      </c>
    </row>
    <row r="14" spans="1:13">
      <c r="A14" s="3187" t="s">
        <v>3434</v>
      </c>
      <c r="B14" s="3187" t="s">
        <v>3373</v>
      </c>
      <c r="C14" s="3187" t="s">
        <v>3392</v>
      </c>
      <c r="D14" s="3187" t="s">
        <v>3375</v>
      </c>
      <c r="E14" s="3187">
        <v>224265</v>
      </c>
      <c r="F14" s="3187">
        <v>553604</v>
      </c>
      <c r="G14" s="3187" t="s">
        <v>3435</v>
      </c>
      <c r="H14" s="3187" t="s">
        <v>3431</v>
      </c>
      <c r="I14" s="3187" t="s">
        <v>3436</v>
      </c>
      <c r="J14" s="3187">
        <v>298000</v>
      </c>
      <c r="K14" s="3187">
        <v>5382.9</v>
      </c>
      <c r="L14" s="3187">
        <v>62.77</v>
      </c>
      <c r="M14" s="3187" t="s">
        <v>3433</v>
      </c>
    </row>
    <row r="15" spans="1:13">
      <c r="A15" s="3187" t="s">
        <v>3461</v>
      </c>
      <c r="B15" s="3187" t="s">
        <v>3373</v>
      </c>
      <c r="C15" s="3187" t="s">
        <v>3374</v>
      </c>
      <c r="D15" s="3187" t="s">
        <v>3375</v>
      </c>
      <c r="E15" s="3187">
        <v>144870</v>
      </c>
      <c r="F15" s="3187">
        <v>289740</v>
      </c>
      <c r="G15" s="3187" t="s">
        <v>3455</v>
      </c>
      <c r="H15" s="3187" t="s">
        <v>3456</v>
      </c>
      <c r="I15" s="3187" t="s">
        <v>3457</v>
      </c>
      <c r="J15" s="3187">
        <v>149000</v>
      </c>
      <c r="K15" s="3187">
        <v>5142.53</v>
      </c>
      <c r="L15" s="3187">
        <v>60.83</v>
      </c>
      <c r="M15" s="3187" t="s">
        <v>3379</v>
      </c>
    </row>
    <row r="16" spans="1:13">
      <c r="A16" s="3187" t="s">
        <v>3443</v>
      </c>
      <c r="B16" s="3187" t="s">
        <v>3373</v>
      </c>
      <c r="C16" s="3187" t="s">
        <v>3374</v>
      </c>
      <c r="D16" s="3187" t="s">
        <v>3375</v>
      </c>
      <c r="E16" s="3187">
        <v>59685</v>
      </c>
      <c r="F16" s="3187">
        <v>87737</v>
      </c>
      <c r="G16" s="3187" t="s">
        <v>3444</v>
      </c>
      <c r="H16" s="3187" t="s">
        <v>3445</v>
      </c>
      <c r="I16" s="3187" t="s">
        <v>3446</v>
      </c>
      <c r="J16" s="3187">
        <v>43000</v>
      </c>
      <c r="K16" s="3187">
        <v>4901.01</v>
      </c>
      <c r="L16" s="3187">
        <v>1.57</v>
      </c>
      <c r="M16" s="3187" t="s">
        <v>3401</v>
      </c>
    </row>
    <row r="17" spans="1:13">
      <c r="A17" s="3187" t="s">
        <v>3482</v>
      </c>
      <c r="B17" s="3187" t="s">
        <v>3373</v>
      </c>
      <c r="C17" s="3187" t="s">
        <v>3392</v>
      </c>
      <c r="D17" s="3187" t="s">
        <v>3375</v>
      </c>
      <c r="E17" s="3187">
        <v>12912</v>
      </c>
      <c r="F17" s="3187">
        <v>71016</v>
      </c>
      <c r="G17" s="3187" t="s">
        <v>3483</v>
      </c>
      <c r="H17" s="3187" t="s">
        <v>3484</v>
      </c>
      <c r="I17" s="3187" t="s">
        <v>3485</v>
      </c>
      <c r="J17" s="3187">
        <v>34500</v>
      </c>
      <c r="K17" s="3187">
        <v>4858.0600000000004</v>
      </c>
      <c r="L17" s="3187">
        <v>81.260000000000005</v>
      </c>
      <c r="M17" s="3187" t="s">
        <v>3471</v>
      </c>
    </row>
    <row r="18" spans="1:13">
      <c r="A18" s="3187" t="s">
        <v>3506</v>
      </c>
      <c r="B18" s="3187" t="s">
        <v>3373</v>
      </c>
      <c r="C18" s="3187" t="s">
        <v>3374</v>
      </c>
      <c r="D18" s="3187" t="s">
        <v>3375</v>
      </c>
      <c r="E18" s="3187">
        <v>189180</v>
      </c>
      <c r="F18" s="3187">
        <v>281870</v>
      </c>
      <c r="G18" s="3187" t="s">
        <v>3507</v>
      </c>
      <c r="H18" s="3187" t="s">
        <v>3504</v>
      </c>
      <c r="I18" s="3187" t="s">
        <v>3505</v>
      </c>
      <c r="J18" s="3187">
        <v>118000</v>
      </c>
      <c r="K18" s="3187">
        <v>4186.32</v>
      </c>
      <c r="L18" s="3187">
        <v>14.1</v>
      </c>
      <c r="M18" s="3187" t="s">
        <v>3401</v>
      </c>
    </row>
    <row r="19" spans="1:13">
      <c r="A19" s="3187" t="s">
        <v>3454</v>
      </c>
      <c r="B19" s="3187" t="s">
        <v>3373</v>
      </c>
      <c r="C19" s="3187" t="s">
        <v>3374</v>
      </c>
      <c r="D19" s="3187" t="s">
        <v>3375</v>
      </c>
      <c r="E19" s="3187">
        <v>147699</v>
      </c>
      <c r="F19" s="3187">
        <v>295398</v>
      </c>
      <c r="G19" s="3187" t="s">
        <v>3455</v>
      </c>
      <c r="H19" s="3187" t="s">
        <v>3456</v>
      </c>
      <c r="I19" s="3187" t="s">
        <v>3457</v>
      </c>
      <c r="J19" s="3187">
        <v>120000</v>
      </c>
      <c r="K19" s="3187">
        <v>4062.32</v>
      </c>
      <c r="L19" s="3187">
        <v>37.25</v>
      </c>
      <c r="M19" s="3187" t="s">
        <v>3379</v>
      </c>
    </row>
    <row r="20" spans="1:13">
      <c r="A20" s="3187" t="s">
        <v>3523</v>
      </c>
      <c r="B20" s="3187" t="s">
        <v>3373</v>
      </c>
      <c r="C20" s="3187" t="s">
        <v>3392</v>
      </c>
      <c r="D20" s="3187" t="s">
        <v>3375</v>
      </c>
      <c r="E20" s="3187">
        <v>16478</v>
      </c>
      <c r="F20" s="3187">
        <v>65912</v>
      </c>
      <c r="G20" s="3187" t="s">
        <v>3524</v>
      </c>
      <c r="H20" s="3187" t="s">
        <v>3525</v>
      </c>
      <c r="I20" s="3187" t="s">
        <v>3426</v>
      </c>
      <c r="J20" s="3187">
        <v>26600</v>
      </c>
      <c r="K20" s="3187">
        <v>4035.67</v>
      </c>
      <c r="L20" s="3187">
        <v>13.52</v>
      </c>
      <c r="M20" s="3187" t="s">
        <v>3526</v>
      </c>
    </row>
    <row r="21" spans="1:13">
      <c r="A21" s="3187" t="s">
        <v>3519</v>
      </c>
      <c r="B21" s="3187" t="s">
        <v>3373</v>
      </c>
      <c r="C21" s="3187" t="s">
        <v>3392</v>
      </c>
      <c r="D21" s="3187" t="s">
        <v>3375</v>
      </c>
      <c r="E21" s="3187">
        <v>42598</v>
      </c>
      <c r="F21" s="3187">
        <v>170392</v>
      </c>
      <c r="G21" s="3187" t="s">
        <v>3520</v>
      </c>
      <c r="H21" s="3187" t="s">
        <v>3521</v>
      </c>
      <c r="I21" s="3187" t="s">
        <v>3522</v>
      </c>
      <c r="J21" s="3187">
        <v>65090</v>
      </c>
      <c r="K21" s="3187">
        <v>3820.01</v>
      </c>
      <c r="L21" s="3187">
        <v>0</v>
      </c>
      <c r="M21" s="3187" t="s">
        <v>3411</v>
      </c>
    </row>
    <row r="22" spans="1:13">
      <c r="A22" s="3187" t="s">
        <v>3517</v>
      </c>
      <c r="B22" s="3187" t="s">
        <v>3373</v>
      </c>
      <c r="C22" s="3187" t="s">
        <v>3392</v>
      </c>
      <c r="D22" s="3187" t="s">
        <v>3375</v>
      </c>
      <c r="E22" s="3187">
        <v>192045</v>
      </c>
      <c r="F22" s="3187">
        <v>395306</v>
      </c>
      <c r="G22" s="3187" t="s">
        <v>3518</v>
      </c>
      <c r="H22" s="3187" t="s">
        <v>3515</v>
      </c>
      <c r="I22" s="3187" t="s">
        <v>3516</v>
      </c>
      <c r="J22" s="3187">
        <v>148000</v>
      </c>
      <c r="K22" s="3187">
        <v>3743.94</v>
      </c>
      <c r="L22" s="3187">
        <v>22.21</v>
      </c>
      <c r="M22" s="3187" t="s">
        <v>3411</v>
      </c>
    </row>
    <row r="23" spans="1:13">
      <c r="A23" s="3187" t="s">
        <v>3450</v>
      </c>
      <c r="B23" s="3187" t="s">
        <v>3373</v>
      </c>
      <c r="C23" s="3187" t="s">
        <v>3392</v>
      </c>
      <c r="D23" s="3187" t="s">
        <v>3375</v>
      </c>
      <c r="E23" s="3187">
        <v>165519</v>
      </c>
      <c r="F23" s="3187">
        <v>267291</v>
      </c>
      <c r="G23" s="3187" t="s">
        <v>3451</v>
      </c>
      <c r="H23" s="3187" t="s">
        <v>3448</v>
      </c>
      <c r="I23" s="3187" t="s">
        <v>3449</v>
      </c>
      <c r="J23" s="3187">
        <v>99338</v>
      </c>
      <c r="K23" s="3187">
        <v>3716.46</v>
      </c>
      <c r="L23" s="3187">
        <v>0</v>
      </c>
      <c r="M23" s="3187" t="s">
        <v>3433</v>
      </c>
    </row>
    <row r="24" spans="1:13">
      <c r="A24" s="3187" t="s">
        <v>3450</v>
      </c>
      <c r="B24" s="3187" t="s">
        <v>3373</v>
      </c>
      <c r="C24" s="3187" t="s">
        <v>3392</v>
      </c>
      <c r="D24" s="3187" t="s">
        <v>3375</v>
      </c>
      <c r="E24" s="3187">
        <v>165512</v>
      </c>
      <c r="F24" s="3187">
        <v>267291</v>
      </c>
      <c r="G24" s="3187" t="s">
        <v>3493</v>
      </c>
      <c r="H24" s="3187" t="s">
        <v>3491</v>
      </c>
      <c r="I24" s="3187" t="s">
        <v>3492</v>
      </c>
      <c r="J24" s="3187">
        <v>99326</v>
      </c>
      <c r="K24" s="3187">
        <v>3716.01</v>
      </c>
      <c r="L24" s="3187">
        <v>0</v>
      </c>
      <c r="M24" s="3187" t="s">
        <v>3411</v>
      </c>
    </row>
    <row r="25" spans="1:13">
      <c r="A25" s="3187" t="s">
        <v>3513</v>
      </c>
      <c r="B25" s="3187" t="s">
        <v>3373</v>
      </c>
      <c r="C25" s="3187" t="s">
        <v>3374</v>
      </c>
      <c r="D25" s="3187" t="s">
        <v>3375</v>
      </c>
      <c r="E25" s="3187">
        <v>133574</v>
      </c>
      <c r="F25" s="3187">
        <v>240433</v>
      </c>
      <c r="G25" s="3187" t="s">
        <v>3514</v>
      </c>
      <c r="H25" s="3187" t="s">
        <v>3515</v>
      </c>
      <c r="I25" s="3187" t="s">
        <v>3516</v>
      </c>
      <c r="J25" s="3187">
        <v>84900</v>
      </c>
      <c r="K25" s="3187">
        <v>3531.13</v>
      </c>
      <c r="L25" s="3187">
        <v>0</v>
      </c>
      <c r="M25" s="3187" t="s">
        <v>3401</v>
      </c>
    </row>
    <row r="26" spans="1:13">
      <c r="A26" s="3187" t="s">
        <v>3462</v>
      </c>
      <c r="B26" s="3187" t="s">
        <v>3373</v>
      </c>
      <c r="C26" s="3187" t="s">
        <v>3374</v>
      </c>
      <c r="D26" s="3187" t="s">
        <v>3375</v>
      </c>
      <c r="E26" s="3187">
        <v>124630</v>
      </c>
      <c r="F26" s="3187">
        <v>249260</v>
      </c>
      <c r="G26" s="3187" t="s">
        <v>3455</v>
      </c>
      <c r="H26" s="3187" t="s">
        <v>3456</v>
      </c>
      <c r="I26" s="3187" t="s">
        <v>3463</v>
      </c>
      <c r="J26" s="3187">
        <v>88000</v>
      </c>
      <c r="K26" s="3187">
        <v>3530.44</v>
      </c>
      <c r="L26" s="3187">
        <v>21.21</v>
      </c>
      <c r="M26" s="3187" t="s">
        <v>3379</v>
      </c>
    </row>
    <row r="27" spans="1:13">
      <c r="A27" s="3187" t="s">
        <v>3502</v>
      </c>
      <c r="B27" s="3187" t="s">
        <v>3373</v>
      </c>
      <c r="C27" s="3187" t="s">
        <v>3374</v>
      </c>
      <c r="D27" s="3187" t="s">
        <v>3375</v>
      </c>
      <c r="E27" s="3187">
        <v>159190</v>
      </c>
      <c r="F27" s="3187">
        <v>357722</v>
      </c>
      <c r="G27" s="3187" t="s">
        <v>3503</v>
      </c>
      <c r="H27" s="3187" t="s">
        <v>3504</v>
      </c>
      <c r="I27" s="3187" t="s">
        <v>3505</v>
      </c>
      <c r="J27" s="3187">
        <v>126000</v>
      </c>
      <c r="K27" s="3187">
        <v>3522.28</v>
      </c>
      <c r="L27" s="3187">
        <v>12.11</v>
      </c>
      <c r="M27" s="3187" t="s">
        <v>3401</v>
      </c>
    </row>
    <row r="28" spans="1:13">
      <c r="A28" s="3187" t="s">
        <v>3498</v>
      </c>
      <c r="B28" s="3187" t="s">
        <v>3373</v>
      </c>
      <c r="C28" s="3187" t="s">
        <v>3392</v>
      </c>
      <c r="D28" s="3187" t="s">
        <v>3375</v>
      </c>
      <c r="E28" s="3187">
        <v>120137</v>
      </c>
      <c r="F28" s="3187">
        <v>458835.5</v>
      </c>
      <c r="G28" s="3187" t="s">
        <v>3499</v>
      </c>
      <c r="H28" s="3187" t="s">
        <v>3500</v>
      </c>
      <c r="I28" s="3187" t="s">
        <v>3479</v>
      </c>
      <c r="J28" s="3187">
        <v>160592</v>
      </c>
      <c r="K28" s="3187">
        <v>3499.98</v>
      </c>
      <c r="L28" s="3187">
        <v>0</v>
      </c>
      <c r="M28" s="3187" t="s">
        <v>3501</v>
      </c>
    </row>
    <row r="29" spans="1:13">
      <c r="A29" s="3187" t="s">
        <v>3372</v>
      </c>
      <c r="B29" s="3187" t="s">
        <v>3373</v>
      </c>
      <c r="C29" s="3187" t="s">
        <v>3374</v>
      </c>
      <c r="D29" s="3187" t="s">
        <v>3375</v>
      </c>
      <c r="E29" s="3187">
        <v>188505.5</v>
      </c>
      <c r="F29" s="3187">
        <v>207356</v>
      </c>
      <c r="G29" s="3187" t="s">
        <v>3376</v>
      </c>
      <c r="H29" s="3187" t="s">
        <v>3377</v>
      </c>
      <c r="I29" s="3187" t="s">
        <v>3378</v>
      </c>
      <c r="J29" s="3187">
        <v>71800</v>
      </c>
      <c r="K29" s="3187">
        <v>3462.63</v>
      </c>
      <c r="L29" s="3187">
        <v>63.59</v>
      </c>
      <c r="M29" s="3187" t="s">
        <v>3379</v>
      </c>
    </row>
    <row r="30" spans="1:13">
      <c r="A30" s="3187" t="s">
        <v>3508</v>
      </c>
      <c r="B30" s="3187" t="s">
        <v>3373</v>
      </c>
      <c r="C30" s="3187" t="s">
        <v>3392</v>
      </c>
      <c r="D30" s="3187" t="s">
        <v>3407</v>
      </c>
      <c r="E30" s="3187">
        <v>155277</v>
      </c>
      <c r="F30" s="3187">
        <v>390377</v>
      </c>
      <c r="G30" s="3187" t="s">
        <v>3509</v>
      </c>
      <c r="H30" s="3187" t="s">
        <v>3504</v>
      </c>
      <c r="I30" s="3187" t="s">
        <v>3510</v>
      </c>
      <c r="J30" s="3187">
        <v>134201</v>
      </c>
      <c r="K30" s="3187">
        <v>3437.73</v>
      </c>
      <c r="L30" s="3187">
        <v>0</v>
      </c>
      <c r="M30" s="3187" t="s">
        <v>3471</v>
      </c>
    </row>
    <row r="31" spans="1:13">
      <c r="A31" s="3187" t="s">
        <v>3474</v>
      </c>
      <c r="B31" s="3187" t="s">
        <v>3373</v>
      </c>
      <c r="C31" s="3187" t="s">
        <v>3392</v>
      </c>
      <c r="D31" s="3187" t="s">
        <v>3375</v>
      </c>
      <c r="E31" s="3187">
        <v>208370</v>
      </c>
      <c r="F31" s="3187">
        <v>420663</v>
      </c>
      <c r="G31" s="3187" t="s">
        <v>3475</v>
      </c>
      <c r="H31" s="3187" t="s">
        <v>3469</v>
      </c>
      <c r="I31" s="3187" t="s">
        <v>3470</v>
      </c>
      <c r="J31" s="3187">
        <v>143609</v>
      </c>
      <c r="K31" s="3187">
        <v>3413.86</v>
      </c>
      <c r="L31" s="3187">
        <v>0</v>
      </c>
      <c r="M31" s="3187" t="s">
        <v>3471</v>
      </c>
    </row>
    <row r="32" spans="1:13">
      <c r="A32" s="3187" t="s">
        <v>3472</v>
      </c>
      <c r="B32" s="3187" t="s">
        <v>3373</v>
      </c>
      <c r="C32" s="3187" t="s">
        <v>3392</v>
      </c>
      <c r="D32" s="3187" t="s">
        <v>3375</v>
      </c>
      <c r="E32" s="3187">
        <v>137234</v>
      </c>
      <c r="F32" s="3187">
        <v>313878</v>
      </c>
      <c r="G32" s="3187" t="s">
        <v>3473</v>
      </c>
      <c r="H32" s="3187" t="s">
        <v>3469</v>
      </c>
      <c r="I32" s="3187" t="s">
        <v>3470</v>
      </c>
      <c r="J32" s="3187">
        <v>106747</v>
      </c>
      <c r="K32" s="3187">
        <v>3400.9</v>
      </c>
      <c r="L32" s="3187">
        <v>0</v>
      </c>
      <c r="M32" s="3187" t="s">
        <v>3471</v>
      </c>
    </row>
    <row r="33" spans="1:13">
      <c r="A33" s="3187" t="s">
        <v>3476</v>
      </c>
      <c r="B33" s="3187" t="s">
        <v>3373</v>
      </c>
      <c r="C33" s="3187" t="s">
        <v>3392</v>
      </c>
      <c r="D33" s="3187" t="s">
        <v>3375</v>
      </c>
      <c r="E33" s="3187">
        <v>209654</v>
      </c>
      <c r="F33" s="3187">
        <v>608588</v>
      </c>
      <c r="G33" s="3187" t="s">
        <v>3477</v>
      </c>
      <c r="H33" s="3187" t="s">
        <v>3478</v>
      </c>
      <c r="I33" s="3187" t="s">
        <v>3479</v>
      </c>
      <c r="J33" s="3187">
        <v>183880</v>
      </c>
      <c r="K33" s="3187">
        <v>3021.42</v>
      </c>
      <c r="L33" s="3187">
        <v>0</v>
      </c>
      <c r="M33" s="3187" t="s">
        <v>3471</v>
      </c>
    </row>
    <row r="34" spans="1:13">
      <c r="A34" s="3187" t="s">
        <v>3467</v>
      </c>
      <c r="B34" s="3187" t="s">
        <v>3373</v>
      </c>
      <c r="C34" s="3187" t="s">
        <v>3392</v>
      </c>
      <c r="D34" s="3187" t="s">
        <v>3375</v>
      </c>
      <c r="E34" s="3187">
        <v>172848</v>
      </c>
      <c r="F34" s="3187">
        <v>672107</v>
      </c>
      <c r="G34" s="3187" t="s">
        <v>3468</v>
      </c>
      <c r="H34" s="3187" t="s">
        <v>3469</v>
      </c>
      <c r="I34" s="3187" t="s">
        <v>3470</v>
      </c>
      <c r="J34" s="3187">
        <v>202600</v>
      </c>
      <c r="K34" s="3187">
        <v>3014.4</v>
      </c>
      <c r="L34" s="3187">
        <v>0</v>
      </c>
      <c r="M34" s="3187" t="s">
        <v>3471</v>
      </c>
    </row>
    <row r="35" spans="1:13">
      <c r="A35" s="3187" t="s">
        <v>3511</v>
      </c>
      <c r="B35" s="3187" t="s">
        <v>3373</v>
      </c>
      <c r="C35" s="3187" t="s">
        <v>3374</v>
      </c>
      <c r="D35" s="3187" t="s">
        <v>3375</v>
      </c>
      <c r="E35" s="3187">
        <v>120953</v>
      </c>
      <c r="F35" s="3187">
        <v>362859</v>
      </c>
      <c r="G35" s="3187" t="s">
        <v>3512</v>
      </c>
      <c r="H35" s="3187" t="s">
        <v>3504</v>
      </c>
      <c r="I35" s="3187" t="s">
        <v>3510</v>
      </c>
      <c r="J35" s="3187">
        <v>108979</v>
      </c>
      <c r="K35" s="3187">
        <v>3003.34</v>
      </c>
      <c r="L35" s="3187">
        <v>0</v>
      </c>
      <c r="M35" s="3187" t="s">
        <v>3401</v>
      </c>
    </row>
    <row r="36" spans="1:13">
      <c r="A36" s="3187" t="s">
        <v>3480</v>
      </c>
      <c r="B36" s="3187" t="s">
        <v>3373</v>
      </c>
      <c r="C36" s="3187" t="s">
        <v>3392</v>
      </c>
      <c r="D36" s="3187" t="s">
        <v>3375</v>
      </c>
      <c r="E36" s="3187">
        <v>174406</v>
      </c>
      <c r="F36" s="3187">
        <v>498607</v>
      </c>
      <c r="G36" s="3187" t="s">
        <v>3481</v>
      </c>
      <c r="H36" s="3187" t="s">
        <v>3478</v>
      </c>
      <c r="I36" s="3187" t="s">
        <v>3479</v>
      </c>
      <c r="J36" s="3187">
        <v>149583</v>
      </c>
      <c r="K36" s="3187">
        <v>3000.01</v>
      </c>
      <c r="L36" s="3187">
        <v>0</v>
      </c>
      <c r="M36" s="3187" t="s">
        <v>3471</v>
      </c>
    </row>
    <row r="37" spans="1:13">
      <c r="A37" s="3187" t="s">
        <v>3452</v>
      </c>
      <c r="B37" s="3187" t="s">
        <v>3373</v>
      </c>
      <c r="C37" s="3187" t="s">
        <v>3392</v>
      </c>
      <c r="D37" s="3187" t="s">
        <v>3375</v>
      </c>
      <c r="E37" s="3187">
        <v>163573</v>
      </c>
      <c r="F37" s="3187">
        <v>400722</v>
      </c>
      <c r="G37" s="3187" t="s">
        <v>3453</v>
      </c>
      <c r="H37" s="3187" t="s">
        <v>3448</v>
      </c>
      <c r="I37" s="3187" t="s">
        <v>3449</v>
      </c>
      <c r="J37" s="3187">
        <v>110764</v>
      </c>
      <c r="K37" s="3187">
        <v>2764.11</v>
      </c>
      <c r="L37" s="3187">
        <v>0</v>
      </c>
      <c r="M37" s="3187" t="s">
        <v>3433</v>
      </c>
    </row>
    <row r="38" spans="1:13">
      <c r="A38" s="3187" t="s">
        <v>3447</v>
      </c>
      <c r="B38" s="3187" t="s">
        <v>3373</v>
      </c>
      <c r="C38" s="3187" t="s">
        <v>3392</v>
      </c>
      <c r="D38" s="3187" t="s">
        <v>3375</v>
      </c>
      <c r="E38" s="3187">
        <v>100001</v>
      </c>
      <c r="F38" s="3187">
        <v>250004</v>
      </c>
      <c r="G38" s="3187" t="s">
        <v>3435</v>
      </c>
      <c r="H38" s="3187" t="s">
        <v>3448</v>
      </c>
      <c r="I38" s="3187" t="s">
        <v>3449</v>
      </c>
      <c r="J38" s="3187">
        <v>68255</v>
      </c>
      <c r="K38" s="3187">
        <v>2730.15</v>
      </c>
      <c r="L38" s="3187">
        <v>0</v>
      </c>
      <c r="M38" s="3187" t="s">
        <v>3433</v>
      </c>
    </row>
    <row r="39" spans="1:13">
      <c r="A39" s="3187" t="s">
        <v>3447</v>
      </c>
      <c r="B39" s="3187" t="s">
        <v>3373</v>
      </c>
      <c r="C39" s="3187" t="s">
        <v>3392</v>
      </c>
      <c r="D39" s="3187" t="s">
        <v>3375</v>
      </c>
      <c r="E39" s="3187">
        <v>100001</v>
      </c>
      <c r="F39" s="3187">
        <v>250004</v>
      </c>
      <c r="G39" s="3187" t="s">
        <v>3494</v>
      </c>
      <c r="H39" s="3187" t="s">
        <v>3491</v>
      </c>
      <c r="I39" s="3187" t="s">
        <v>3492</v>
      </c>
      <c r="J39" s="3187">
        <v>67605</v>
      </c>
      <c r="K39" s="3187">
        <v>2704.15</v>
      </c>
      <c r="L39" s="3187">
        <v>0</v>
      </c>
      <c r="M39" s="3187" t="s">
        <v>3411</v>
      </c>
    </row>
    <row r="40" spans="1:13">
      <c r="A40" s="3187" t="s">
        <v>3452</v>
      </c>
      <c r="B40" s="3187" t="s">
        <v>3373</v>
      </c>
      <c r="C40" s="3187" t="s">
        <v>3392</v>
      </c>
      <c r="D40" s="3187" t="s">
        <v>3375</v>
      </c>
      <c r="E40" s="3187">
        <v>163573</v>
      </c>
      <c r="F40" s="3187">
        <v>400722</v>
      </c>
      <c r="G40" s="3187" t="s">
        <v>3490</v>
      </c>
      <c r="H40" s="3187" t="s">
        <v>3491</v>
      </c>
      <c r="I40" s="3187" t="s">
        <v>3492</v>
      </c>
      <c r="J40" s="3187">
        <v>108214</v>
      </c>
      <c r="K40" s="3187">
        <v>2700.48</v>
      </c>
      <c r="L40" s="3187">
        <v>0</v>
      </c>
      <c r="M40" s="3187" t="s">
        <v>3411</v>
      </c>
    </row>
    <row r="41" spans="1:13">
      <c r="A41" s="3187" t="s">
        <v>3412</v>
      </c>
      <c r="B41" s="3187" t="s">
        <v>3373</v>
      </c>
      <c r="C41" s="3187" t="s">
        <v>3374</v>
      </c>
      <c r="D41" s="3187" t="s">
        <v>3375</v>
      </c>
      <c r="E41" s="3187">
        <v>150945</v>
      </c>
      <c r="F41" s="3187">
        <v>150949</v>
      </c>
      <c r="G41" s="3187" t="s">
        <v>3398</v>
      </c>
      <c r="H41" s="3187" t="s">
        <v>3413</v>
      </c>
      <c r="I41" s="3187" t="s">
        <v>3400</v>
      </c>
      <c r="J41" s="3187">
        <v>36000</v>
      </c>
      <c r="K41" s="3187">
        <v>2384.9</v>
      </c>
      <c r="L41" s="3187">
        <v>35.369999999999997</v>
      </c>
      <c r="M41" s="3187" t="s">
        <v>3401</v>
      </c>
    </row>
    <row r="42" spans="1:13">
      <c r="A42" s="3187" t="s">
        <v>3414</v>
      </c>
      <c r="B42" s="3187" t="s">
        <v>3373</v>
      </c>
      <c r="C42" s="3187" t="s">
        <v>3374</v>
      </c>
      <c r="D42" s="3187" t="s">
        <v>3375</v>
      </c>
      <c r="E42" s="3187">
        <v>85877</v>
      </c>
      <c r="F42" s="3187">
        <v>85881</v>
      </c>
      <c r="G42" s="3187" t="s">
        <v>3398</v>
      </c>
      <c r="H42" s="3187" t="s">
        <v>3413</v>
      </c>
      <c r="I42" s="3187" t="s">
        <v>3400</v>
      </c>
      <c r="J42" s="3187">
        <v>20200</v>
      </c>
      <c r="K42" s="3187">
        <v>2352.09</v>
      </c>
      <c r="L42" s="3187">
        <v>33.64</v>
      </c>
      <c r="M42" s="3187" t="s">
        <v>3401</v>
      </c>
    </row>
    <row r="43" spans="1:13">
      <c r="A43" s="3187" t="s">
        <v>3415</v>
      </c>
      <c r="B43" s="3187" t="s">
        <v>3373</v>
      </c>
      <c r="C43" s="3187" t="s">
        <v>3374</v>
      </c>
      <c r="D43" s="3187" t="s">
        <v>3375</v>
      </c>
      <c r="E43" s="3187">
        <v>139607</v>
      </c>
      <c r="F43" s="3187">
        <v>139612</v>
      </c>
      <c r="G43" s="3187" t="s">
        <v>3398</v>
      </c>
      <c r="H43" s="3187" t="s">
        <v>3413</v>
      </c>
      <c r="I43" s="3187" t="s">
        <v>3400</v>
      </c>
      <c r="J43" s="3187">
        <v>32500</v>
      </c>
      <c r="K43" s="3187">
        <v>2327.88</v>
      </c>
      <c r="L43" s="3187">
        <v>33.020000000000003</v>
      </c>
      <c r="M43" s="3187" t="s">
        <v>3401</v>
      </c>
    </row>
    <row r="44" spans="1:13">
      <c r="A44" s="3187" t="s">
        <v>3397</v>
      </c>
      <c r="B44" s="3187" t="s">
        <v>3373</v>
      </c>
      <c r="C44" s="3187" t="s">
        <v>3374</v>
      </c>
      <c r="D44" s="3187" t="s">
        <v>3375</v>
      </c>
      <c r="E44" s="3187">
        <v>88012</v>
      </c>
      <c r="F44" s="3187">
        <v>88013</v>
      </c>
      <c r="G44" s="3187" t="s">
        <v>3398</v>
      </c>
      <c r="H44" s="3187" t="s">
        <v>3399</v>
      </c>
      <c r="I44" s="3187" t="s">
        <v>3400</v>
      </c>
      <c r="J44" s="3187">
        <v>19803</v>
      </c>
      <c r="K44" s="3187">
        <v>2250.0100000000002</v>
      </c>
      <c r="L44" s="3187">
        <v>0</v>
      </c>
      <c r="M44" s="3187" t="s">
        <v>3401</v>
      </c>
    </row>
    <row r="45" spans="1:13">
      <c r="A45" s="3187" t="s">
        <v>3527</v>
      </c>
      <c r="B45" s="3187" t="s">
        <v>3373</v>
      </c>
      <c r="C45" s="3187" t="s">
        <v>3392</v>
      </c>
      <c r="D45" s="3187" t="s">
        <v>3375</v>
      </c>
      <c r="E45" s="3187">
        <v>28279</v>
      </c>
      <c r="F45" s="3187">
        <v>70150</v>
      </c>
      <c r="G45" s="3187" t="s">
        <v>3528</v>
      </c>
      <c r="H45" s="3187" t="s">
        <v>3529</v>
      </c>
      <c r="I45" s="3187" t="s">
        <v>3530</v>
      </c>
      <c r="J45" s="3187">
        <v>13400</v>
      </c>
      <c r="K45" s="3187">
        <v>1910.19</v>
      </c>
      <c r="L45" s="3187">
        <v>17.12</v>
      </c>
      <c r="M45" s="3187" t="s">
        <v>3531</v>
      </c>
    </row>
    <row r="46" spans="1:13">
      <c r="A46" s="3187" t="s">
        <v>3391</v>
      </c>
      <c r="B46" s="3187" t="s">
        <v>3373</v>
      </c>
      <c r="C46" s="3187" t="s">
        <v>3392</v>
      </c>
      <c r="D46" s="3187" t="s">
        <v>3375</v>
      </c>
      <c r="E46" s="3187">
        <v>54232</v>
      </c>
      <c r="F46" s="3187">
        <v>162696</v>
      </c>
      <c r="G46" s="3187" t="s">
        <v>3393</v>
      </c>
      <c r="H46" s="3187" t="s">
        <v>3394</v>
      </c>
      <c r="I46" s="3187" t="s">
        <v>3395</v>
      </c>
      <c r="J46" s="3187">
        <v>25400</v>
      </c>
      <c r="K46" s="3187">
        <v>1561.19</v>
      </c>
      <c r="L46" s="3187">
        <v>1.1499999999999999</v>
      </c>
      <c r="M46" s="3187" t="s">
        <v>3396</v>
      </c>
    </row>
    <row r="47" spans="1:13">
      <c r="A47" s="3187" t="s">
        <v>3486</v>
      </c>
      <c r="B47" s="3187" t="s">
        <v>3373</v>
      </c>
      <c r="C47" s="3187" t="s">
        <v>3374</v>
      </c>
      <c r="D47" s="3187" t="s">
        <v>3375</v>
      </c>
      <c r="E47" s="3187">
        <v>94844</v>
      </c>
      <c r="F47" s="3187">
        <v>142266</v>
      </c>
      <c r="G47" s="3187" t="s">
        <v>3487</v>
      </c>
      <c r="H47" s="3187" t="s">
        <v>3488</v>
      </c>
      <c r="I47" s="3187" t="s">
        <v>3489</v>
      </c>
      <c r="J47" s="3187">
        <v>20771</v>
      </c>
      <c r="K47" s="3187">
        <v>1460</v>
      </c>
      <c r="L47" s="3187">
        <v>0</v>
      </c>
      <c r="M47" s="3187" t="s">
        <v>3379</v>
      </c>
    </row>
    <row r="48" spans="1:13">
      <c r="A48" s="3187" t="s">
        <v>3495</v>
      </c>
      <c r="B48" s="3187" t="s">
        <v>3373</v>
      </c>
      <c r="C48" s="3187" t="s">
        <v>3374</v>
      </c>
      <c r="D48" s="3187" t="s">
        <v>3375</v>
      </c>
      <c r="E48" s="3187">
        <v>129790</v>
      </c>
      <c r="F48" s="3187">
        <v>207664</v>
      </c>
      <c r="G48" s="3187" t="s">
        <v>3493</v>
      </c>
      <c r="H48" s="3187" t="s">
        <v>3496</v>
      </c>
      <c r="I48" s="3187" t="s">
        <v>3497</v>
      </c>
      <c r="J48" s="3187">
        <v>29238</v>
      </c>
      <c r="K48" s="3187">
        <v>1407.95</v>
      </c>
      <c r="L48" s="3187">
        <v>0</v>
      </c>
      <c r="M48" s="3187" t="s">
        <v>3401</v>
      </c>
    </row>
    <row r="49" spans="1:13">
      <c r="A49" s="3187" t="s">
        <v>3532</v>
      </c>
      <c r="B49" s="3187" t="s">
        <v>3373</v>
      </c>
      <c r="C49" s="3187" t="s">
        <v>3392</v>
      </c>
      <c r="D49" s="3187" t="s">
        <v>3375</v>
      </c>
      <c r="E49" s="3187">
        <v>24269</v>
      </c>
      <c r="F49" s="3187">
        <v>60673</v>
      </c>
      <c r="G49" s="3187" t="s">
        <v>3509</v>
      </c>
      <c r="H49" s="3187" t="s">
        <v>3529</v>
      </c>
      <c r="I49" s="3187" t="s">
        <v>3533</v>
      </c>
      <c r="J49" s="3187">
        <v>8495</v>
      </c>
      <c r="K49" s="3187">
        <v>1400.13</v>
      </c>
      <c r="L49" s="3187">
        <v>0</v>
      </c>
      <c r="M49" s="3187" t="s">
        <v>3531</v>
      </c>
    </row>
    <row r="50" spans="1:13">
      <c r="A50" s="3187" t="s">
        <v>3406</v>
      </c>
      <c r="B50" s="3187" t="s">
        <v>3373</v>
      </c>
      <c r="C50" s="3187" t="s">
        <v>3392</v>
      </c>
      <c r="D50" s="3187" t="s">
        <v>3407</v>
      </c>
      <c r="E50" s="3187">
        <v>172870</v>
      </c>
      <c r="F50" s="3187">
        <v>259304</v>
      </c>
      <c r="G50" s="3187" t="s">
        <v>3408</v>
      </c>
      <c r="H50" s="3187" t="s">
        <v>3409</v>
      </c>
      <c r="I50" s="3187" t="s">
        <v>3410</v>
      </c>
      <c r="J50" s="3187">
        <v>34907</v>
      </c>
      <c r="K50" s="3187">
        <v>1346.18</v>
      </c>
      <c r="L50" s="3187">
        <v>0</v>
      </c>
      <c r="M50" s="3187" t="s">
        <v>3411</v>
      </c>
    </row>
    <row r="51" spans="1:13">
      <c r="A51" s="3187" t="s">
        <v>3440</v>
      </c>
      <c r="B51" s="3187" t="s">
        <v>3373</v>
      </c>
      <c r="C51" s="3187" t="s">
        <v>3392</v>
      </c>
      <c r="D51" s="3187" t="s">
        <v>3375</v>
      </c>
      <c r="E51" s="3187">
        <v>182809</v>
      </c>
      <c r="F51" s="3187">
        <v>496960</v>
      </c>
      <c r="G51" s="3187" t="s">
        <v>3428</v>
      </c>
      <c r="H51" s="3187" t="s">
        <v>3441</v>
      </c>
      <c r="I51" s="3187" t="s">
        <v>3442</v>
      </c>
      <c r="J51" s="3187">
        <v>59804</v>
      </c>
      <c r="K51" s="3187">
        <v>1203.4000000000001</v>
      </c>
      <c r="L51" s="3187">
        <v>0</v>
      </c>
      <c r="M51" s="3187" t="s">
        <v>3411</v>
      </c>
    </row>
  </sheetData>
  <sortState ref="A2:M51">
    <sortCondition descending="1" ref="K1"/>
  </sortState>
  <phoneticPr fontId="26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4" zoomScale="80" zoomScaleNormal="95" zoomScaleSheetLayoutView="80" workbookViewId="0">
      <selection activeCell="E84" sqref="E84"/>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21220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2769</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4537</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302</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45" t="s">
        <v>551</v>
      </c>
      <c r="D6" s="3246"/>
      <c r="E6" s="3245" t="s">
        <v>552</v>
      </c>
      <c r="F6" s="3246"/>
      <c r="G6" s="3245" t="s">
        <v>553</v>
      </c>
      <c r="H6" s="3246"/>
      <c r="I6" s="3245" t="s">
        <v>554</v>
      </c>
      <c r="J6" s="3246"/>
      <c r="K6" s="517" t="s">
        <v>555</v>
      </c>
      <c r="L6" s="2152"/>
      <c r="M6" s="2151"/>
      <c r="N6" s="2151"/>
      <c r="O6" s="2153"/>
      <c r="P6" s="3247" t="s">
        <v>556</v>
      </c>
      <c r="Q6" s="3248"/>
      <c r="R6" s="3253" t="s">
        <v>552</v>
      </c>
      <c r="S6" s="3254"/>
      <c r="T6" s="3253" t="s">
        <v>553</v>
      </c>
      <c r="U6" s="3254"/>
      <c r="V6" s="3265" t="s">
        <v>554</v>
      </c>
      <c r="W6" s="3265"/>
      <c r="X6" s="3173"/>
      <c r="Y6" s="3253" t="s">
        <v>556</v>
      </c>
      <c r="Z6" s="3254"/>
      <c r="AA6" s="3242" t="s">
        <v>552</v>
      </c>
      <c r="AB6" s="3243" t="s">
        <v>553</v>
      </c>
      <c r="AC6" s="3242" t="s">
        <v>554</v>
      </c>
    </row>
    <row r="7" spans="1:30" ht="20.25">
      <c r="A7" s="518"/>
      <c r="B7" s="519"/>
      <c r="C7" s="3257" t="s">
        <v>3234</v>
      </c>
      <c r="D7" s="3258"/>
      <c r="E7" s="3257" t="s">
        <v>3240</v>
      </c>
      <c r="F7" s="3258"/>
      <c r="G7" s="3257" t="str">
        <f>商业案例!A26</f>
        <v>渝北区两路组团G分区G45-1-2/02号宗地</v>
      </c>
      <c r="H7" s="3258"/>
      <c r="I7" s="3257" t="str">
        <f>商业案例!A24</f>
        <v>两江新区北部新区组团B标准分区B7-4/02号宗地</v>
      </c>
      <c r="J7" s="3258"/>
      <c r="K7" s="517"/>
      <c r="L7" s="2152"/>
      <c r="M7" s="2151"/>
      <c r="N7" s="2151"/>
      <c r="O7" s="2153"/>
      <c r="P7" s="3249"/>
      <c r="Q7" s="3250"/>
      <c r="R7" s="3255"/>
      <c r="S7" s="3256"/>
      <c r="T7" s="3255"/>
      <c r="U7" s="3256"/>
      <c r="V7" s="3265"/>
      <c r="W7" s="3265"/>
      <c r="X7" s="3173"/>
      <c r="Y7" s="3255"/>
      <c r="Z7" s="3256"/>
      <c r="AA7" s="3243"/>
      <c r="AB7" s="3243"/>
      <c r="AC7" s="3243"/>
    </row>
    <row r="8" spans="1:30" ht="21" thickBot="1">
      <c r="A8" s="518"/>
      <c r="B8" s="519"/>
      <c r="C8" s="3259" t="s">
        <v>3241</v>
      </c>
      <c r="D8" s="3260"/>
      <c r="E8" s="3259" t="s">
        <v>3241</v>
      </c>
      <c r="F8" s="3260"/>
      <c r="G8" s="3261" t="s">
        <v>3241</v>
      </c>
      <c r="H8" s="3262"/>
      <c r="I8" s="3261" t="s">
        <v>3241</v>
      </c>
      <c r="J8" s="3262"/>
      <c r="K8" s="517" t="s">
        <v>562</v>
      </c>
      <c r="L8" s="2152"/>
      <c r="M8" s="2151"/>
      <c r="N8" s="2151"/>
      <c r="O8" s="2153"/>
      <c r="P8" s="3251"/>
      <c r="Q8" s="3252"/>
      <c r="R8" s="3255"/>
      <c r="S8" s="3256"/>
      <c r="T8" s="3263"/>
      <c r="U8" s="3264"/>
      <c r="V8" s="3265"/>
      <c r="W8" s="3265"/>
      <c r="X8" s="3173"/>
      <c r="Y8" s="3263"/>
      <c r="Z8" s="3264"/>
      <c r="AA8" s="3244"/>
      <c r="AB8" s="3244"/>
      <c r="AC8" s="3244"/>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66" t="s">
        <v>564</v>
      </c>
      <c r="Q9" s="3267"/>
      <c r="R9" s="1581" t="s">
        <v>8</v>
      </c>
      <c r="S9" s="1582">
        <f t="shared" ref="S9:S17" si="0">F9</f>
        <v>100</v>
      </c>
      <c r="T9" s="1581" t="s">
        <v>8</v>
      </c>
      <c r="U9" s="1582">
        <f t="shared" ref="U9:U17" si="1">H9</f>
        <v>96</v>
      </c>
      <c r="V9" s="1581" t="s">
        <v>8</v>
      </c>
      <c r="W9" s="1582">
        <f t="shared" ref="W9:W17" si="2">J9</f>
        <v>93</v>
      </c>
      <c r="X9" s="1583"/>
      <c r="Y9" s="3266" t="s">
        <v>564</v>
      </c>
      <c r="Z9" s="3268"/>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66" t="s">
        <v>567</v>
      </c>
      <c r="Q10" s="3268"/>
      <c r="R10" s="1581" t="s">
        <v>8</v>
      </c>
      <c r="S10" s="1582">
        <f t="shared" si="0"/>
        <v>100</v>
      </c>
      <c r="T10" s="1581" t="s">
        <v>8</v>
      </c>
      <c r="U10" s="1582">
        <f t="shared" si="1"/>
        <v>100</v>
      </c>
      <c r="V10" s="1581" t="s">
        <v>8</v>
      </c>
      <c r="W10" s="1582">
        <f t="shared" si="2"/>
        <v>100</v>
      </c>
      <c r="X10" s="1583"/>
      <c r="Y10" s="3266" t="s">
        <v>567</v>
      </c>
      <c r="Z10" s="3268"/>
      <c r="AA10" s="1584">
        <f t="shared" ref="AA10:AA47" si="3">D10/F10</f>
        <v>1</v>
      </c>
      <c r="AB10" s="1584">
        <f t="shared" ref="AB10:AB47" si="4">D10/H10</f>
        <v>1</v>
      </c>
      <c r="AC10" s="1584">
        <f t="shared" ref="AC10:AC47" si="5">D10/J10</f>
        <v>1</v>
      </c>
    </row>
    <row r="11" spans="1:30" s="1219" customFormat="1" ht="28.5">
      <c r="A11" s="2916"/>
      <c r="B11" s="2923" t="s">
        <v>3134</v>
      </c>
      <c r="C11" s="2910" t="s">
        <v>3703</v>
      </c>
      <c r="D11" s="256">
        <v>100</v>
      </c>
      <c r="E11" s="529" t="s">
        <v>3732</v>
      </c>
      <c r="F11" s="256">
        <f>SUMIF(77:77,E11,78:78)-SUMIF(77:77,C11,78:78)+100</f>
        <v>100</v>
      </c>
      <c r="G11" s="529" t="s">
        <v>3732</v>
      </c>
      <c r="H11" s="256">
        <f>SUMIF(77:77,G11,78:78)-SUMIF(77:77,C11,78:78)+100</f>
        <v>100</v>
      </c>
      <c r="I11" s="529" t="s">
        <v>3732</v>
      </c>
      <c r="J11" s="256">
        <f>SUMIF(77:77,I11,78:78)-SUMIF(77:77,C11,78:78)+100</f>
        <v>100</v>
      </c>
      <c r="K11" s="527"/>
      <c r="L11" s="2154"/>
      <c r="M11" s="2151"/>
      <c r="N11" s="2151"/>
      <c r="O11" s="2156"/>
      <c r="P11" s="3269" t="s">
        <v>569</v>
      </c>
      <c r="Q11" s="3170" t="str">
        <f t="shared" ref="Q11:Q17" si="6">B11</f>
        <v>用途</v>
      </c>
      <c r="R11" s="1581" t="s">
        <v>8</v>
      </c>
      <c r="S11" s="1582">
        <f t="shared" si="0"/>
        <v>100</v>
      </c>
      <c r="T11" s="1581" t="s">
        <v>8</v>
      </c>
      <c r="U11" s="1582">
        <f t="shared" si="1"/>
        <v>100</v>
      </c>
      <c r="V11" s="1581" t="s">
        <v>8</v>
      </c>
      <c r="W11" s="1582">
        <f t="shared" si="2"/>
        <v>100</v>
      </c>
      <c r="X11" s="1583"/>
      <c r="Y11" s="3270" t="s">
        <v>570</v>
      </c>
      <c r="Z11" s="316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69"/>
      <c r="Q12" s="3170" t="str">
        <f t="shared" si="6"/>
        <v>土地使用年限（年）</v>
      </c>
      <c r="R12" s="1581" t="s">
        <v>8</v>
      </c>
      <c r="S12" s="1582">
        <f t="shared" si="0"/>
        <v>118</v>
      </c>
      <c r="T12" s="1581" t="s">
        <v>8</v>
      </c>
      <c r="U12" s="1582">
        <f t="shared" si="1"/>
        <v>118</v>
      </c>
      <c r="V12" s="1581" t="s">
        <v>8</v>
      </c>
      <c r="W12" s="1582">
        <f t="shared" si="2"/>
        <v>118</v>
      </c>
      <c r="X12" s="1583"/>
      <c r="Y12" s="3270"/>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f>'数据-汇总表'!I6</f>
        <v>1.64</v>
      </c>
      <c r="D13" s="257">
        <v>100</v>
      </c>
      <c r="E13" s="535">
        <v>1.5</v>
      </c>
      <c r="F13" s="257">
        <f>LOOKUP(E13,82:82,83:83)-LOOKUP(C13,82:82,83:83)+100</f>
        <v>100</v>
      </c>
      <c r="G13" s="536">
        <v>2</v>
      </c>
      <c r="H13" s="257">
        <f>LOOKUP(G13,82:82,83:83)-LOOKUP(C13,82:82,83:83)+100</f>
        <v>99</v>
      </c>
      <c r="I13" s="535">
        <v>4</v>
      </c>
      <c r="J13" s="257">
        <f>LOOKUP(I13,82:82,83:83)-LOOKUP(C13,82:82,83:83)+100</f>
        <v>97</v>
      </c>
      <c r="K13" s="537">
        <v>1</v>
      </c>
      <c r="L13" s="2159"/>
      <c r="M13" s="2151"/>
      <c r="N13" s="2151"/>
      <c r="O13" s="2160"/>
      <c r="P13" s="3269"/>
      <c r="Q13" s="3170" t="str">
        <f t="shared" si="6"/>
        <v>容积率</v>
      </c>
      <c r="R13" s="1581" t="s">
        <v>8</v>
      </c>
      <c r="S13" s="1582">
        <f t="shared" si="0"/>
        <v>100</v>
      </c>
      <c r="T13" s="1581" t="s">
        <v>8</v>
      </c>
      <c r="U13" s="1582">
        <f t="shared" si="1"/>
        <v>99</v>
      </c>
      <c r="V13" s="1581" t="s">
        <v>8</v>
      </c>
      <c r="W13" s="1582">
        <f t="shared" si="2"/>
        <v>97</v>
      </c>
      <c r="X13" s="1583"/>
      <c r="Y13" s="3270"/>
      <c r="Z13" s="3169" t="str">
        <f t="shared" si="7"/>
        <v>容积率</v>
      </c>
      <c r="AA13" s="1584">
        <f t="shared" si="3"/>
        <v>1</v>
      </c>
      <c r="AB13" s="1584">
        <f t="shared" si="4"/>
        <v>1.0101010101010102</v>
      </c>
      <c r="AC13" s="1584">
        <f t="shared" si="5"/>
        <v>1.0309278350515463</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69"/>
      <c r="Q14" s="3170" t="str">
        <f t="shared" si="6"/>
        <v>配建</v>
      </c>
      <c r="R14" s="1581" t="s">
        <v>8</v>
      </c>
      <c r="S14" s="1582">
        <f t="shared" si="0"/>
        <v>100</v>
      </c>
      <c r="T14" s="1581" t="s">
        <v>8</v>
      </c>
      <c r="U14" s="1582">
        <f t="shared" si="1"/>
        <v>100</v>
      </c>
      <c r="V14" s="1581" t="s">
        <v>8</v>
      </c>
      <c r="W14" s="1582">
        <f t="shared" si="2"/>
        <v>100</v>
      </c>
      <c r="X14" s="1583"/>
      <c r="Y14" s="3270"/>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69"/>
      <c r="Q15" s="3170">
        <f t="shared" si="6"/>
        <v>111</v>
      </c>
      <c r="R15" s="1581" t="s">
        <v>8</v>
      </c>
      <c r="S15" s="1582">
        <f t="shared" si="0"/>
        <v>100</v>
      </c>
      <c r="T15" s="1581" t="s">
        <v>8</v>
      </c>
      <c r="U15" s="1582">
        <f t="shared" si="1"/>
        <v>100</v>
      </c>
      <c r="V15" s="1581" t="s">
        <v>8</v>
      </c>
      <c r="W15" s="1582">
        <f t="shared" si="2"/>
        <v>100</v>
      </c>
      <c r="X15" s="1583"/>
      <c r="Y15" s="3270"/>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69"/>
      <c r="Q16" s="3170">
        <f t="shared" si="6"/>
        <v>111</v>
      </c>
      <c r="R16" s="1581" t="s">
        <v>8</v>
      </c>
      <c r="S16" s="1582">
        <f t="shared" si="0"/>
        <v>100</v>
      </c>
      <c r="T16" s="1581" t="s">
        <v>8</v>
      </c>
      <c r="U16" s="1582">
        <f t="shared" si="1"/>
        <v>100</v>
      </c>
      <c r="V16" s="1581" t="s">
        <v>8</v>
      </c>
      <c r="W16" s="1582">
        <f t="shared" si="2"/>
        <v>100</v>
      </c>
      <c r="X16" s="1583"/>
      <c r="Y16" s="3270"/>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71" t="s">
        <v>575</v>
      </c>
      <c r="Q17" s="3171" t="str">
        <f t="shared" si="6"/>
        <v>居住社区成熟度</v>
      </c>
      <c r="R17" s="1586" t="s">
        <v>8</v>
      </c>
      <c r="S17" s="1587">
        <f t="shared" si="0"/>
        <v>100</v>
      </c>
      <c r="T17" s="1586" t="s">
        <v>8</v>
      </c>
      <c r="U17" s="1587">
        <f t="shared" si="1"/>
        <v>100</v>
      </c>
      <c r="V17" s="1586" t="s">
        <v>8</v>
      </c>
      <c r="W17" s="1587">
        <f t="shared" si="2"/>
        <v>100</v>
      </c>
      <c r="X17" s="3173"/>
      <c r="Y17" s="3271"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72"/>
      <c r="Q18" s="3171"/>
      <c r="R18" s="1586"/>
      <c r="S18" s="1587"/>
      <c r="T18" s="1586"/>
      <c r="U18" s="1587"/>
      <c r="V18" s="1586"/>
      <c r="W18" s="1587"/>
      <c r="X18" s="3173"/>
      <c r="Y18" s="3272"/>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1.5</v>
      </c>
      <c r="L19" s="2161"/>
      <c r="M19" s="2151"/>
      <c r="N19" s="2151"/>
      <c r="O19" s="2160"/>
      <c r="P19" s="3272"/>
      <c r="Q19" s="3171" t="str">
        <f>B19</f>
        <v>商业繁华度</v>
      </c>
      <c r="R19" s="1586" t="s">
        <v>8</v>
      </c>
      <c r="S19" s="1587">
        <f>F19</f>
        <v>100</v>
      </c>
      <c r="T19" s="1586" t="s">
        <v>8</v>
      </c>
      <c r="U19" s="1587">
        <f>H19</f>
        <v>100</v>
      </c>
      <c r="V19" s="1586" t="s">
        <v>8</v>
      </c>
      <c r="W19" s="1587">
        <f>J19</f>
        <v>100</v>
      </c>
      <c r="X19" s="3173"/>
      <c r="Y19" s="3272"/>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72"/>
      <c r="Q20" s="3171"/>
      <c r="R20" s="1586"/>
      <c r="S20" s="1587"/>
      <c r="T20" s="1586"/>
      <c r="U20" s="1587"/>
      <c r="V20" s="1586"/>
      <c r="W20" s="1587"/>
      <c r="X20" s="3173"/>
      <c r="Y20" s="3272"/>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101.5</v>
      </c>
      <c r="I21" s="574"/>
      <c r="J21" s="561">
        <f>SUMIF(94:94,I22,95:95)-SUMIF(94:94,C22,95:95)+100</f>
        <v>100</v>
      </c>
      <c r="K21" s="537">
        <v>1.5</v>
      </c>
      <c r="L21" s="2161"/>
      <c r="M21" s="2151"/>
      <c r="N21" s="2151"/>
      <c r="O21" s="2160"/>
      <c r="P21" s="3272"/>
      <c r="Q21" s="3171" t="str">
        <f>B21</f>
        <v>办公集聚程度</v>
      </c>
      <c r="R21" s="1586" t="s">
        <v>8</v>
      </c>
      <c r="S21" s="1587">
        <f>F21</f>
        <v>100</v>
      </c>
      <c r="T21" s="1586" t="s">
        <v>8</v>
      </c>
      <c r="U21" s="1587">
        <f>H21</f>
        <v>101.5</v>
      </c>
      <c r="V21" s="1586" t="s">
        <v>8</v>
      </c>
      <c r="W21" s="1587">
        <f>J21</f>
        <v>100</v>
      </c>
      <c r="X21" s="3173"/>
      <c r="Y21" s="3272"/>
      <c r="Z21" s="3172" t="str">
        <f>Q21</f>
        <v>办公集聚程度</v>
      </c>
      <c r="AA21" s="3177">
        <f t="shared" si="3"/>
        <v>1</v>
      </c>
      <c r="AB21" s="3177">
        <f t="shared" si="4"/>
        <v>0.98522167487684731</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72"/>
      <c r="Q22" s="3171"/>
      <c r="R22" s="1586"/>
      <c r="S22" s="1587"/>
      <c r="T22" s="1586"/>
      <c r="U22" s="1587"/>
      <c r="V22" s="1586"/>
      <c r="W22" s="1587"/>
      <c r="X22" s="3173"/>
      <c r="Y22" s="3272"/>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72"/>
      <c r="Q23" s="3171" t="str">
        <f>B23</f>
        <v>交通便捷度</v>
      </c>
      <c r="R23" s="1586" t="s">
        <v>8</v>
      </c>
      <c r="S23" s="1587">
        <f>F23</f>
        <v>102</v>
      </c>
      <c r="T23" s="1586" t="s">
        <v>8</v>
      </c>
      <c r="U23" s="1587">
        <f>H23</f>
        <v>100</v>
      </c>
      <c r="V23" s="1586" t="s">
        <v>8</v>
      </c>
      <c r="W23" s="1587">
        <f>J23</f>
        <v>100</v>
      </c>
      <c r="X23" s="3173"/>
      <c r="Y23" s="3272"/>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72"/>
      <c r="Q24" s="3171"/>
      <c r="R24" s="1586"/>
      <c r="S24" s="1587"/>
      <c r="T24" s="1586"/>
      <c r="U24" s="1587"/>
      <c r="V24" s="1586"/>
      <c r="W24" s="1587"/>
      <c r="X24" s="3173"/>
      <c r="Y24" s="3272"/>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72"/>
      <c r="Q25" s="3171" t="str">
        <f t="shared" ref="Q25:Q39" si="8">B25</f>
        <v>区域土地利用方向</v>
      </c>
      <c r="R25" s="1586" t="s">
        <v>8</v>
      </c>
      <c r="S25" s="1587">
        <f>F25</f>
        <v>100</v>
      </c>
      <c r="T25" s="1586" t="s">
        <v>8</v>
      </c>
      <c r="U25" s="1587">
        <f>H25</f>
        <v>100</v>
      </c>
      <c r="V25" s="1586" t="s">
        <v>8</v>
      </c>
      <c r="W25" s="1587">
        <f>J25</f>
        <v>100</v>
      </c>
      <c r="X25" s="3173"/>
      <c r="Y25" s="3272"/>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72"/>
      <c r="Q26" s="3171"/>
      <c r="R26" s="1586"/>
      <c r="S26" s="1587"/>
      <c r="T26" s="1586"/>
      <c r="U26" s="1587"/>
      <c r="V26" s="1586"/>
      <c r="W26" s="1587"/>
      <c r="X26" s="3173"/>
      <c r="Y26" s="3272"/>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100</v>
      </c>
      <c r="I27" s="566"/>
      <c r="J27" s="561">
        <f>SUMIF(100:100,I28,101:101)-SUMIF(100:100,C28,101:101)+100</f>
        <v>101</v>
      </c>
      <c r="K27" s="537">
        <v>1</v>
      </c>
      <c r="L27" s="2161"/>
      <c r="M27" s="2151"/>
      <c r="N27" s="2151"/>
      <c r="O27" s="2160"/>
      <c r="P27" s="3272"/>
      <c r="Q27" s="3171" t="str">
        <f t="shared" si="8"/>
        <v>自然及人文环境状况</v>
      </c>
      <c r="R27" s="1586" t="s">
        <v>8</v>
      </c>
      <c r="S27" s="1587">
        <f>F27</f>
        <v>101</v>
      </c>
      <c r="T27" s="1586" t="s">
        <v>8</v>
      </c>
      <c r="U27" s="1587">
        <f>H27</f>
        <v>100</v>
      </c>
      <c r="V27" s="1586" t="s">
        <v>8</v>
      </c>
      <c r="W27" s="1587">
        <f>J27</f>
        <v>101</v>
      </c>
      <c r="X27" s="3173"/>
      <c r="Y27" s="3272"/>
      <c r="Z27" s="3172" t="str">
        <f>Q27</f>
        <v>自然及人文环境状况</v>
      </c>
      <c r="AA27" s="3177">
        <f t="shared" si="3"/>
        <v>0.99009900990099009</v>
      </c>
      <c r="AB27" s="3177">
        <f t="shared" si="4"/>
        <v>1</v>
      </c>
      <c r="AC27" s="3177">
        <f t="shared" si="5"/>
        <v>0.99009900990099009</v>
      </c>
    </row>
    <row r="28" spans="1:29" ht="20.25">
      <c r="A28" s="518"/>
      <c r="B28" s="568"/>
      <c r="C28" s="556" t="s">
        <v>1151</v>
      </c>
      <c r="D28" s="559"/>
      <c r="E28" s="578" t="s">
        <v>1150</v>
      </c>
      <c r="F28" s="557"/>
      <c r="G28" s="556" t="s">
        <v>1151</v>
      </c>
      <c r="H28" s="557"/>
      <c r="I28" s="578" t="s">
        <v>1150</v>
      </c>
      <c r="J28" s="557"/>
      <c r="K28" s="533"/>
      <c r="L28" s="2161"/>
      <c r="M28" s="2151"/>
      <c r="N28" s="2151"/>
      <c r="O28" s="2160"/>
      <c r="P28" s="3272"/>
      <c r="Q28" s="3171"/>
      <c r="R28" s="1586"/>
      <c r="S28" s="1587"/>
      <c r="T28" s="1586"/>
      <c r="U28" s="1587"/>
      <c r="V28" s="1586"/>
      <c r="W28" s="1587"/>
      <c r="X28" s="3173"/>
      <c r="Y28" s="3272"/>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72"/>
      <c r="Q29" s="3170" t="str">
        <f t="shared" si="8"/>
        <v>公共配套设施</v>
      </c>
      <c r="R29" s="1581" t="s">
        <v>8</v>
      </c>
      <c r="S29" s="1582">
        <f>F29</f>
        <v>100</v>
      </c>
      <c r="T29" s="1581" t="s">
        <v>8</v>
      </c>
      <c r="U29" s="1582">
        <f>H29</f>
        <v>100</v>
      </c>
      <c r="V29" s="1581" t="s">
        <v>8</v>
      </c>
      <c r="W29" s="1582">
        <f>J29</f>
        <v>100</v>
      </c>
      <c r="X29" s="1583"/>
      <c r="Y29" s="3272"/>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72"/>
      <c r="Q30" s="3170"/>
      <c r="R30" s="1581"/>
      <c r="S30" s="1582"/>
      <c r="T30" s="1581"/>
      <c r="U30" s="1582"/>
      <c r="V30" s="1581"/>
      <c r="W30" s="1582"/>
      <c r="X30" s="1583"/>
      <c r="Y30" s="3272"/>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72"/>
      <c r="Q31" s="3170" t="str">
        <f t="shared" ref="Q31" si="9">B31</f>
        <v>基础设施水平</v>
      </c>
      <c r="R31" s="1581" t="s">
        <v>8</v>
      </c>
      <c r="S31" s="1582">
        <f>F31</f>
        <v>100</v>
      </c>
      <c r="T31" s="1581" t="s">
        <v>8</v>
      </c>
      <c r="U31" s="1582">
        <f>H31</f>
        <v>100</v>
      </c>
      <c r="V31" s="1581" t="s">
        <v>8</v>
      </c>
      <c r="W31" s="1582">
        <f>J31</f>
        <v>100</v>
      </c>
      <c r="X31" s="1583"/>
      <c r="Y31" s="3272"/>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72"/>
      <c r="Q32" s="3170"/>
      <c r="R32" s="1581"/>
      <c r="S32" s="1582"/>
      <c r="T32" s="1581"/>
      <c r="U32" s="1582"/>
      <c r="V32" s="1581"/>
      <c r="W32" s="1582"/>
      <c r="X32" s="1583"/>
      <c r="Y32" s="3272"/>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3705</v>
      </c>
      <c r="H33" s="542">
        <f>SUMIF(106:106,G33,107:107)-SUMIF(106:106,C33,107:107)+100</f>
        <v>101</v>
      </c>
      <c r="I33" s="582" t="s">
        <v>3708</v>
      </c>
      <c r="J33" s="542">
        <f>SUMIF(106:106,I33,107:107)-SUMIF(106:106,C33,107:107)+100</f>
        <v>99</v>
      </c>
      <c r="K33" s="537">
        <v>1</v>
      </c>
      <c r="L33" s="2161"/>
      <c r="M33" s="2151"/>
      <c r="N33" s="2151"/>
      <c r="O33" s="2160"/>
      <c r="P33" s="3272"/>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72"/>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9" t="s">
        <v>3704</v>
      </c>
      <c r="F34" s="561">
        <f>SUMIF(108:108,E35,109:109)-SUMIF(108:108,C35,109:109)+100</f>
        <v>100</v>
      </c>
      <c r="G34" s="3190" t="s">
        <v>3706</v>
      </c>
      <c r="H34" s="561">
        <f>SUMIF(108:108,G35,109:109)-SUMIF(108:108,C35,109:109)+100</f>
        <v>100</v>
      </c>
      <c r="I34" s="566"/>
      <c r="J34" s="561">
        <f>SUMIF(108:108,I35,109:109)-SUMIF(108:108,C35,109:109)+100</f>
        <v>98</v>
      </c>
      <c r="K34" s="537">
        <v>2</v>
      </c>
      <c r="L34" s="2161"/>
      <c r="M34" s="2151"/>
      <c r="N34" s="2151"/>
      <c r="O34" s="2160"/>
      <c r="P34" s="3272"/>
      <c r="Q34" s="3171" t="str">
        <f t="shared" si="8"/>
        <v>毗邻道路的类型与等级</v>
      </c>
      <c r="R34" s="1586" t="s">
        <v>8</v>
      </c>
      <c r="S34" s="1587">
        <f t="shared" si="10"/>
        <v>100</v>
      </c>
      <c r="T34" s="1586" t="s">
        <v>8</v>
      </c>
      <c r="U34" s="1587">
        <f t="shared" si="11"/>
        <v>100</v>
      </c>
      <c r="V34" s="1586" t="s">
        <v>8</v>
      </c>
      <c r="W34" s="1587">
        <f t="shared" si="12"/>
        <v>98</v>
      </c>
      <c r="X34" s="3173"/>
      <c r="Y34" s="3272"/>
      <c r="Z34" s="3172" t="str">
        <f t="shared" si="13"/>
        <v>毗邻道路的类型与等级</v>
      </c>
      <c r="AA34" s="3177">
        <f t="shared" si="3"/>
        <v>1</v>
      </c>
      <c r="AB34" s="3177">
        <f t="shared" si="4"/>
        <v>1</v>
      </c>
      <c r="AC34" s="3177">
        <f t="shared" si="5"/>
        <v>1.0204081632653061</v>
      </c>
    </row>
    <row r="35" spans="1:29" ht="20.25">
      <c r="A35" s="534"/>
      <c r="B35" s="568"/>
      <c r="C35" s="556" t="s">
        <v>3243</v>
      </c>
      <c r="D35" s="559"/>
      <c r="E35" s="578" t="s">
        <v>3243</v>
      </c>
      <c r="F35" s="557"/>
      <c r="G35" s="556" t="s">
        <v>3243</v>
      </c>
      <c r="H35" s="557"/>
      <c r="I35" s="578" t="s">
        <v>1976</v>
      </c>
      <c r="J35" s="557"/>
      <c r="K35" s="583"/>
      <c r="L35" s="2161"/>
      <c r="M35" s="2151"/>
      <c r="N35" s="2151"/>
      <c r="O35" s="2160"/>
      <c r="P35" s="3272"/>
      <c r="Q35" s="3171"/>
      <c r="R35" s="1586"/>
      <c r="S35" s="1587"/>
      <c r="T35" s="1586"/>
      <c r="U35" s="1587"/>
      <c r="V35" s="1586"/>
      <c r="W35" s="1587"/>
      <c r="X35" s="3173"/>
      <c r="Y35" s="3272"/>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72"/>
      <c r="Q36" s="3171" t="str">
        <f t="shared" si="8"/>
        <v>土地级别</v>
      </c>
      <c r="R36" s="1586" t="s">
        <v>8</v>
      </c>
      <c r="S36" s="1587">
        <f t="shared" si="10"/>
        <v>100</v>
      </c>
      <c r="T36" s="1586" t="s">
        <v>8</v>
      </c>
      <c r="U36" s="1587">
        <f t="shared" si="11"/>
        <v>100</v>
      </c>
      <c r="V36" s="1586" t="s">
        <v>8</v>
      </c>
      <c r="W36" s="1587">
        <f t="shared" si="12"/>
        <v>100</v>
      </c>
      <c r="X36" s="3173"/>
      <c r="Y36" s="3272"/>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72"/>
      <c r="Q37" s="3171">
        <f t="shared" si="8"/>
        <v>111</v>
      </c>
      <c r="R37" s="1586" t="s">
        <v>8</v>
      </c>
      <c r="S37" s="1587">
        <f t="shared" si="10"/>
        <v>100</v>
      </c>
      <c r="T37" s="1586" t="s">
        <v>8</v>
      </c>
      <c r="U37" s="1587">
        <f t="shared" si="11"/>
        <v>100</v>
      </c>
      <c r="V37" s="1586" t="s">
        <v>8</v>
      </c>
      <c r="W37" s="1587">
        <f t="shared" si="12"/>
        <v>100</v>
      </c>
      <c r="X37" s="3173"/>
      <c r="Y37" s="3272"/>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77" t="s">
        <v>591</v>
      </c>
      <c r="Q38" s="3171">
        <f t="shared" si="8"/>
        <v>111</v>
      </c>
      <c r="R38" s="1586" t="s">
        <v>8</v>
      </c>
      <c r="S38" s="1587">
        <f t="shared" si="10"/>
        <v>100</v>
      </c>
      <c r="T38" s="1586" t="s">
        <v>8</v>
      </c>
      <c r="U38" s="1587">
        <f t="shared" si="11"/>
        <v>100</v>
      </c>
      <c r="V38" s="1586" t="s">
        <v>8</v>
      </c>
      <c r="W38" s="1587">
        <f t="shared" si="12"/>
        <v>100</v>
      </c>
      <c r="X38" s="3173"/>
      <c r="Y38" s="3278"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78"/>
      <c r="Q39" s="3171">
        <f t="shared" si="8"/>
        <v>111</v>
      </c>
      <c r="R39" s="1590" t="s">
        <v>8</v>
      </c>
      <c r="S39" s="1591">
        <f t="shared" si="10"/>
        <v>100</v>
      </c>
      <c r="T39" s="1590" t="s">
        <v>8</v>
      </c>
      <c r="U39" s="1591">
        <f t="shared" si="11"/>
        <v>100</v>
      </c>
      <c r="V39" s="1590" t="s">
        <v>8</v>
      </c>
      <c r="W39" s="1591">
        <f t="shared" si="12"/>
        <v>100</v>
      </c>
      <c r="X39" s="1592"/>
      <c r="Y39" s="3278"/>
      <c r="Z39" s="1593">
        <f t="shared" si="13"/>
        <v>111</v>
      </c>
      <c r="AA39" s="3177">
        <f t="shared" si="3"/>
        <v>1</v>
      </c>
      <c r="AB39" s="3177">
        <f t="shared" si="4"/>
        <v>1</v>
      </c>
      <c r="AC39" s="3177">
        <f t="shared" si="5"/>
        <v>1</v>
      </c>
    </row>
    <row r="40" spans="1:29" ht="20.25">
      <c r="A40" s="2909" t="s">
        <v>3133</v>
      </c>
      <c r="B40" s="595" t="s">
        <v>593</v>
      </c>
      <c r="C40" s="596">
        <f>'数据-汇总表'!D3</f>
        <v>46771</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78"/>
      <c r="Q40" s="3171" t="str">
        <f>B40</f>
        <v>宗地面积</v>
      </c>
      <c r="R40" s="1586" t="s">
        <v>8</v>
      </c>
      <c r="S40" s="1587">
        <f t="shared" si="10"/>
        <v>101</v>
      </c>
      <c r="T40" s="1586" t="s">
        <v>8</v>
      </c>
      <c r="U40" s="1587">
        <f t="shared" si="11"/>
        <v>100</v>
      </c>
      <c r="V40" s="1586" t="s">
        <v>8</v>
      </c>
      <c r="W40" s="1587">
        <f t="shared" si="12"/>
        <v>100</v>
      </c>
      <c r="X40" s="3173"/>
      <c r="Y40" s="3278"/>
      <c r="Z40" s="3172" t="str">
        <f t="shared" si="13"/>
        <v>宗地面积</v>
      </c>
      <c r="AA40" s="3177">
        <f t="shared" si="3"/>
        <v>0.99009900990099009</v>
      </c>
      <c r="AB40" s="3177">
        <f t="shared" si="4"/>
        <v>1</v>
      </c>
      <c r="AC40" s="3177">
        <f t="shared" si="5"/>
        <v>1</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78"/>
      <c r="Q41" s="3171" t="str">
        <f t="shared" ref="Q41:Q47" si="14">B41</f>
        <v>宗地形状</v>
      </c>
      <c r="R41" s="1586" t="s">
        <v>8</v>
      </c>
      <c r="S41" s="1587">
        <f t="shared" si="10"/>
        <v>100</v>
      </c>
      <c r="T41" s="1586" t="s">
        <v>8</v>
      </c>
      <c r="U41" s="1587">
        <f t="shared" si="11"/>
        <v>100</v>
      </c>
      <c r="V41" s="1586" t="s">
        <v>8</v>
      </c>
      <c r="W41" s="1587">
        <f t="shared" si="12"/>
        <v>100</v>
      </c>
      <c r="X41" s="3173"/>
      <c r="Y41" s="3278"/>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78"/>
      <c r="Q42" s="3171" t="str">
        <f t="shared" si="14"/>
        <v>临街宽度及深度</v>
      </c>
      <c r="R42" s="1586" t="s">
        <v>8</v>
      </c>
      <c r="S42" s="1587">
        <f t="shared" si="10"/>
        <v>100</v>
      </c>
      <c r="T42" s="1586" t="s">
        <v>8</v>
      </c>
      <c r="U42" s="1587">
        <f t="shared" si="11"/>
        <v>100</v>
      </c>
      <c r="V42" s="1586" t="s">
        <v>8</v>
      </c>
      <c r="W42" s="1587">
        <f t="shared" si="12"/>
        <v>100</v>
      </c>
      <c r="X42" s="3173"/>
      <c r="Y42" s="3278"/>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78"/>
      <c r="Q43" s="3171" t="str">
        <f t="shared" si="14"/>
        <v>宗地开发程度</v>
      </c>
      <c r="R43" s="1581" t="s">
        <v>8</v>
      </c>
      <c r="S43" s="1582">
        <f t="shared" si="10"/>
        <v>100</v>
      </c>
      <c r="T43" s="1581" t="s">
        <v>8</v>
      </c>
      <c r="U43" s="1582">
        <f t="shared" si="11"/>
        <v>100</v>
      </c>
      <c r="V43" s="1581" t="s">
        <v>8</v>
      </c>
      <c r="W43" s="1582">
        <f t="shared" si="12"/>
        <v>100</v>
      </c>
      <c r="X43" s="1583"/>
      <c r="Y43" s="3278"/>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78" t="s">
        <v>591</v>
      </c>
      <c r="Q44" s="3171" t="str">
        <f t="shared" si="14"/>
        <v>工程地质条件</v>
      </c>
      <c r="R44" s="1586" t="s">
        <v>8</v>
      </c>
      <c r="S44" s="1587">
        <f t="shared" si="10"/>
        <v>100</v>
      </c>
      <c r="T44" s="1586" t="s">
        <v>8</v>
      </c>
      <c r="U44" s="1587">
        <f t="shared" si="11"/>
        <v>100</v>
      </c>
      <c r="V44" s="1586" t="s">
        <v>8</v>
      </c>
      <c r="W44" s="1587">
        <f t="shared" si="12"/>
        <v>100</v>
      </c>
      <c r="X44" s="3173"/>
      <c r="Y44" s="3278"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78"/>
      <c r="Q45" s="3171">
        <f t="shared" si="14"/>
        <v>111</v>
      </c>
      <c r="R45" s="1586" t="s">
        <v>8</v>
      </c>
      <c r="S45" s="1587">
        <f t="shared" si="10"/>
        <v>100</v>
      </c>
      <c r="T45" s="1586" t="s">
        <v>8</v>
      </c>
      <c r="U45" s="1587">
        <f t="shared" si="11"/>
        <v>100</v>
      </c>
      <c r="V45" s="1586" t="s">
        <v>8</v>
      </c>
      <c r="W45" s="1587">
        <f t="shared" si="12"/>
        <v>100</v>
      </c>
      <c r="X45" s="3173"/>
      <c r="Y45" s="3278"/>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78"/>
      <c r="Q46" s="3171">
        <f t="shared" si="14"/>
        <v>111</v>
      </c>
      <c r="R46" s="1586" t="s">
        <v>8</v>
      </c>
      <c r="S46" s="1587">
        <f t="shared" si="10"/>
        <v>100</v>
      </c>
      <c r="T46" s="1586" t="s">
        <v>8</v>
      </c>
      <c r="U46" s="1587">
        <f t="shared" si="11"/>
        <v>100</v>
      </c>
      <c r="V46" s="1586" t="s">
        <v>8</v>
      </c>
      <c r="W46" s="1587">
        <f t="shared" si="12"/>
        <v>100</v>
      </c>
      <c r="X46" s="3173"/>
      <c r="Y46" s="3278"/>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78"/>
      <c r="Q47" s="3171">
        <f t="shared" si="14"/>
        <v>111</v>
      </c>
      <c r="R47" s="1590" t="s">
        <v>8</v>
      </c>
      <c r="S47" s="1591">
        <f t="shared" si="10"/>
        <v>100</v>
      </c>
      <c r="T47" s="1590" t="s">
        <v>8</v>
      </c>
      <c r="U47" s="1591">
        <f t="shared" si="11"/>
        <v>100</v>
      </c>
      <c r="V47" s="1590" t="s">
        <v>8</v>
      </c>
      <c r="W47" s="1591">
        <f t="shared" si="12"/>
        <v>100</v>
      </c>
      <c r="X47" s="1592"/>
      <c r="Y47" s="3278"/>
      <c r="Z47" s="1593">
        <f t="shared" si="13"/>
        <v>111</v>
      </c>
      <c r="AA47" s="3177">
        <f t="shared" si="3"/>
        <v>1</v>
      </c>
      <c r="AB47" s="3177">
        <f t="shared" si="4"/>
        <v>1</v>
      </c>
      <c r="AC47" s="3177">
        <f t="shared" si="5"/>
        <v>1</v>
      </c>
    </row>
    <row r="48" spans="1:29" ht="20.25">
      <c r="A48" s="3081" t="s">
        <v>600</v>
      </c>
      <c r="B48" s="3082" t="s">
        <v>2385</v>
      </c>
      <c r="C48" s="609" t="s">
        <v>1</v>
      </c>
      <c r="D48" s="610"/>
      <c r="E48" s="611">
        <v>3442</v>
      </c>
      <c r="F48" s="612"/>
      <c r="G48" s="613">
        <v>2965</v>
      </c>
      <c r="H48" s="614"/>
      <c r="I48" s="611">
        <v>3052</v>
      </c>
      <c r="J48" s="614"/>
      <c r="K48" s="1351"/>
      <c r="L48" s="2163"/>
      <c r="M48" s="2151"/>
      <c r="N48" s="2151"/>
      <c r="O48" s="2164"/>
      <c r="P48" s="3269" t="str">
        <f>A48</f>
        <v>成交单价</v>
      </c>
      <c r="Q48" s="3269"/>
      <c r="R48" s="3265">
        <f>E48</f>
        <v>3442</v>
      </c>
      <c r="S48" s="3265"/>
      <c r="T48" s="3265">
        <f>G48</f>
        <v>2965</v>
      </c>
      <c r="U48" s="3265"/>
      <c r="V48" s="3265">
        <f>I48</f>
        <v>3052</v>
      </c>
      <c r="W48" s="3265"/>
      <c r="X48" s="1572"/>
      <c r="Y48" s="1594"/>
      <c r="Z48" s="1572"/>
      <c r="AA48" s="1572"/>
      <c r="AB48" s="1572"/>
      <c r="AC48" s="1572"/>
    </row>
    <row r="49" spans="1:29" ht="29.25" thickBot="1">
      <c r="A49" s="3083" t="s">
        <v>3066</v>
      </c>
      <c r="B49" s="3084"/>
      <c r="C49" s="617">
        <f>R50</f>
        <v>2769</v>
      </c>
      <c r="D49" s="618"/>
      <c r="E49" s="617">
        <f>R49</f>
        <v>2803</v>
      </c>
      <c r="F49" s="619"/>
      <c r="G49" s="620">
        <f>T49</f>
        <v>2579</v>
      </c>
      <c r="H49" s="618"/>
      <c r="I49" s="617">
        <f>V49</f>
        <v>2926</v>
      </c>
      <c r="J49" s="618"/>
      <c r="K49" s="1352"/>
      <c r="L49" s="2163"/>
      <c r="M49" s="2151"/>
      <c r="N49" s="2151"/>
      <c r="O49" s="2164"/>
      <c r="P49" s="3269" t="str">
        <f>A49</f>
        <v>比较价格（元/平方米）</v>
      </c>
      <c r="Q49" s="3269"/>
      <c r="R49" s="3273">
        <f>ROUND(PRODUCT(R48,AA9:AA47),0)</f>
        <v>2803</v>
      </c>
      <c r="S49" s="3273"/>
      <c r="T49" s="3273">
        <f>ROUND(PRODUCT(T48,AB9:AB47),0)</f>
        <v>2579</v>
      </c>
      <c r="U49" s="3273"/>
      <c r="V49" s="3273">
        <f>ROUND(PRODUCT(V48,AC9:AC47),0)</f>
        <v>2926</v>
      </c>
      <c r="W49" s="3273"/>
      <c r="X49" s="1572"/>
      <c r="Y49" s="1572"/>
      <c r="Z49" s="1572"/>
      <c r="AA49" s="1572"/>
      <c r="AB49" s="1572"/>
      <c r="AC49" s="1572"/>
    </row>
    <row r="50" spans="1:29" ht="57.75" thickBot="1">
      <c r="A50" s="3085" t="s">
        <v>3067</v>
      </c>
      <c r="B50" s="3086"/>
      <c r="C50" s="623">
        <f>R50</f>
        <v>2769</v>
      </c>
      <c r="D50" s="623"/>
      <c r="E50" s="623"/>
      <c r="F50" s="623"/>
      <c r="G50" s="623"/>
      <c r="H50" s="623"/>
      <c r="I50" s="623"/>
      <c r="J50" s="623"/>
      <c r="K50" s="1353"/>
      <c r="L50" s="2163"/>
      <c r="M50" s="2151"/>
      <c r="N50" s="2151"/>
      <c r="O50" s="2164"/>
      <c r="P50" s="3274" t="str">
        <f>A50</f>
        <v>估价对象XX用房的比较价格（楼面单价，元/平方米）</v>
      </c>
      <c r="Q50" s="3275"/>
      <c r="R50" s="3276">
        <f>ROUND(AVERAGE(R49:V49),0)</f>
        <v>2769</v>
      </c>
      <c r="S50" s="3276"/>
      <c r="T50" s="3276"/>
      <c r="U50" s="3276"/>
      <c r="V50" s="3276"/>
      <c r="W50" s="327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0.22797003210845523</v>
      </c>
      <c r="F53" s="627" t="str">
        <f>IF(OR(E53&gt;=0.3,E53&lt;=-0.3),"超过30%","")</f>
        <v/>
      </c>
      <c r="G53" s="626">
        <f>IF(G48&lt;G49,G49/G48-1,G48/G49-1)</f>
        <v>0.14967041488949206</v>
      </c>
      <c r="H53" s="627" t="str">
        <f>IF(OR(G53&gt;=0.3,G53&lt;=-0.3),"超过30%","")</f>
        <v/>
      </c>
      <c r="I53" s="626">
        <f>IF(I48&lt;I49,I49/I48-1,I48/I49-1)</f>
        <v>4.3062200956937691E-2</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8.6855370298565271E-2</v>
      </c>
      <c r="F54" s="627" t="str">
        <f>IF(OR(E54&gt;=0.2,E54&lt;=-0.2),"超过20%","")</f>
        <v/>
      </c>
      <c r="G54" s="626">
        <f>IF(G49&lt;I49,I49/G49-1,G49/I49-1)</f>
        <v>0.13454827452500973</v>
      </c>
      <c r="H54" s="627" t="str">
        <f>IF(OR(G54&gt;=0.2,G54&lt;=-0.2),"超过20%","")</f>
        <v/>
      </c>
      <c r="I54" s="626">
        <f>IF(I49&lt;E49,E49/I49-1,I49/E49-1)</f>
        <v>4.388155547627548E-2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79" t="s">
        <v>2597</v>
      </c>
      <c r="H57" s="328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2769</v>
      </c>
      <c r="C58" s="635">
        <v>1</v>
      </c>
      <c r="D58" s="2247">
        <v>1</v>
      </c>
      <c r="E58" s="635">
        <f>'数据-汇总表'!E8+'数据-汇总表'!E9</f>
        <v>76634</v>
      </c>
      <c r="F58" s="636">
        <f t="shared" ref="F58:F67" si="15">ROUND(B58*E58/10000,0)</f>
        <v>21220</v>
      </c>
      <c r="G58" s="3281"/>
      <c r="H58" s="328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8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8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8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8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21220</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27">
      <c r="A77" s="664" t="s">
        <v>622</v>
      </c>
      <c r="B77" s="665" t="s">
        <v>568</v>
      </c>
      <c r="C77" s="3045" t="s">
        <v>3730</v>
      </c>
      <c r="D77" s="3181" t="s">
        <v>3731</v>
      </c>
      <c r="E77" s="661"/>
      <c r="F77" s="3045"/>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I39" sqref="I39"/>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3360</v>
      </c>
      <c r="B1" s="2942" t="s">
        <v>3361</v>
      </c>
      <c r="C1" s="2942" t="s">
        <v>3362</v>
      </c>
      <c r="D1" s="2942" t="s">
        <v>3363</v>
      </c>
      <c r="E1" s="2942" t="s">
        <v>3364</v>
      </c>
      <c r="F1" s="2942" t="s">
        <v>3365</v>
      </c>
      <c r="G1" s="2942" t="s">
        <v>2344</v>
      </c>
      <c r="H1" s="2942" t="s">
        <v>3366</v>
      </c>
      <c r="I1" s="2942" t="s">
        <v>3367</v>
      </c>
      <c r="J1" s="2942" t="s">
        <v>3368</v>
      </c>
      <c r="K1" s="2942" t="str">
        <f>H21</f>
        <v>2017-06-07</v>
      </c>
      <c r="L1" s="2942" t="s">
        <v>3370</v>
      </c>
      <c r="M1" s="2942" t="s">
        <v>3371</v>
      </c>
    </row>
    <row r="2" spans="1:13" s="3188" customFormat="1">
      <c r="A2" s="2942" t="s">
        <v>3553</v>
      </c>
      <c r="B2" s="2942" t="s">
        <v>3373</v>
      </c>
      <c r="C2" s="2942" t="s">
        <v>3535</v>
      </c>
      <c r="D2" s="2942" t="s">
        <v>3375</v>
      </c>
      <c r="E2" s="2942">
        <v>3850</v>
      </c>
      <c r="F2" s="2942" t="s">
        <v>3198</v>
      </c>
      <c r="G2" s="2942" t="s">
        <v>3198</v>
      </c>
      <c r="H2" s="2942" t="s">
        <v>3554</v>
      </c>
      <c r="I2" s="2942" t="s">
        <v>3555</v>
      </c>
      <c r="J2" s="2942">
        <v>2272</v>
      </c>
      <c r="K2" s="2942" t="s">
        <v>3198</v>
      </c>
      <c r="L2" s="2942">
        <v>0</v>
      </c>
      <c r="M2" s="2942" t="s">
        <v>3379</v>
      </c>
    </row>
    <row r="3" spans="1:13">
      <c r="A3" s="2942" t="s">
        <v>3565</v>
      </c>
      <c r="B3" s="2942" t="s">
        <v>3373</v>
      </c>
      <c r="C3" s="2942" t="s">
        <v>3535</v>
      </c>
      <c r="D3" s="2942" t="s">
        <v>3375</v>
      </c>
      <c r="E3" s="2942">
        <v>2535</v>
      </c>
      <c r="F3" s="2942" t="s">
        <v>3198</v>
      </c>
      <c r="G3" s="2942" t="s">
        <v>3566</v>
      </c>
      <c r="H3" s="2942" t="s">
        <v>3567</v>
      </c>
      <c r="I3" s="2942" t="s">
        <v>3568</v>
      </c>
      <c r="J3" s="2942">
        <v>1908</v>
      </c>
      <c r="K3" s="2942" t="s">
        <v>3198</v>
      </c>
      <c r="L3" s="2942">
        <v>0</v>
      </c>
      <c r="M3" s="2942" t="s">
        <v>3379</v>
      </c>
    </row>
    <row r="4" spans="1:13">
      <c r="A4" s="2942" t="s">
        <v>3569</v>
      </c>
      <c r="B4" s="2942" t="s">
        <v>3373</v>
      </c>
      <c r="C4" s="2942" t="s">
        <v>3535</v>
      </c>
      <c r="D4" s="2942" t="s">
        <v>3375</v>
      </c>
      <c r="E4" s="2942">
        <v>1990</v>
      </c>
      <c r="F4" s="2942" t="s">
        <v>3198</v>
      </c>
      <c r="G4" s="2942" t="s">
        <v>3570</v>
      </c>
      <c r="H4" s="2942" t="s">
        <v>3571</v>
      </c>
      <c r="I4" s="2942" t="s">
        <v>3572</v>
      </c>
      <c r="J4" s="2942">
        <v>934</v>
      </c>
      <c r="K4" s="2942" t="s">
        <v>3198</v>
      </c>
      <c r="L4" s="2942">
        <v>0</v>
      </c>
      <c r="M4" s="2942" t="s">
        <v>3379</v>
      </c>
    </row>
    <row r="5" spans="1:13">
      <c r="A5" s="2942" t="s">
        <v>3597</v>
      </c>
      <c r="B5" s="2942" t="s">
        <v>3373</v>
      </c>
      <c r="C5" s="2942" t="s">
        <v>3535</v>
      </c>
      <c r="D5" s="2942" t="s">
        <v>3375</v>
      </c>
      <c r="E5" s="2942">
        <v>6056</v>
      </c>
      <c r="F5" s="2942" t="s">
        <v>3198</v>
      </c>
      <c r="G5" s="2942" t="s">
        <v>3566</v>
      </c>
      <c r="H5" s="2942" t="s">
        <v>3598</v>
      </c>
      <c r="I5" s="2942" t="s">
        <v>3599</v>
      </c>
      <c r="J5" s="2942">
        <v>2764</v>
      </c>
      <c r="K5" s="2942" t="s">
        <v>3198</v>
      </c>
      <c r="L5" s="2942">
        <v>100</v>
      </c>
      <c r="M5" s="2942" t="s">
        <v>3379</v>
      </c>
    </row>
    <row r="6" spans="1:13">
      <c r="A6" s="2942" t="s">
        <v>3602</v>
      </c>
      <c r="B6" s="2942" t="s">
        <v>3373</v>
      </c>
      <c r="C6" s="2942" t="s">
        <v>3535</v>
      </c>
      <c r="D6" s="2942" t="s">
        <v>3375</v>
      </c>
      <c r="E6" s="2942">
        <v>3384</v>
      </c>
      <c r="F6" s="2942" t="s">
        <v>3198</v>
      </c>
      <c r="G6" s="2942" t="s">
        <v>3566</v>
      </c>
      <c r="H6" s="2942" t="s">
        <v>3598</v>
      </c>
      <c r="I6" s="2942" t="s">
        <v>3599</v>
      </c>
      <c r="J6" s="2942">
        <v>1533</v>
      </c>
      <c r="K6" s="2942" t="s">
        <v>3198</v>
      </c>
      <c r="L6" s="2942">
        <v>99.87</v>
      </c>
      <c r="M6" s="2942" t="s">
        <v>3379</v>
      </c>
    </row>
    <row r="7" spans="1:13" s="3188" customFormat="1">
      <c r="A7" s="2942" t="s">
        <v>3607</v>
      </c>
      <c r="B7" s="2942" t="s">
        <v>3373</v>
      </c>
      <c r="C7" s="2942" t="s">
        <v>3535</v>
      </c>
      <c r="D7" s="2942" t="s">
        <v>3375</v>
      </c>
      <c r="E7" s="2942">
        <v>3113</v>
      </c>
      <c r="F7" s="2942" t="s">
        <v>3198</v>
      </c>
      <c r="G7" s="2942" t="s">
        <v>3198</v>
      </c>
      <c r="H7" s="2942" t="s">
        <v>3608</v>
      </c>
      <c r="I7" s="2942" t="s">
        <v>3609</v>
      </c>
      <c r="J7" s="2942">
        <v>1837</v>
      </c>
      <c r="K7" s="2942" t="s">
        <v>3198</v>
      </c>
      <c r="L7" s="2942">
        <v>0</v>
      </c>
      <c r="M7" s="2942" t="s">
        <v>3379</v>
      </c>
    </row>
    <row r="8" spans="1:13">
      <c r="A8" s="2942" t="s">
        <v>3621</v>
      </c>
      <c r="B8" s="2942" t="s">
        <v>3373</v>
      </c>
      <c r="C8" s="2942" t="s">
        <v>3535</v>
      </c>
      <c r="D8" s="2942" t="s">
        <v>3375</v>
      </c>
      <c r="E8" s="2942">
        <v>3977</v>
      </c>
      <c r="F8" s="2942" t="s">
        <v>3198</v>
      </c>
      <c r="G8" s="2942" t="s">
        <v>3566</v>
      </c>
      <c r="H8" s="2942" t="s">
        <v>3622</v>
      </c>
      <c r="I8" s="2942" t="s">
        <v>3599</v>
      </c>
      <c r="J8" s="2942">
        <v>1801</v>
      </c>
      <c r="K8" s="2942" t="s">
        <v>3198</v>
      </c>
      <c r="L8" s="2942">
        <v>0</v>
      </c>
      <c r="M8" s="2942" t="s">
        <v>3198</v>
      </c>
    </row>
    <row r="9" spans="1:13">
      <c r="A9" s="2942" t="s">
        <v>3659</v>
      </c>
      <c r="B9" s="2942" t="s">
        <v>3373</v>
      </c>
      <c r="C9" s="2942" t="s">
        <v>3535</v>
      </c>
      <c r="D9" s="2942" t="s">
        <v>3407</v>
      </c>
      <c r="E9" s="2942">
        <v>3740</v>
      </c>
      <c r="F9" s="2942">
        <v>4114</v>
      </c>
      <c r="G9" s="2942" t="s">
        <v>3660</v>
      </c>
      <c r="H9" s="2942" t="s">
        <v>3661</v>
      </c>
      <c r="I9" s="2942" t="s">
        <v>3662</v>
      </c>
      <c r="J9" s="2942">
        <v>4414</v>
      </c>
      <c r="K9" s="2942">
        <v>10729.21</v>
      </c>
      <c r="L9" s="2942">
        <v>0</v>
      </c>
      <c r="M9" s="2942" t="s">
        <v>3379</v>
      </c>
    </row>
    <row r="10" spans="1:13">
      <c r="A10" s="2942" t="s">
        <v>3539</v>
      </c>
      <c r="B10" s="2942" t="s">
        <v>3373</v>
      </c>
      <c r="C10" s="2942" t="s">
        <v>3535</v>
      </c>
      <c r="D10" s="2942" t="s">
        <v>3407</v>
      </c>
      <c r="E10" s="2942">
        <v>11404</v>
      </c>
      <c r="F10" s="2942">
        <v>17255.07</v>
      </c>
      <c r="G10" s="2942" t="s">
        <v>3540</v>
      </c>
      <c r="H10" s="2942" t="s">
        <v>3541</v>
      </c>
      <c r="I10" s="2942" t="s">
        <v>3542</v>
      </c>
      <c r="J10" s="2942">
        <v>11893</v>
      </c>
      <c r="K10" s="2942">
        <v>6892.47</v>
      </c>
      <c r="L10" s="2942">
        <v>0</v>
      </c>
      <c r="M10" s="2942">
        <v>40</v>
      </c>
    </row>
    <row r="11" spans="1:13">
      <c r="A11" s="2942" t="s">
        <v>3686</v>
      </c>
      <c r="B11" s="2942" t="s">
        <v>3373</v>
      </c>
      <c r="C11" s="2942" t="s">
        <v>3535</v>
      </c>
      <c r="D11" s="2942" t="s">
        <v>3407</v>
      </c>
      <c r="E11" s="2942">
        <v>45578</v>
      </c>
      <c r="F11" s="2942">
        <v>136734</v>
      </c>
      <c r="G11" s="2942" t="s">
        <v>3687</v>
      </c>
      <c r="H11" s="2942" t="s">
        <v>3688</v>
      </c>
      <c r="I11" s="2942" t="s">
        <v>3689</v>
      </c>
      <c r="J11" s="2942">
        <v>71500</v>
      </c>
      <c r="K11" s="2942">
        <v>5229.13</v>
      </c>
      <c r="L11" s="2942">
        <v>3.63</v>
      </c>
      <c r="M11" s="2942" t="s">
        <v>3379</v>
      </c>
    </row>
    <row r="12" spans="1:13">
      <c r="A12" s="2942" t="s">
        <v>3680</v>
      </c>
      <c r="B12" s="2942" t="s">
        <v>3373</v>
      </c>
      <c r="C12" s="2942" t="s">
        <v>3535</v>
      </c>
      <c r="D12" s="2942" t="s">
        <v>3407</v>
      </c>
      <c r="E12" s="2942">
        <v>2811</v>
      </c>
      <c r="F12" s="2942">
        <v>4216.5</v>
      </c>
      <c r="G12" s="2942" t="s">
        <v>3408</v>
      </c>
      <c r="H12" s="2942" t="s">
        <v>3681</v>
      </c>
      <c r="I12" s="2942" t="s">
        <v>3682</v>
      </c>
      <c r="J12" s="2942">
        <v>2132</v>
      </c>
      <c r="K12" s="2942">
        <v>5056.32</v>
      </c>
      <c r="L12" s="2942">
        <v>0</v>
      </c>
      <c r="M12" s="2942" t="s">
        <v>3379</v>
      </c>
    </row>
    <row r="13" spans="1:13">
      <c r="A13" s="2942" t="s">
        <v>3683</v>
      </c>
      <c r="B13" s="2942" t="s">
        <v>3373</v>
      </c>
      <c r="C13" s="2942" t="s">
        <v>3535</v>
      </c>
      <c r="D13" s="2942" t="s">
        <v>3407</v>
      </c>
      <c r="E13" s="2942">
        <v>3600</v>
      </c>
      <c r="F13" s="2942">
        <v>5400</v>
      </c>
      <c r="G13" s="2942" t="s">
        <v>3408</v>
      </c>
      <c r="H13" s="2942" t="s">
        <v>3684</v>
      </c>
      <c r="I13" s="2942" t="s">
        <v>3685</v>
      </c>
      <c r="J13" s="2942">
        <v>2727</v>
      </c>
      <c r="K13" s="2942">
        <v>5050</v>
      </c>
      <c r="L13" s="2942">
        <v>0</v>
      </c>
      <c r="M13" s="2942" t="s">
        <v>3379</v>
      </c>
    </row>
    <row r="14" spans="1:13">
      <c r="A14" s="2942" t="s">
        <v>3577</v>
      </c>
      <c r="B14" s="2942" t="s">
        <v>3373</v>
      </c>
      <c r="C14" s="2942" t="s">
        <v>3535</v>
      </c>
      <c r="D14" s="2942" t="s">
        <v>3375</v>
      </c>
      <c r="E14" s="2942">
        <v>20249</v>
      </c>
      <c r="F14" s="2942">
        <v>70872</v>
      </c>
      <c r="G14" s="2942" t="s">
        <v>3578</v>
      </c>
      <c r="H14" s="2942" t="s">
        <v>3484</v>
      </c>
      <c r="I14" s="2942" t="s">
        <v>3579</v>
      </c>
      <c r="J14" s="2942">
        <v>34019</v>
      </c>
      <c r="K14" s="2942">
        <v>4800.0600000000004</v>
      </c>
      <c r="L14" s="2942">
        <v>0</v>
      </c>
      <c r="M14" s="2942" t="s">
        <v>3580</v>
      </c>
    </row>
    <row r="15" spans="1:13">
      <c r="A15" s="2942" t="s">
        <v>3638</v>
      </c>
      <c r="B15" s="2942" t="s">
        <v>3373</v>
      </c>
      <c r="C15" s="2942" t="s">
        <v>3535</v>
      </c>
      <c r="D15" s="2942" t="s">
        <v>3375</v>
      </c>
      <c r="E15" s="2942">
        <v>22901</v>
      </c>
      <c r="F15" s="2942">
        <v>120900</v>
      </c>
      <c r="G15" s="2942" t="s">
        <v>3639</v>
      </c>
      <c r="H15" s="2942" t="s">
        <v>3640</v>
      </c>
      <c r="I15" s="2942" t="s">
        <v>3641</v>
      </c>
      <c r="J15" s="2942">
        <v>57342</v>
      </c>
      <c r="K15" s="2942">
        <v>4742.93</v>
      </c>
      <c r="L15" s="2942">
        <v>0</v>
      </c>
      <c r="M15" s="2942" t="s">
        <v>3379</v>
      </c>
    </row>
    <row r="16" spans="1:13">
      <c r="A16" s="2942" t="s">
        <v>3701</v>
      </c>
      <c r="B16" s="2942" t="s">
        <v>3373</v>
      </c>
      <c r="C16" s="2942" t="s">
        <v>3535</v>
      </c>
      <c r="D16" s="2942" t="s">
        <v>3375</v>
      </c>
      <c r="E16" s="2942">
        <v>2920</v>
      </c>
      <c r="F16" s="2942">
        <v>4380</v>
      </c>
      <c r="G16" s="2942" t="s">
        <v>3557</v>
      </c>
      <c r="H16" s="2942" t="s">
        <v>3702</v>
      </c>
      <c r="I16" s="2942" t="s">
        <v>3682</v>
      </c>
      <c r="J16" s="2942">
        <v>1880</v>
      </c>
      <c r="K16" s="2942">
        <v>4292.2299999999996</v>
      </c>
      <c r="L16" s="2942">
        <v>0</v>
      </c>
      <c r="M16" s="2942" t="s">
        <v>3379</v>
      </c>
    </row>
    <row r="17" spans="1:13">
      <c r="A17" s="2942" t="s">
        <v>3645</v>
      </c>
      <c r="B17" s="2942" t="s">
        <v>3373</v>
      </c>
      <c r="C17" s="2942" t="s">
        <v>3535</v>
      </c>
      <c r="D17" s="2942" t="s">
        <v>3375</v>
      </c>
      <c r="E17" s="2942">
        <v>38031</v>
      </c>
      <c r="F17" s="2942">
        <v>45638.400000000001</v>
      </c>
      <c r="G17" s="2942" t="s">
        <v>3646</v>
      </c>
      <c r="H17" s="2942" t="s">
        <v>3647</v>
      </c>
      <c r="I17" s="2942" t="s">
        <v>3648</v>
      </c>
      <c r="J17" s="2942">
        <v>18600</v>
      </c>
      <c r="K17" s="2942">
        <v>4075.51</v>
      </c>
      <c r="L17" s="2942">
        <v>63.01</v>
      </c>
      <c r="M17" s="2942" t="s">
        <v>3379</v>
      </c>
    </row>
    <row r="18" spans="1:13">
      <c r="A18" s="2942" t="s">
        <v>3556</v>
      </c>
      <c r="B18" s="2942" t="s">
        <v>3373</v>
      </c>
      <c r="C18" s="2942" t="s">
        <v>3535</v>
      </c>
      <c r="D18" s="2942" t="s">
        <v>3375</v>
      </c>
      <c r="E18" s="2942">
        <v>2958</v>
      </c>
      <c r="F18" s="2942">
        <v>4437</v>
      </c>
      <c r="G18" s="2942" t="s">
        <v>3557</v>
      </c>
      <c r="H18" s="2942" t="s">
        <v>3558</v>
      </c>
      <c r="I18" s="2942" t="s">
        <v>3559</v>
      </c>
      <c r="J18" s="2942">
        <v>1784</v>
      </c>
      <c r="K18" s="2942">
        <v>4020.73</v>
      </c>
      <c r="L18" s="2942">
        <v>0</v>
      </c>
      <c r="M18" s="2942" t="s">
        <v>3379</v>
      </c>
    </row>
    <row r="19" spans="1:13">
      <c r="A19" s="2942" t="s">
        <v>3669</v>
      </c>
      <c r="B19" s="2942" t="s">
        <v>3373</v>
      </c>
      <c r="C19" s="2942" t="s">
        <v>3535</v>
      </c>
      <c r="D19" s="2942" t="s">
        <v>3375</v>
      </c>
      <c r="E19" s="2942">
        <v>18125</v>
      </c>
      <c r="F19" s="2942">
        <v>70687.5</v>
      </c>
      <c r="G19" s="2942" t="s">
        <v>3670</v>
      </c>
      <c r="H19" s="2942" t="s">
        <v>3671</v>
      </c>
      <c r="I19" s="2942" t="s">
        <v>3672</v>
      </c>
      <c r="J19" s="2942">
        <v>26000</v>
      </c>
      <c r="K19" s="2942">
        <v>3678.15</v>
      </c>
      <c r="L19" s="2942">
        <v>145.19</v>
      </c>
      <c r="M19" s="2942" t="s">
        <v>3379</v>
      </c>
    </row>
    <row r="20" spans="1:13">
      <c r="A20" s="2942" t="s">
        <v>3614</v>
      </c>
      <c r="B20" s="2942" t="s">
        <v>3373</v>
      </c>
      <c r="C20" s="2942" t="s">
        <v>3535</v>
      </c>
      <c r="D20" s="2942" t="s">
        <v>3375</v>
      </c>
      <c r="E20" s="2942">
        <v>18823</v>
      </c>
      <c r="F20" s="2942">
        <v>65880.5</v>
      </c>
      <c r="G20" s="2942" t="s">
        <v>3615</v>
      </c>
      <c r="H20" s="2942" t="s">
        <v>3616</v>
      </c>
      <c r="I20" s="2942" t="s">
        <v>3617</v>
      </c>
      <c r="J20" s="2942">
        <v>22739</v>
      </c>
      <c r="K20" s="2942">
        <v>3451.55</v>
      </c>
      <c r="L20" s="2942">
        <v>0</v>
      </c>
      <c r="M20" s="2942" t="s">
        <v>3379</v>
      </c>
    </row>
    <row r="21" spans="1:13">
      <c r="A21" s="3188" t="s">
        <v>3534</v>
      </c>
      <c r="B21" s="3188" t="s">
        <v>3373</v>
      </c>
      <c r="C21" s="3188" t="s">
        <v>3535</v>
      </c>
      <c r="D21" s="3188" t="s">
        <v>3407</v>
      </c>
      <c r="E21" s="3188">
        <v>164676</v>
      </c>
      <c r="F21" s="3188">
        <v>241000</v>
      </c>
      <c r="G21" s="3188" t="s">
        <v>3536</v>
      </c>
      <c r="H21" s="3188" t="s">
        <v>3537</v>
      </c>
      <c r="I21" s="3188" t="s">
        <v>3538</v>
      </c>
      <c r="J21" s="3188">
        <v>82959</v>
      </c>
      <c r="K21" s="3188">
        <v>3442.28</v>
      </c>
      <c r="L21" s="3188">
        <v>0</v>
      </c>
      <c r="M21" s="3188" t="s">
        <v>3379</v>
      </c>
    </row>
    <row r="22" spans="1:13">
      <c r="A22" s="2942" t="s">
        <v>3585</v>
      </c>
      <c r="B22" s="2942" t="s">
        <v>3373</v>
      </c>
      <c r="C22" s="2942" t="s">
        <v>3535</v>
      </c>
      <c r="D22" s="2942" t="s">
        <v>3375</v>
      </c>
      <c r="E22" s="2942">
        <v>3514.21</v>
      </c>
      <c r="F22" s="2942">
        <v>3438.07</v>
      </c>
      <c r="G22" s="2942" t="s">
        <v>3586</v>
      </c>
      <c r="H22" s="2942" t="s">
        <v>3587</v>
      </c>
      <c r="I22" s="2942" t="s">
        <v>3588</v>
      </c>
      <c r="J22" s="2942">
        <v>1100</v>
      </c>
      <c r="K22" s="2942">
        <v>3199.46</v>
      </c>
      <c r="L22" s="2942">
        <v>0.64</v>
      </c>
      <c r="M22" s="2942" t="s">
        <v>3589</v>
      </c>
    </row>
    <row r="23" spans="1:13" s="3188" customFormat="1">
      <c r="A23" s="3188" t="s">
        <v>3590</v>
      </c>
      <c r="B23" s="3188" t="s">
        <v>3373</v>
      </c>
      <c r="C23" s="3188" t="s">
        <v>3535</v>
      </c>
      <c r="D23" s="3188" t="s">
        <v>3375</v>
      </c>
      <c r="E23" s="3188">
        <v>51641.5</v>
      </c>
      <c r="F23" s="3188">
        <v>68400.89</v>
      </c>
      <c r="G23" s="3188" t="s">
        <v>3591</v>
      </c>
      <c r="H23" s="3188" t="s">
        <v>3587</v>
      </c>
      <c r="I23" s="3188" t="s">
        <v>3592</v>
      </c>
      <c r="J23" s="3188">
        <v>20920</v>
      </c>
      <c r="K23" s="3188">
        <v>3058.44</v>
      </c>
      <c r="L23" s="3188">
        <v>0</v>
      </c>
      <c r="M23" s="3188" t="s">
        <v>3589</v>
      </c>
    </row>
    <row r="24" spans="1:13" s="3188" customFormat="1">
      <c r="A24" s="3188" t="s">
        <v>3610</v>
      </c>
      <c r="B24" s="3188" t="s">
        <v>3373</v>
      </c>
      <c r="C24" s="3188" t="s">
        <v>3535</v>
      </c>
      <c r="D24" s="3188" t="s">
        <v>3407</v>
      </c>
      <c r="E24" s="3188">
        <v>11250</v>
      </c>
      <c r="F24" s="3188">
        <v>45016</v>
      </c>
      <c r="G24" s="3188" t="s">
        <v>3611</v>
      </c>
      <c r="H24" s="3188" t="s">
        <v>3612</v>
      </c>
      <c r="I24" s="3188" t="s">
        <v>3613</v>
      </c>
      <c r="J24" s="3188">
        <v>13737</v>
      </c>
      <c r="K24" s="3188">
        <v>3051.57</v>
      </c>
      <c r="L24" s="3188">
        <v>0</v>
      </c>
      <c r="M24" s="3188" t="s">
        <v>3707</v>
      </c>
    </row>
    <row r="25" spans="1:13">
      <c r="A25" s="2942" t="s">
        <v>3618</v>
      </c>
      <c r="B25" s="2942" t="s">
        <v>3373</v>
      </c>
      <c r="C25" s="2942" t="s">
        <v>3535</v>
      </c>
      <c r="D25" s="2942" t="s">
        <v>3375</v>
      </c>
      <c r="E25" s="2942">
        <v>16469</v>
      </c>
      <c r="F25" s="2942">
        <v>49400</v>
      </c>
      <c r="G25" s="2942" t="s">
        <v>3512</v>
      </c>
      <c r="H25" s="2942" t="s">
        <v>3619</v>
      </c>
      <c r="I25" s="2942" t="s">
        <v>3620</v>
      </c>
      <c r="J25" s="2942">
        <v>14921</v>
      </c>
      <c r="K25" s="2942">
        <v>3020.44</v>
      </c>
      <c r="L25" s="2942">
        <v>0</v>
      </c>
      <c r="M25" s="2942" t="s">
        <v>3379</v>
      </c>
    </row>
    <row r="26" spans="1:13">
      <c r="A26" s="3188" t="s">
        <v>3550</v>
      </c>
      <c r="B26" s="3188" t="s">
        <v>3373</v>
      </c>
      <c r="C26" s="3188" t="s">
        <v>3535</v>
      </c>
      <c r="D26" s="3188" t="s">
        <v>3375</v>
      </c>
      <c r="E26" s="3188">
        <v>8035</v>
      </c>
      <c r="F26" s="3188">
        <v>16070</v>
      </c>
      <c r="G26" s="3188" t="s">
        <v>3551</v>
      </c>
      <c r="H26" s="3188" t="s">
        <v>3438</v>
      </c>
      <c r="I26" s="3188" t="s">
        <v>3552</v>
      </c>
      <c r="J26" s="3188">
        <v>4764</v>
      </c>
      <c r="K26" s="3188">
        <v>2964.53</v>
      </c>
      <c r="L26" s="3188">
        <v>0</v>
      </c>
      <c r="M26" s="3188" t="s">
        <v>3379</v>
      </c>
    </row>
    <row r="27" spans="1:13">
      <c r="A27" s="2942" t="s">
        <v>3573</v>
      </c>
      <c r="B27" s="2942" t="s">
        <v>3373</v>
      </c>
      <c r="C27" s="2942" t="s">
        <v>3535</v>
      </c>
      <c r="D27" s="2942" t="s">
        <v>3375</v>
      </c>
      <c r="E27" s="2942">
        <v>41798.160000000003</v>
      </c>
      <c r="F27" s="2942">
        <v>55288.53</v>
      </c>
      <c r="G27" s="2942" t="s">
        <v>3574</v>
      </c>
      <c r="H27" s="2942" t="s">
        <v>3575</v>
      </c>
      <c r="I27" s="2942" t="s">
        <v>3576</v>
      </c>
      <c r="J27" s="2942">
        <v>15675</v>
      </c>
      <c r="K27" s="2942">
        <v>2835.13</v>
      </c>
      <c r="L27" s="2942">
        <v>0</v>
      </c>
      <c r="M27" s="2942" t="s">
        <v>3379</v>
      </c>
    </row>
    <row r="28" spans="1:13">
      <c r="A28" s="2942" t="s">
        <v>3630</v>
      </c>
      <c r="B28" s="2942" t="s">
        <v>3373</v>
      </c>
      <c r="C28" s="2942" t="s">
        <v>3535</v>
      </c>
      <c r="D28" s="2942" t="s">
        <v>3375</v>
      </c>
      <c r="E28" s="2942">
        <v>466845</v>
      </c>
      <c r="F28" s="2942">
        <v>947786</v>
      </c>
      <c r="G28" s="2942" t="s">
        <v>3631</v>
      </c>
      <c r="H28" s="2942" t="s">
        <v>3632</v>
      </c>
      <c r="I28" s="2942" t="s">
        <v>3633</v>
      </c>
      <c r="J28" s="2942">
        <v>230465</v>
      </c>
      <c r="K28" s="2942">
        <v>2431.61</v>
      </c>
      <c r="L28" s="2942">
        <v>0</v>
      </c>
      <c r="M28" s="2942" t="s">
        <v>3379</v>
      </c>
    </row>
    <row r="29" spans="1:13">
      <c r="A29" s="2942" t="s">
        <v>3693</v>
      </c>
      <c r="B29" s="2942" t="s">
        <v>3373</v>
      </c>
      <c r="C29" s="2942" t="s">
        <v>3535</v>
      </c>
      <c r="D29" s="2942" t="s">
        <v>3407</v>
      </c>
      <c r="E29" s="2942">
        <v>29370</v>
      </c>
      <c r="F29" s="2942">
        <v>58740</v>
      </c>
      <c r="G29" s="2942" t="s">
        <v>3694</v>
      </c>
      <c r="H29" s="2942" t="s">
        <v>3695</v>
      </c>
      <c r="I29" s="2942" t="s">
        <v>3696</v>
      </c>
      <c r="J29" s="2942">
        <v>14157</v>
      </c>
      <c r="K29" s="2942">
        <v>2410.11</v>
      </c>
      <c r="L29" s="2942">
        <v>0</v>
      </c>
      <c r="M29" s="2942" t="s">
        <v>3379</v>
      </c>
    </row>
    <row r="30" spans="1:13">
      <c r="A30" s="2942" t="s">
        <v>3623</v>
      </c>
      <c r="B30" s="2942" t="s">
        <v>3373</v>
      </c>
      <c r="C30" s="2942" t="s">
        <v>3535</v>
      </c>
      <c r="D30" s="2942" t="s">
        <v>3375</v>
      </c>
      <c r="E30" s="2942">
        <v>35142</v>
      </c>
      <c r="F30" s="2942">
        <v>112455.4</v>
      </c>
      <c r="G30" s="2942" t="s">
        <v>3561</v>
      </c>
      <c r="H30" s="2942" t="s">
        <v>3624</v>
      </c>
      <c r="I30" s="2942" t="s">
        <v>3625</v>
      </c>
      <c r="J30" s="2942">
        <v>25338</v>
      </c>
      <c r="K30" s="2942">
        <v>2253.15</v>
      </c>
      <c r="L30" s="2942">
        <v>0</v>
      </c>
      <c r="M30" s="2942" t="s">
        <v>3198</v>
      </c>
    </row>
    <row r="31" spans="1:13">
      <c r="A31" s="2942" t="s">
        <v>3560</v>
      </c>
      <c r="B31" s="2942" t="s">
        <v>3373</v>
      </c>
      <c r="C31" s="2942" t="s">
        <v>3535</v>
      </c>
      <c r="D31" s="2942" t="s">
        <v>3375</v>
      </c>
      <c r="E31" s="2942">
        <v>57059</v>
      </c>
      <c r="F31" s="2942">
        <v>182118.5</v>
      </c>
      <c r="G31" s="2942" t="s">
        <v>3561</v>
      </c>
      <c r="H31" s="2942" t="s">
        <v>3562</v>
      </c>
      <c r="I31" s="2942" t="s">
        <v>3563</v>
      </c>
      <c r="J31" s="2942">
        <v>31807</v>
      </c>
      <c r="K31" s="2942">
        <v>1746.5</v>
      </c>
      <c r="L31" s="2942">
        <v>0</v>
      </c>
      <c r="M31" s="2942" t="s">
        <v>3564</v>
      </c>
    </row>
    <row r="32" spans="1:13">
      <c r="A32" s="2942" t="s">
        <v>3546</v>
      </c>
      <c r="B32" s="2942" t="s">
        <v>3373</v>
      </c>
      <c r="C32" s="2942" t="s">
        <v>3535</v>
      </c>
      <c r="D32" s="2942" t="s">
        <v>3407</v>
      </c>
      <c r="E32" s="2942">
        <v>58099</v>
      </c>
      <c r="F32" s="2942">
        <v>116198</v>
      </c>
      <c r="G32" s="2942" t="s">
        <v>3547</v>
      </c>
      <c r="H32" s="2942" t="s">
        <v>3548</v>
      </c>
      <c r="I32" s="2942" t="s">
        <v>3549</v>
      </c>
      <c r="J32" s="2942">
        <v>19464</v>
      </c>
      <c r="K32" s="2942">
        <v>1675.06</v>
      </c>
      <c r="L32" s="2942">
        <v>0</v>
      </c>
      <c r="M32" s="2942" t="s">
        <v>3379</v>
      </c>
    </row>
    <row r="33" spans="1:13">
      <c r="A33" s="2942" t="s">
        <v>3690</v>
      </c>
      <c r="B33" s="2942" t="s">
        <v>3373</v>
      </c>
      <c r="C33" s="2942" t="s">
        <v>3535</v>
      </c>
      <c r="D33" s="2942" t="s">
        <v>3375</v>
      </c>
      <c r="E33" s="2942">
        <v>24159</v>
      </c>
      <c r="F33" s="2942">
        <v>60398</v>
      </c>
      <c r="G33" s="2942" t="s">
        <v>3198</v>
      </c>
      <c r="H33" s="2942" t="s">
        <v>3691</v>
      </c>
      <c r="I33" s="2942" t="s">
        <v>3692</v>
      </c>
      <c r="J33" s="2942">
        <v>10100</v>
      </c>
      <c r="K33" s="2942">
        <v>1672.24</v>
      </c>
      <c r="L33" s="2942">
        <v>16.12</v>
      </c>
      <c r="M33" s="2942" t="s">
        <v>3379</v>
      </c>
    </row>
    <row r="34" spans="1:13">
      <c r="A34" s="2942" t="s">
        <v>3634</v>
      </c>
      <c r="B34" s="2942" t="s">
        <v>3373</v>
      </c>
      <c r="C34" s="2942" t="s">
        <v>3535</v>
      </c>
      <c r="D34" s="2942" t="s">
        <v>3375</v>
      </c>
      <c r="E34" s="2942">
        <v>19832</v>
      </c>
      <c r="F34" s="2942">
        <v>49580.75</v>
      </c>
      <c r="G34" s="2942" t="s">
        <v>3635</v>
      </c>
      <c r="H34" s="2942" t="s">
        <v>3636</v>
      </c>
      <c r="I34" s="2942" t="s">
        <v>3637</v>
      </c>
      <c r="J34" s="2942">
        <v>7933</v>
      </c>
      <c r="K34" s="2942">
        <v>1600.01</v>
      </c>
      <c r="L34" s="2942">
        <v>0</v>
      </c>
      <c r="M34" s="2942" t="s">
        <v>3198</v>
      </c>
    </row>
    <row r="35" spans="1:13">
      <c r="A35" s="2942" t="s">
        <v>3593</v>
      </c>
      <c r="B35" s="2942" t="s">
        <v>3373</v>
      </c>
      <c r="C35" s="2942" t="s">
        <v>3535</v>
      </c>
      <c r="D35" s="2942" t="s">
        <v>3375</v>
      </c>
      <c r="E35" s="2942">
        <v>147679</v>
      </c>
      <c r="F35" s="2942">
        <v>324894</v>
      </c>
      <c r="G35" s="2942" t="s">
        <v>3594</v>
      </c>
      <c r="H35" s="2942" t="s">
        <v>3595</v>
      </c>
      <c r="I35" s="2942" t="s">
        <v>3596</v>
      </c>
      <c r="J35" s="2942">
        <v>50403</v>
      </c>
      <c r="K35" s="2942">
        <v>1551.36</v>
      </c>
      <c r="L35" s="2942">
        <v>0</v>
      </c>
      <c r="M35" s="2942" t="s">
        <v>3379</v>
      </c>
    </row>
    <row r="36" spans="1:13">
      <c r="A36" s="2942" t="s">
        <v>3642</v>
      </c>
      <c r="B36" s="2942" t="s">
        <v>3373</v>
      </c>
      <c r="C36" s="2942" t="s">
        <v>3535</v>
      </c>
      <c r="D36" s="2942" t="s">
        <v>3375</v>
      </c>
      <c r="E36" s="2942">
        <v>13806</v>
      </c>
      <c r="F36" s="2942">
        <v>10956</v>
      </c>
      <c r="G36" s="2942">
        <v>0.79</v>
      </c>
      <c r="H36" s="2942" t="s">
        <v>3643</v>
      </c>
      <c r="I36" s="2942" t="s">
        <v>3644</v>
      </c>
      <c r="J36" s="2942">
        <v>1689</v>
      </c>
      <c r="K36" s="2942">
        <v>1541.61</v>
      </c>
      <c r="L36" s="2942">
        <v>0</v>
      </c>
      <c r="M36" s="2942" t="s">
        <v>3379</v>
      </c>
    </row>
    <row r="37" spans="1:13">
      <c r="A37" s="2942" t="s">
        <v>3697</v>
      </c>
      <c r="B37" s="2942" t="s">
        <v>3373</v>
      </c>
      <c r="C37" s="2942" t="s">
        <v>3535</v>
      </c>
      <c r="D37" s="2942" t="s">
        <v>3407</v>
      </c>
      <c r="E37" s="2942">
        <v>146926</v>
      </c>
      <c r="F37" s="2942">
        <v>146926</v>
      </c>
      <c r="G37" s="2942" t="s">
        <v>3698</v>
      </c>
      <c r="H37" s="2942" t="s">
        <v>3699</v>
      </c>
      <c r="I37" s="2942" t="s">
        <v>3700</v>
      </c>
      <c r="J37" s="2942">
        <v>22039</v>
      </c>
      <c r="K37" s="2942">
        <v>1500</v>
      </c>
      <c r="L37" s="2942">
        <v>0</v>
      </c>
      <c r="M37" s="2942" t="s">
        <v>3379</v>
      </c>
    </row>
    <row r="38" spans="1:13">
      <c r="A38" s="2942" t="s">
        <v>3545</v>
      </c>
      <c r="B38" s="2942" t="s">
        <v>3373</v>
      </c>
      <c r="C38" s="2942" t="s">
        <v>3535</v>
      </c>
      <c r="D38" s="2942" t="s">
        <v>3407</v>
      </c>
      <c r="E38" s="2942">
        <v>103271</v>
      </c>
      <c r="F38" s="2942">
        <v>185887.8</v>
      </c>
      <c r="G38" s="2942" t="s">
        <v>3388</v>
      </c>
      <c r="H38" s="2942" t="s">
        <v>3389</v>
      </c>
      <c r="I38" s="2942" t="s">
        <v>3544</v>
      </c>
      <c r="J38" s="2942">
        <v>27060</v>
      </c>
      <c r="K38" s="2942">
        <v>1455.72</v>
      </c>
      <c r="L38" s="2942">
        <v>0</v>
      </c>
      <c r="M38" s="2942" t="s">
        <v>3379</v>
      </c>
    </row>
    <row r="39" spans="1:13">
      <c r="A39" s="2942" t="s">
        <v>3676</v>
      </c>
      <c r="B39" s="2942" t="s">
        <v>3373</v>
      </c>
      <c r="C39" s="2942" t="s">
        <v>3535</v>
      </c>
      <c r="D39" s="2942" t="s">
        <v>3407</v>
      </c>
      <c r="E39" s="2942">
        <v>20904</v>
      </c>
      <c r="F39" s="2942">
        <v>125424</v>
      </c>
      <c r="G39" s="2942" t="s">
        <v>3677</v>
      </c>
      <c r="H39" s="2942" t="s">
        <v>3678</v>
      </c>
      <c r="I39" s="2942" t="s">
        <v>3679</v>
      </c>
      <c r="J39" s="2942">
        <v>17790</v>
      </c>
      <c r="K39" s="2942">
        <v>1418.39</v>
      </c>
      <c r="L39" s="2942">
        <v>0</v>
      </c>
      <c r="M39" s="2942" t="s">
        <v>3379</v>
      </c>
    </row>
    <row r="40" spans="1:13">
      <c r="A40" s="2942" t="s">
        <v>3603</v>
      </c>
      <c r="B40" s="2942" t="s">
        <v>3373</v>
      </c>
      <c r="C40" s="2942" t="s">
        <v>3535</v>
      </c>
      <c r="D40" s="2942" t="s">
        <v>3375</v>
      </c>
      <c r="E40" s="2942">
        <v>134308</v>
      </c>
      <c r="F40" s="2942">
        <v>201462</v>
      </c>
      <c r="G40" s="2942" t="s">
        <v>3601</v>
      </c>
      <c r="H40" s="2942" t="s">
        <v>3598</v>
      </c>
      <c r="I40" s="2942" t="s">
        <v>3604</v>
      </c>
      <c r="J40" s="2942">
        <v>24176</v>
      </c>
      <c r="K40" s="2942">
        <v>1200.02</v>
      </c>
      <c r="L40" s="2942">
        <v>0</v>
      </c>
      <c r="M40" s="2942" t="s">
        <v>3379</v>
      </c>
    </row>
    <row r="41" spans="1:13">
      <c r="A41" s="2942" t="s">
        <v>3600</v>
      </c>
      <c r="B41" s="2942" t="s">
        <v>3373</v>
      </c>
      <c r="C41" s="2942" t="s">
        <v>3535</v>
      </c>
      <c r="D41" s="2942" t="s">
        <v>3375</v>
      </c>
      <c r="E41" s="2942">
        <v>334035</v>
      </c>
      <c r="F41" s="2942">
        <v>501053</v>
      </c>
      <c r="G41" s="2942" t="s">
        <v>3601</v>
      </c>
      <c r="H41" s="2942" t="s">
        <v>3598</v>
      </c>
      <c r="I41" s="2942" t="s">
        <v>3596</v>
      </c>
      <c r="J41" s="2942">
        <v>60127</v>
      </c>
      <c r="K41" s="2942">
        <v>1200</v>
      </c>
      <c r="L41" s="2942">
        <v>0</v>
      </c>
      <c r="M41" s="2942" t="s">
        <v>3379</v>
      </c>
    </row>
    <row r="42" spans="1:13">
      <c r="A42" s="2942" t="s">
        <v>3581</v>
      </c>
      <c r="B42" s="2942" t="s">
        <v>3373</v>
      </c>
      <c r="C42" s="2942" t="s">
        <v>3535</v>
      </c>
      <c r="D42" s="2942" t="s">
        <v>3375</v>
      </c>
      <c r="E42" s="2942">
        <v>42851</v>
      </c>
      <c r="F42" s="2942">
        <v>42851</v>
      </c>
      <c r="G42" s="2942" t="s">
        <v>3582</v>
      </c>
      <c r="H42" s="2942" t="s">
        <v>3583</v>
      </c>
      <c r="I42" s="2942" t="s">
        <v>3584</v>
      </c>
      <c r="J42" s="2942">
        <v>4757</v>
      </c>
      <c r="K42" s="2942">
        <v>1110.1300000000001</v>
      </c>
      <c r="L42" s="2942">
        <v>0</v>
      </c>
      <c r="M42" s="2942" t="s">
        <v>3379</v>
      </c>
    </row>
    <row r="43" spans="1:13">
      <c r="A43" s="2942" t="s">
        <v>3651</v>
      </c>
      <c r="B43" s="2942" t="s">
        <v>3373</v>
      </c>
      <c r="C43" s="2942" t="s">
        <v>3535</v>
      </c>
      <c r="D43" s="2942" t="s">
        <v>3375</v>
      </c>
      <c r="E43" s="2942">
        <v>51875</v>
      </c>
      <c r="F43" s="2942">
        <v>93375</v>
      </c>
      <c r="G43" s="2942" t="s">
        <v>3652</v>
      </c>
      <c r="H43" s="2942" t="s">
        <v>3653</v>
      </c>
      <c r="I43" s="2942" t="s">
        <v>3654</v>
      </c>
      <c r="J43" s="2942">
        <v>9448</v>
      </c>
      <c r="K43" s="2942">
        <v>1011.83</v>
      </c>
      <c r="L43" s="2942">
        <v>0</v>
      </c>
      <c r="M43" s="2942" t="s">
        <v>3655</v>
      </c>
    </row>
    <row r="44" spans="1:13">
      <c r="A44" s="2942" t="s">
        <v>3673</v>
      </c>
      <c r="B44" s="2942" t="s">
        <v>3373</v>
      </c>
      <c r="C44" s="2942" t="s">
        <v>3535</v>
      </c>
      <c r="D44" s="2942" t="s">
        <v>3375</v>
      </c>
      <c r="E44" s="2942">
        <v>31318</v>
      </c>
      <c r="F44" s="2942">
        <v>46977</v>
      </c>
      <c r="G44" s="2942" t="s">
        <v>3408</v>
      </c>
      <c r="H44" s="2942" t="s">
        <v>3674</v>
      </c>
      <c r="I44" s="2942" t="s">
        <v>3675</v>
      </c>
      <c r="J44" s="2942">
        <v>4734</v>
      </c>
      <c r="K44" s="2942">
        <v>1007.73</v>
      </c>
      <c r="L44" s="2942">
        <v>0</v>
      </c>
      <c r="M44" s="2942" t="s">
        <v>3379</v>
      </c>
    </row>
    <row r="45" spans="1:13">
      <c r="A45" s="2942" t="s">
        <v>3656</v>
      </c>
      <c r="B45" s="2942" t="s">
        <v>3373</v>
      </c>
      <c r="C45" s="2942" t="s">
        <v>3535</v>
      </c>
      <c r="D45" s="2942" t="s">
        <v>3375</v>
      </c>
      <c r="E45" s="2942">
        <v>86441</v>
      </c>
      <c r="F45" s="2942">
        <v>259323</v>
      </c>
      <c r="G45" s="2942" t="s">
        <v>3393</v>
      </c>
      <c r="H45" s="2942" t="s">
        <v>3657</v>
      </c>
      <c r="I45" s="2942" t="s">
        <v>3658</v>
      </c>
      <c r="J45" s="2942">
        <v>26116</v>
      </c>
      <c r="K45" s="2942">
        <v>1007.08</v>
      </c>
      <c r="L45" s="2942">
        <v>0</v>
      </c>
      <c r="M45" s="2942" t="s">
        <v>3379</v>
      </c>
    </row>
    <row r="46" spans="1:13">
      <c r="A46" s="2942" t="s">
        <v>3649</v>
      </c>
      <c r="B46" s="2942" t="s">
        <v>3373</v>
      </c>
      <c r="C46" s="2942" t="s">
        <v>3535</v>
      </c>
      <c r="D46" s="2942" t="s">
        <v>3375</v>
      </c>
      <c r="E46" s="2942">
        <v>125072</v>
      </c>
      <c r="F46" s="2942">
        <v>125072</v>
      </c>
      <c r="G46" s="2942">
        <v>1</v>
      </c>
      <c r="H46" s="2942" t="s">
        <v>3650</v>
      </c>
      <c r="I46" s="2942" t="s">
        <v>3644</v>
      </c>
      <c r="J46" s="2942">
        <v>11257</v>
      </c>
      <c r="K46" s="2942">
        <v>900.03</v>
      </c>
      <c r="L46" s="2942">
        <v>0</v>
      </c>
      <c r="M46" s="2942" t="s">
        <v>3379</v>
      </c>
    </row>
    <row r="47" spans="1:13">
      <c r="A47" s="2942" t="s">
        <v>3543</v>
      </c>
      <c r="B47" s="2942" t="s">
        <v>3373</v>
      </c>
      <c r="C47" s="2942" t="s">
        <v>3535</v>
      </c>
      <c r="D47" s="2942" t="s">
        <v>3407</v>
      </c>
      <c r="E47" s="2942">
        <v>137630</v>
      </c>
      <c r="F47" s="2942">
        <v>247734</v>
      </c>
      <c r="G47" s="2942" t="s">
        <v>3388</v>
      </c>
      <c r="H47" s="2942" t="s">
        <v>3389</v>
      </c>
      <c r="I47" s="2942" t="s">
        <v>3544</v>
      </c>
      <c r="J47" s="2942">
        <v>18236</v>
      </c>
      <c r="K47" s="2942">
        <v>736.11</v>
      </c>
      <c r="L47" s="2942">
        <v>0</v>
      </c>
      <c r="M47" s="2942" t="s">
        <v>3379</v>
      </c>
    </row>
    <row r="48" spans="1:13">
      <c r="A48" s="2942" t="s">
        <v>3605</v>
      </c>
      <c r="B48" s="2942" t="s">
        <v>3373</v>
      </c>
      <c r="C48" s="2942" t="s">
        <v>3535</v>
      </c>
      <c r="D48" s="2942" t="s">
        <v>3375</v>
      </c>
      <c r="E48" s="2942">
        <v>124621</v>
      </c>
      <c r="F48" s="2942">
        <v>191620</v>
      </c>
      <c r="G48" s="2942" t="s">
        <v>3606</v>
      </c>
      <c r="H48" s="2942" t="s">
        <v>3496</v>
      </c>
      <c r="I48" s="2942" t="s">
        <v>3497</v>
      </c>
      <c r="J48" s="2942">
        <v>12904</v>
      </c>
      <c r="K48" s="2942">
        <v>673.41</v>
      </c>
      <c r="L48" s="2942">
        <v>0</v>
      </c>
      <c r="M48" s="2942" t="s">
        <v>3379</v>
      </c>
    </row>
    <row r="49" spans="1:13">
      <c r="A49" s="2942" t="s">
        <v>3666</v>
      </c>
      <c r="B49" s="2942" t="s">
        <v>3373</v>
      </c>
      <c r="C49" s="2942" t="s">
        <v>3535</v>
      </c>
      <c r="D49" s="2942" t="s">
        <v>3375</v>
      </c>
      <c r="E49" s="2942">
        <v>55634</v>
      </c>
      <c r="F49" s="2942">
        <v>83451</v>
      </c>
      <c r="G49" s="2942" t="s">
        <v>3667</v>
      </c>
      <c r="H49" s="2942" t="s">
        <v>3664</v>
      </c>
      <c r="I49" s="2942" t="s">
        <v>3668</v>
      </c>
      <c r="J49" s="2942">
        <v>5010</v>
      </c>
      <c r="K49" s="2942">
        <v>600.35</v>
      </c>
      <c r="L49" s="2942">
        <v>0</v>
      </c>
      <c r="M49" s="2942" t="s">
        <v>3379</v>
      </c>
    </row>
    <row r="50" spans="1:13">
      <c r="A50" s="2942" t="s">
        <v>3626</v>
      </c>
      <c r="B50" s="2942" t="s">
        <v>3373</v>
      </c>
      <c r="C50" s="2942" t="s">
        <v>3535</v>
      </c>
      <c r="D50" s="2942" t="s">
        <v>3375</v>
      </c>
      <c r="E50" s="2942">
        <v>628655</v>
      </c>
      <c r="F50" s="2942">
        <v>628655</v>
      </c>
      <c r="G50" s="2942" t="s">
        <v>3627</v>
      </c>
      <c r="H50" s="2942" t="s">
        <v>3628</v>
      </c>
      <c r="I50" s="2942" t="s">
        <v>3629</v>
      </c>
      <c r="J50" s="2942">
        <v>36871</v>
      </c>
      <c r="K50" s="2942">
        <v>586.5</v>
      </c>
      <c r="L50" s="2942">
        <v>0</v>
      </c>
      <c r="M50" s="2942" t="s">
        <v>3379</v>
      </c>
    </row>
    <row r="51" spans="1:13">
      <c r="A51" s="2942" t="s">
        <v>3663</v>
      </c>
      <c r="B51" s="2942" t="s">
        <v>3373</v>
      </c>
      <c r="C51" s="2942" t="s">
        <v>3535</v>
      </c>
      <c r="D51" s="2942" t="s">
        <v>3407</v>
      </c>
      <c r="E51" s="2942">
        <v>87226</v>
      </c>
      <c r="F51" s="2942">
        <v>157006.79999999999</v>
      </c>
      <c r="G51" s="2942" t="s">
        <v>3652</v>
      </c>
      <c r="H51" s="2942" t="s">
        <v>3664</v>
      </c>
      <c r="I51" s="2942" t="s">
        <v>3665</v>
      </c>
      <c r="J51" s="2942">
        <v>9154</v>
      </c>
      <c r="K51" s="2942">
        <v>583.02</v>
      </c>
      <c r="L51" s="2942">
        <v>0</v>
      </c>
      <c r="M51" s="2942" t="s">
        <v>3379</v>
      </c>
    </row>
  </sheetData>
  <sortState ref="A2:M51">
    <sortCondition descending="1" ref="K1"/>
  </sortState>
  <phoneticPr fontId="269"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51765</v>
      </c>
      <c r="C2" s="2123"/>
      <c r="D2" s="2123"/>
      <c r="E2" s="2123"/>
      <c r="F2" s="2123"/>
      <c r="G2" s="2123"/>
      <c r="H2" s="2123"/>
      <c r="I2" s="2123"/>
      <c r="J2" s="2123"/>
      <c r="K2" s="2123"/>
    </row>
    <row r="3" spans="1:31" s="2056" customFormat="1" ht="18" customHeight="1">
      <c r="A3" s="2125" t="s">
        <v>1982</v>
      </c>
      <c r="B3" s="2126">
        <f ca="1">ROUND(B2*10000/IF(B1="",'数据-汇总表'!E3,INDIRECT("'数据-取费表'!K"&amp;$K$1)),0)</f>
        <v>6755</v>
      </c>
      <c r="C3" s="2123"/>
      <c r="D3" s="2123"/>
      <c r="E3" s="2123"/>
      <c r="F3" s="2123"/>
      <c r="G3" s="2123"/>
      <c r="H3" s="2123"/>
      <c r="I3" s="2123"/>
      <c r="J3" s="2123"/>
      <c r="K3" s="2123"/>
    </row>
    <row r="4" spans="1:31" s="2056" customFormat="1" ht="18" customHeight="1">
      <c r="A4" s="431" t="s">
        <v>496</v>
      </c>
      <c r="B4" s="432">
        <f ca="1">ROUND(B2*10000/IF(B1="",'数据-汇总表'!D3,INDIRECT("'数据-取费表'!R"&amp;$K$1)),0)</f>
        <v>11068</v>
      </c>
      <c r="C4" s="433"/>
      <c r="D4" s="427"/>
      <c r="E4" s="427"/>
      <c r="F4" s="427"/>
      <c r="G4" s="427"/>
      <c r="H4" s="427"/>
      <c r="I4" s="427"/>
      <c r="J4" s="427"/>
      <c r="K4" s="427"/>
    </row>
    <row r="5" spans="1:31" s="2056" customFormat="1" ht="18" customHeight="1" thickBot="1">
      <c r="A5" s="434"/>
      <c r="B5" s="435">
        <f ca="1">ROUND(B2/(IF(B1="",'数据-汇总表'!D3,INDIRECT("'数据-取费表'!R"&amp;$K$1))/666.67),0)</f>
        <v>738</v>
      </c>
      <c r="C5" s="436" t="s">
        <v>497</v>
      </c>
      <c r="D5" s="427"/>
      <c r="E5" s="427"/>
      <c r="F5" s="427"/>
      <c r="G5" s="427"/>
      <c r="H5" s="427"/>
      <c r="I5" s="427"/>
      <c r="J5" s="427"/>
      <c r="K5" s="427"/>
    </row>
    <row r="6" spans="1:31" s="2130" customFormat="1" ht="16.5" customHeight="1">
      <c r="A6" s="3092" t="s">
        <v>2145</v>
      </c>
      <c r="B6" s="3093"/>
      <c r="C6" s="3094">
        <f>SUM(C10:K10)</f>
        <v>96635</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2148</v>
      </c>
      <c r="B8" s="3098" t="s">
        <v>500</v>
      </c>
      <c r="C8" s="3099">
        <f>'不动产比较法-住宅'!C48</f>
        <v>10338</v>
      </c>
      <c r="D8" s="3099">
        <f>'不动产比较法-办公'!B3</f>
        <v>12610</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2149</v>
      </c>
      <c r="B9" s="3098" t="s">
        <v>501</v>
      </c>
      <c r="C9" s="3101">
        <f>SUMIF('数据-汇总表'!$C19:$C33,'剩余法-待开发'!C7,'数据-汇总表'!$E19:$E33)</f>
        <v>0</v>
      </c>
      <c r="D9" s="3101">
        <f>SUMIF('数据-汇总表'!$C19:$C33,'剩余法-待开发'!D7,'数据-汇总表'!$E19:$E33)</f>
        <v>76634</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2150</v>
      </c>
      <c r="B10" s="3103" t="s">
        <v>502</v>
      </c>
      <c r="C10" s="3104">
        <f>ROUND(C8*C9/10000,0)</f>
        <v>0</v>
      </c>
      <c r="D10" s="3104">
        <f>'不动产比较法-办公'!B2</f>
        <v>96635</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2146</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2151</v>
      </c>
      <c r="B13" s="3115" t="s">
        <v>507</v>
      </c>
      <c r="C13" s="3116">
        <f ca="1">IF(B1="",'数据-取费表'!P16,INDIRECT("'数据-取费表'!p"&amp;$K$1)+INDIRECT("'数据-取费表'!t"&amp;$K$1))</f>
        <v>19159</v>
      </c>
      <c r="D13" s="3117"/>
      <c r="E13" s="812"/>
      <c r="F13" s="3118"/>
      <c r="G13" s="3109"/>
      <c r="H13" s="3112"/>
      <c r="I13" s="3112"/>
      <c r="J13" s="3112"/>
      <c r="K13" s="3113"/>
    </row>
    <row r="14" spans="1:31" s="2135" customFormat="1" ht="13.5" customHeight="1">
      <c r="A14" s="3114" t="s">
        <v>2152</v>
      </c>
      <c r="B14" s="3115" t="s">
        <v>508</v>
      </c>
      <c r="C14" s="17">
        <f ca="1">ROUND(C13*F14,0)</f>
        <v>575</v>
      </c>
      <c r="D14" s="3117"/>
      <c r="E14" s="812"/>
      <c r="F14" s="3119">
        <f>'数据-取费表'!B33</f>
        <v>0.03</v>
      </c>
      <c r="G14" s="3109" t="s">
        <v>509</v>
      </c>
      <c r="H14" s="3112"/>
      <c r="I14" s="3112"/>
      <c r="J14" s="3112"/>
      <c r="K14" s="3113"/>
    </row>
    <row r="15" spans="1:31" s="2135" customFormat="1" ht="13.5" customHeight="1">
      <c r="A15" s="3114" t="s">
        <v>2153</v>
      </c>
      <c r="B15" s="3115" t="s">
        <v>510</v>
      </c>
      <c r="C15" s="17">
        <f ca="1">ROUND(IF(B1="",SUMIF('数据-取费表'!C:C,"住宅",'数据-取费表'!P:P)*F15,IF(INDIRECT("'数据-取费表'!c"&amp;$K$1)="住宅",INDIRECT("'数据-取费表'!P"&amp;$K$1)*F15,0)),0)</f>
        <v>0</v>
      </c>
      <c r="D15" s="3117"/>
      <c r="E15" s="812"/>
      <c r="F15" s="3119">
        <f>'数据-取费表'!B34</f>
        <v>0</v>
      </c>
      <c r="G15" s="3109" t="s">
        <v>511</v>
      </c>
      <c r="H15" s="3112"/>
      <c r="I15" s="3112"/>
      <c r="J15" s="3112"/>
      <c r="K15" s="3113"/>
    </row>
    <row r="16" spans="1:31" s="2136" customFormat="1" ht="13.5" customHeight="1">
      <c r="A16" s="3114" t="s">
        <v>2154</v>
      </c>
      <c r="B16" s="3115" t="s">
        <v>512</v>
      </c>
      <c r="C16" s="17">
        <f ca="1">ROUND(D16*E16/10000,0)</f>
        <v>1533</v>
      </c>
      <c r="D16" s="3117">
        <f ca="1">IF(B1="",'数据-汇总表'!E3,INDIRECT("'数据-取费表'!K"&amp;$K$1)+INDIRECT("'数据-取费表'!S"&amp;$K$1))</f>
        <v>76634</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2155</v>
      </c>
      <c r="B17" s="3115" t="s">
        <v>513</v>
      </c>
      <c r="C17" s="3120">
        <f ca="1">ROUND(C13*F17,0)</f>
        <v>287</v>
      </c>
      <c r="D17" s="3121"/>
      <c r="E17" s="3120"/>
      <c r="F17" s="3122">
        <f>'数据-取费表'!B36</f>
        <v>1.4999999999999999E-2</v>
      </c>
      <c r="G17" s="3098" t="s">
        <v>514</v>
      </c>
      <c r="H17" s="264"/>
      <c r="I17" s="264"/>
      <c r="J17" s="264"/>
      <c r="K17" s="3123"/>
    </row>
    <row r="18" spans="1:14" s="2135" customFormat="1" ht="13.5" customHeight="1">
      <c r="A18" s="3124" t="s">
        <v>2156</v>
      </c>
      <c r="B18" s="3125" t="s">
        <v>515</v>
      </c>
      <c r="C18" s="3126">
        <f ca="1">SUM(C13:C17)</f>
        <v>21554</v>
      </c>
      <c r="D18" s="3127"/>
      <c r="E18" s="3128"/>
      <c r="F18" s="3128"/>
      <c r="G18" s="3129" t="s">
        <v>2786</v>
      </c>
      <c r="H18" s="3130"/>
      <c r="I18" s="3130"/>
      <c r="J18" s="3130"/>
      <c r="K18" s="3131"/>
    </row>
    <row r="19" spans="1:14" s="2135" customFormat="1" ht="13.5" customHeight="1">
      <c r="A19" s="3124" t="s">
        <v>2157</v>
      </c>
      <c r="B19" s="3125" t="s">
        <v>516</v>
      </c>
      <c r="C19" s="3111">
        <f ca="1">ROUND(D19*E19/10000,0)</f>
        <v>0</v>
      </c>
      <c r="D19" s="3132">
        <f ca="1">D16</f>
        <v>76634</v>
      </c>
      <c r="E19" s="3111">
        <f>'数据-取费表'!B32</f>
        <v>0</v>
      </c>
      <c r="F19" s="3128"/>
      <c r="G19" s="3109" t="s">
        <v>517</v>
      </c>
      <c r="H19" s="3112"/>
      <c r="I19" s="3130"/>
      <c r="J19" s="3130"/>
      <c r="K19" s="3131"/>
    </row>
    <row r="20" spans="1:14" s="2135" customFormat="1" ht="13.5" customHeight="1">
      <c r="A20" s="3124" t="s">
        <v>2158</v>
      </c>
      <c r="B20" s="3125" t="s">
        <v>518</v>
      </c>
      <c r="C20" s="3111">
        <f ca="1">C21+C22-IF(B1="",'数据-取费表'!B29,IF(G20="已全部缴纳",C21+C22,H20))</f>
        <v>2222</v>
      </c>
      <c r="D20" s="3132"/>
      <c r="E20" s="3111"/>
      <c r="F20" s="3133"/>
      <c r="G20" s="3134" t="s">
        <v>3021</v>
      </c>
      <c r="H20" s="3135"/>
      <c r="I20" s="3136" t="s">
        <v>3022</v>
      </c>
      <c r="J20" s="3130"/>
      <c r="K20" s="3131"/>
    </row>
    <row r="21" spans="1:14" s="2135" customFormat="1" ht="13.5" customHeight="1">
      <c r="A21" s="3114" t="s">
        <v>2159</v>
      </c>
      <c r="B21" s="3115" t="s">
        <v>519</v>
      </c>
      <c r="C21" s="17">
        <f ca="1">ROUND(D21*E21/10000,0)</f>
        <v>0</v>
      </c>
      <c r="D21" s="3117">
        <f ca="1">IF(B1="",'数据-汇总表'!E5,IF(INDIRECT("'数据-取费表'!c"&amp;$K$1)="住宅",INDIRECT("'数据-取费表'!k"&amp;$K$1),0))</f>
        <v>0</v>
      </c>
      <c r="E21" s="17">
        <f>'数据-取费表'!B27</f>
        <v>290</v>
      </c>
      <c r="F21" s="3119"/>
      <c r="G21" s="3072"/>
      <c r="H21" s="3073"/>
      <c r="I21" s="3073"/>
      <c r="J21" s="3073"/>
      <c r="K21" s="3074"/>
    </row>
    <row r="22" spans="1:14" s="2135" customFormat="1" ht="13.5" customHeight="1">
      <c r="A22" s="3114" t="s">
        <v>2160</v>
      </c>
      <c r="B22" s="3115" t="s">
        <v>520</v>
      </c>
      <c r="C22" s="17">
        <f ca="1">ROUND(D22*E22/10000,0)</f>
        <v>2222</v>
      </c>
      <c r="D22" s="3117">
        <f ca="1">IF(B1="",'数据-汇总表'!E6,IF(INDIRECT("'数据-取费表'!c"&amp;$K$1)="住宅",INDIRECT("'数据-取费表'!s"&amp;$K$1),INDIRECT("'数据-取费表'!k"&amp;$K$1)+INDIRECT("'数据-取费表'!s"&amp;$K$1)))</f>
        <v>76634</v>
      </c>
      <c r="E22" s="17">
        <f>'数据-取费表'!B28</f>
        <v>290</v>
      </c>
      <c r="F22" s="3119"/>
      <c r="G22" s="3072"/>
      <c r="H22" s="3073"/>
      <c r="I22" s="3073"/>
      <c r="J22" s="3073"/>
      <c r="K22" s="3074"/>
    </row>
    <row r="23" spans="1:14" s="2135" customFormat="1" ht="13.5" customHeight="1">
      <c r="A23" s="3124" t="s">
        <v>2161</v>
      </c>
      <c r="B23" s="3137" t="s">
        <v>3216</v>
      </c>
      <c r="C23" s="3126">
        <f ca="1">ROUND((C18+C19+C20)*F23,0)</f>
        <v>357</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2162</v>
      </c>
      <c r="B24" s="3137" t="s">
        <v>3219</v>
      </c>
      <c r="C24" s="3126">
        <f>ROUND(C6*F24,0)</f>
        <v>1450</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2163</v>
      </c>
      <c r="B25" s="3137" t="s">
        <v>3217</v>
      </c>
      <c r="C25" s="3141">
        <f>ROUND(F25/(1+'数据-取费表'!B42),4)</f>
        <v>2.9000000000000001E-2</v>
      </c>
      <c r="D25" s="3142" t="s">
        <v>3211</v>
      </c>
      <c r="E25" s="3143"/>
      <c r="F25" s="3138">
        <f>'数据-取费表'!B48+'数据-取费表'!B49</f>
        <v>3.0499999999999999E-2</v>
      </c>
      <c r="G25" s="3144" t="s">
        <v>2605</v>
      </c>
      <c r="H25" s="3112"/>
      <c r="I25" s="3112"/>
      <c r="J25" s="3112"/>
      <c r="K25" s="3113"/>
    </row>
    <row r="26" spans="1:14" s="2137" customFormat="1" ht="13.5" customHeight="1">
      <c r="A26" s="3124" t="s">
        <v>2164</v>
      </c>
      <c r="B26" s="3145" t="s">
        <v>3218</v>
      </c>
      <c r="C26" s="3146">
        <f ca="1">C28</f>
        <v>906</v>
      </c>
      <c r="D26" s="3141">
        <f ca="1">C27</f>
        <v>7.4200000000000002E-2</v>
      </c>
      <c r="E26" s="3143" t="s">
        <v>523</v>
      </c>
      <c r="F26" s="3147">
        <f ca="1">'数据-取费表'!B40</f>
        <v>4.7500000000000001E-2</v>
      </c>
      <c r="G26" s="3148" t="str">
        <f>IF('数据-取费表'!B22&lt;=1,"单利计息。","复利计息。")&amp;"后续开发成本、管理费用及销售费用产生的利息。"</f>
        <v>复利计息。后续开发成本、管理费用及销售费用产生的利息。</v>
      </c>
      <c r="H26" s="3130"/>
      <c r="I26" s="3130"/>
      <c r="J26" s="3130"/>
      <c r="K26" s="3131"/>
    </row>
    <row r="27" spans="1:14" s="2139" customFormat="1" ht="20.25" customHeight="1">
      <c r="A27" s="380" t="s">
        <v>2159</v>
      </c>
      <c r="B27" s="3149" t="s">
        <v>524</v>
      </c>
      <c r="C27" s="3150">
        <f ca="1">ROUND(IF('数据-取费表'!B22&lt;=1,(1+C25)*F26*'数据-取费表'!B24,(1+C25)*(POWER((1+F26),'数据-取费表'!B24)-1)),4)</f>
        <v>7.4200000000000002E-2</v>
      </c>
      <c r="D27" s="3151"/>
      <c r="E27" s="3139"/>
      <c r="F27" s="3152"/>
      <c r="G27" s="3148" t="str">
        <f>IF('数据-取费表'!B22&lt;=1,"（1+取得税费率/(1+5%)）×年利率×建设期","（1+取得税费率）/(1+5%)×((1+年利率)^建设期-1)")</f>
        <v>（1+取得税费率）/(1+5%)×((1+年利率)^建设期-1)</v>
      </c>
      <c r="H27" s="264"/>
      <c r="I27" s="264"/>
      <c r="J27" s="264"/>
      <c r="K27" s="3123"/>
    </row>
    <row r="28" spans="1:14" s="2139" customFormat="1" ht="13.5" customHeight="1">
      <c r="A28" s="380" t="s">
        <v>2160</v>
      </c>
      <c r="B28" s="3149" t="s">
        <v>3220</v>
      </c>
      <c r="C28" s="3153">
        <f ca="1">ROUND(IF('数据-取费表'!B22&lt;=1,(C18+C19+C20+C23+C24)*F26*'数据-取费表'!B24/2,(C18+C19+C20+C23+C24)*(POWER((1+F26),'数据-取费表'!B24/2)-1)),0)</f>
        <v>906</v>
      </c>
      <c r="D28" s="3151"/>
      <c r="E28" s="3139"/>
      <c r="F28" s="3152"/>
      <c r="G28" s="3148" t="str">
        <f>IF('数据-取费表'!B22&lt;=1,"（1）-（4）项×年利率×建设期÷2","（1）-（4）项×((1+年利率)^(建设期÷2)-1)")</f>
        <v>（1）-（4）项×((1+年利率)^(建设期÷2)-1)</v>
      </c>
      <c r="H28" s="264"/>
      <c r="I28" s="264"/>
      <c r="J28" s="264"/>
      <c r="K28" s="3123"/>
    </row>
    <row r="29" spans="1:14" s="2139" customFormat="1" ht="13.5" customHeight="1">
      <c r="A29" s="1647" t="s">
        <v>2165</v>
      </c>
      <c r="B29" s="3125" t="s">
        <v>525</v>
      </c>
      <c r="C29" s="3126">
        <f>ROUND(C6*F29/(1+'数据-取费表'!B42),0)</f>
        <v>5154</v>
      </c>
      <c r="D29" s="3128"/>
      <c r="E29" s="3128"/>
      <c r="F29" s="3154">
        <f>'数据-取费表'!B42+'数据-取费表'!B43</f>
        <v>5.6000000000000001E-2</v>
      </c>
      <c r="G29" s="3140" t="s">
        <v>526</v>
      </c>
      <c r="H29" s="3112"/>
      <c r="I29" s="3112"/>
      <c r="J29" s="3112"/>
      <c r="K29" s="3113"/>
    </row>
    <row r="30" spans="1:14" s="2140" customFormat="1" ht="13.5" customHeight="1">
      <c r="A30" s="1647" t="s">
        <v>2166</v>
      </c>
      <c r="B30" s="3155" t="s">
        <v>528</v>
      </c>
      <c r="C30" s="3146">
        <f ca="1">C31</f>
        <v>31643</v>
      </c>
      <c r="D30" s="3156">
        <f ca="1">C32</f>
        <v>0.1032</v>
      </c>
      <c r="E30" s="3143" t="s">
        <v>523</v>
      </c>
      <c r="F30" s="3147"/>
      <c r="G30" s="3109" t="s">
        <v>529</v>
      </c>
      <c r="H30" s="3112"/>
      <c r="I30" s="3112"/>
      <c r="J30" s="3112"/>
      <c r="K30" s="3113"/>
    </row>
    <row r="31" spans="1:14" s="2139" customFormat="1" ht="13.5" customHeight="1">
      <c r="A31" s="380" t="s">
        <v>2159</v>
      </c>
      <c r="B31" s="3149"/>
      <c r="C31" s="3116">
        <f ca="1">C18+C19+C20+C23+C24+C26+C29</f>
        <v>31643</v>
      </c>
      <c r="D31" s="3151"/>
      <c r="E31" s="3139"/>
      <c r="F31" s="3152"/>
      <c r="G31" s="3098"/>
      <c r="H31" s="264"/>
      <c r="I31" s="264"/>
      <c r="J31" s="264"/>
      <c r="K31" s="3123"/>
    </row>
    <row r="32" spans="1:14" s="2139" customFormat="1" ht="13.5" customHeight="1">
      <c r="A32" s="380" t="s">
        <v>2160</v>
      </c>
      <c r="B32" s="3149"/>
      <c r="C32" s="17">
        <f ca="1">ROUND(C25+D26,4)</f>
        <v>0.1032</v>
      </c>
      <c r="D32" s="3151"/>
      <c r="E32" s="3139"/>
      <c r="F32" s="3152"/>
      <c r="G32" s="3098"/>
      <c r="H32" s="264"/>
      <c r="I32" s="264"/>
      <c r="J32" s="264"/>
      <c r="K32" s="3123"/>
    </row>
    <row r="33" spans="1:11" s="2141" customFormat="1" ht="13.5" customHeight="1">
      <c r="A33" s="3034" t="s">
        <v>3215</v>
      </c>
      <c r="B33" s="3033" t="s">
        <v>3213</v>
      </c>
      <c r="C33" s="481">
        <f ca="1">C35</f>
        <v>2558</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2159</v>
      </c>
      <c r="B34" s="3157" t="s">
        <v>530</v>
      </c>
      <c r="C34" s="3151">
        <f ca="1">ROUND((1+C25)*F33,4)</f>
        <v>0.10290000000000001</v>
      </c>
      <c r="D34" s="3151"/>
      <c r="E34" s="3139"/>
      <c r="F34" s="483"/>
      <c r="G34" s="3098" t="s">
        <v>2606</v>
      </c>
      <c r="H34" s="264"/>
      <c r="I34" s="264"/>
      <c r="J34" s="264"/>
      <c r="K34" s="3123"/>
    </row>
    <row r="35" spans="1:11" s="2142" customFormat="1" ht="13.5" customHeight="1" thickBot="1">
      <c r="A35" s="1648" t="s">
        <v>2160</v>
      </c>
      <c r="B35" s="3158" t="s">
        <v>3221</v>
      </c>
      <c r="C35" s="1641">
        <f ca="1">ROUND((C18+C19+C20+C23+C24)*F33,0)</f>
        <v>2558</v>
      </c>
      <c r="D35" s="3159"/>
      <c r="E35" s="3160"/>
      <c r="F35" s="1642"/>
      <c r="G35" s="3103"/>
      <c r="H35" s="3161"/>
      <c r="I35" s="3161"/>
      <c r="J35" s="3161"/>
      <c r="K35" s="3162"/>
    </row>
    <row r="36" spans="1:11" s="2101" customFormat="1" ht="13.5" customHeight="1" thickBot="1">
      <c r="A36" s="3163" t="s">
        <v>2147</v>
      </c>
      <c r="B36" s="3164"/>
      <c r="C36" s="3165">
        <f ca="1">ROUND((C6-C30-C33)/(1+D30+D33),0)</f>
        <v>51765</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78377.216993132766</v>
      </c>
      <c r="C2" s="2123"/>
      <c r="D2" s="2123"/>
      <c r="E2" s="2123"/>
      <c r="F2" s="2123"/>
      <c r="G2" s="2123"/>
      <c r="H2" s="2123"/>
      <c r="I2" s="2123"/>
      <c r="J2" s="2123"/>
      <c r="K2" s="2123"/>
    </row>
    <row r="3" spans="1:41" s="2056" customFormat="1" ht="18" customHeight="1">
      <c r="A3" s="1391" t="s">
        <v>1982</v>
      </c>
      <c r="B3" s="430">
        <f ca="1">ROUND(B2*10000/IF(B1="",'数据-汇总表'!E3,INDIRECT("'数据-取费表'!K"&amp;$K$1)),0)</f>
        <v>10227</v>
      </c>
      <c r="C3" s="2123"/>
      <c r="D3" s="2123"/>
      <c r="E3" s="2123"/>
      <c r="F3" s="2123"/>
      <c r="G3" s="2123"/>
      <c r="H3" s="2123"/>
      <c r="I3" s="2123"/>
      <c r="J3" s="2123"/>
      <c r="K3" s="2123"/>
    </row>
    <row r="4" spans="1:41" s="2056" customFormat="1" ht="18" customHeight="1">
      <c r="A4" s="431" t="s">
        <v>496</v>
      </c>
      <c r="B4" s="432">
        <f ca="1">ROUND(B2*10000/IF(B1="",'数据-汇总表'!D3,INDIRECT("'数据-取费表'!R"&amp;$K$1)),0)</f>
        <v>16758</v>
      </c>
      <c r="C4" s="2077"/>
      <c r="D4" s="2123"/>
      <c r="E4" s="2123"/>
      <c r="F4" s="2123"/>
      <c r="G4" s="2123"/>
      <c r="H4" s="2123"/>
      <c r="I4" s="2123"/>
      <c r="J4" s="2123"/>
      <c r="K4" s="2123"/>
    </row>
    <row r="5" spans="1:41" s="2056" customFormat="1" ht="18" customHeight="1" thickBot="1">
      <c r="A5" s="434"/>
      <c r="B5" s="435">
        <f ca="1">ROUND(B2/(IF(B1="",'数据-汇总表'!D3,INDIRECT("'数据-取费表'!R"&amp;$K$1))/666.67),0)</f>
        <v>1117</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2148</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2149</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2150</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2167</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2151</v>
      </c>
      <c r="B13" s="454" t="s">
        <v>507</v>
      </c>
      <c r="C13" s="455">
        <f ca="1">IF(B1="",'数据-取费表'!M16,INDIRECT("'数据-取费表'!M"&amp;$K$1)+INDIRECT("'数据-取费表'!t"&amp;$K$1))</f>
        <v>19159</v>
      </c>
      <c r="D13" s="456"/>
      <c r="E13" s="370"/>
      <c r="F13" s="457"/>
      <c r="G13" s="449"/>
      <c r="H13" s="452"/>
      <c r="I13" s="452"/>
      <c r="J13" s="452"/>
      <c r="K13" s="453"/>
    </row>
    <row r="14" spans="1:41" s="2135" customFormat="1" ht="13.5" customHeight="1">
      <c r="A14" s="1645" t="s">
        <v>2152</v>
      </c>
      <c r="B14" s="454" t="s">
        <v>508</v>
      </c>
      <c r="C14" s="53">
        <f ca="1">ROUND(C13*F14,0)</f>
        <v>575</v>
      </c>
      <c r="D14" s="456"/>
      <c r="E14" s="370"/>
      <c r="F14" s="458">
        <f>'数据-取费表'!B33</f>
        <v>0.03</v>
      </c>
      <c r="G14" s="449" t="s">
        <v>531</v>
      </c>
      <c r="H14" s="452"/>
      <c r="I14" s="452"/>
      <c r="J14" s="452"/>
      <c r="K14" s="453"/>
    </row>
    <row r="15" spans="1:41" s="2135" customFormat="1" ht="13.5" customHeight="1">
      <c r="A15" s="1645" t="s">
        <v>2153</v>
      </c>
      <c r="B15" s="454" t="s">
        <v>510</v>
      </c>
      <c r="C15" s="53">
        <f ca="1">ROUND(IF(B1="",SUMIF('数据-取费表'!C:C,"住宅",'数据-取费表'!M:M)*F15,IF(INDIRECT("'数据-取费表'!c"&amp;$K$1)="住宅",INDIRECT("'数据-取费表'!M"&amp;$K$1)*F15,0)),0)</f>
        <v>0</v>
      </c>
      <c r="D15" s="456"/>
      <c r="E15" s="370"/>
      <c r="F15" s="458">
        <f>'数据-取费表'!B34</f>
        <v>0</v>
      </c>
      <c r="G15" s="449" t="s">
        <v>531</v>
      </c>
      <c r="H15" s="452"/>
      <c r="I15" s="452"/>
      <c r="J15" s="452"/>
      <c r="K15" s="453"/>
    </row>
    <row r="16" spans="1:41" s="2136" customFormat="1" ht="13.5" customHeight="1">
      <c r="A16" s="1645" t="s">
        <v>2154</v>
      </c>
      <c r="B16" s="454" t="s">
        <v>512</v>
      </c>
      <c r="C16" s="53">
        <f ca="1">ROUND(D16*E16/10000,0)</f>
        <v>1533</v>
      </c>
      <c r="D16" s="456">
        <f ca="1">IF(B1="",'数据-汇总表'!E3,INDIRECT("'数据-取费表'!K"&amp;$K$1)+INDIRECT("'数据-取费表'!S"&amp;$K$1))</f>
        <v>76634</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2155</v>
      </c>
      <c r="B17" s="454" t="s">
        <v>513</v>
      </c>
      <c r="C17" s="459">
        <f ca="1">ROUND(C13*F17,0)</f>
        <v>287</v>
      </c>
      <c r="D17" s="460"/>
      <c r="E17" s="459"/>
      <c r="F17" s="461">
        <f>'数据-取费表'!B36</f>
        <v>1.4999999999999999E-2</v>
      </c>
      <c r="G17" s="449" t="s">
        <v>531</v>
      </c>
      <c r="H17" s="462"/>
      <c r="I17" s="462"/>
      <c r="J17" s="462"/>
      <c r="K17" s="463"/>
    </row>
    <row r="18" spans="1:14" s="2138" customFormat="1" ht="13.5" customHeight="1">
      <c r="A18" s="1646" t="s">
        <v>2156</v>
      </c>
      <c r="B18" s="464" t="s">
        <v>515</v>
      </c>
      <c r="C18" s="465">
        <f ca="1">SUM(C13:C17)</f>
        <v>21554</v>
      </c>
      <c r="D18" s="466"/>
      <c r="E18" s="467"/>
      <c r="F18" s="467"/>
      <c r="G18" s="1338" t="s">
        <v>2788</v>
      </c>
      <c r="H18" s="452"/>
      <c r="I18" s="452"/>
      <c r="J18" s="452"/>
      <c r="K18" s="453"/>
    </row>
    <row r="19" spans="1:14" s="2138" customFormat="1" ht="13.5" customHeight="1">
      <c r="A19" s="1646" t="s">
        <v>2157</v>
      </c>
      <c r="B19" s="464" t="s">
        <v>521</v>
      </c>
      <c r="C19" s="465">
        <f ca="1">ROUND(C18*F19,0)</f>
        <v>323</v>
      </c>
      <c r="D19" s="467"/>
      <c r="E19" s="467"/>
      <c r="F19" s="471">
        <f>'数据-取费表'!B37</f>
        <v>1.4999999999999999E-2</v>
      </c>
      <c r="G19" s="449" t="s">
        <v>532</v>
      </c>
      <c r="H19" s="452"/>
      <c r="I19" s="452"/>
      <c r="J19" s="452"/>
      <c r="K19" s="453"/>
      <c r="L19" s="2140"/>
      <c r="M19" s="2140"/>
      <c r="N19" s="2140"/>
    </row>
    <row r="20" spans="1:14" s="2138" customFormat="1" ht="13.5" customHeight="1">
      <c r="A20" s="1646" t="s">
        <v>2158</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2161</v>
      </c>
      <c r="B21" s="466" t="s">
        <v>522</v>
      </c>
      <c r="C21" s="474">
        <f ca="1">C22</f>
        <v>775</v>
      </c>
      <c r="D21" s="472">
        <f ca="1">C23</f>
        <v>5.0000000000000001E-4</v>
      </c>
      <c r="E21" s="473" t="s">
        <v>536</v>
      </c>
      <c r="F21" s="475">
        <f ca="1">'数据-取费表'!B40</f>
        <v>4.7500000000000001E-2</v>
      </c>
      <c r="G21" s="1338" t="str">
        <f>IF('数据-取费表'!B22&lt;=1,"单利计息。","复利计息。")&amp;"建造成本、管理费用及销售费用产生的利息。"</f>
        <v>复利计息。建造成本、管理费用及销售费用产生的利息。</v>
      </c>
      <c r="H21" s="452"/>
      <c r="I21" s="452"/>
      <c r="J21" s="452"/>
      <c r="K21" s="453"/>
      <c r="L21" s="2137" t="s">
        <v>2809</v>
      </c>
    </row>
    <row r="22" spans="1:14" s="2139" customFormat="1" ht="13.5" customHeight="1">
      <c r="A22" s="1645" t="s">
        <v>2151</v>
      </c>
      <c r="B22" s="1339" t="s">
        <v>2791</v>
      </c>
      <c r="C22" s="490">
        <f ca="1">ROUND(IF('数据-取费表'!B22&lt;=1,(C18+C19)*F21*'数据-取费表'!B20/2,(C18+C19)*(POWER((1+F21),'数据-取费表'!B20/2)-1)),0)</f>
        <v>775</v>
      </c>
      <c r="D22" s="476"/>
      <c r="E22" s="477"/>
      <c r="F22" s="478"/>
      <c r="G22" s="2620" t="str">
        <f>IF('数据-取费表'!B22&lt;=1,"((1)+(2))×年利率×建设期÷2","((1)+(2))×((1+年利率)^(建设期÷2)-1)")</f>
        <v>((1)+(2))×((1+年利率)^(建设期÷2)-1)</v>
      </c>
      <c r="H22" s="462"/>
      <c r="I22" s="462"/>
      <c r="J22" s="462"/>
      <c r="K22" s="463"/>
    </row>
    <row r="23" spans="1:14" s="2139" customFormat="1" ht="13.5" customHeight="1">
      <c r="A23" s="1645" t="s">
        <v>2152</v>
      </c>
      <c r="B23" s="1339" t="s">
        <v>537</v>
      </c>
      <c r="C23" s="491">
        <f ca="1">ROUND(IF('数据-取费表'!B22&lt;=1,F20*F21*'数据-取费表'!B20/2,F20*(POWER((1+F21),'数据-取费表'!B20/2)-1)),4)</f>
        <v>5.0000000000000001E-4</v>
      </c>
      <c r="D23" s="476"/>
      <c r="E23" s="477"/>
      <c r="F23" s="478"/>
      <c r="G23" s="2620" t="str">
        <f>IF('数据-取费表'!B22&lt;=1,"销售费用率×年利率×建设期÷2","销售费用率×((1+年利率)^(建设期÷2)-1)")</f>
        <v>销售费用率×((1+年利率)^(建设期÷2)-1)</v>
      </c>
      <c r="H23" s="462"/>
      <c r="I23" s="462"/>
      <c r="J23" s="462"/>
      <c r="K23" s="463"/>
    </row>
    <row r="24" spans="1:14" s="2139" customFormat="1" ht="13.5" customHeight="1">
      <c r="A24" s="1646" t="s">
        <v>2162</v>
      </c>
      <c r="B24" s="3033" t="s">
        <v>3214</v>
      </c>
      <c r="C24" s="481">
        <f ca="1">C25</f>
        <v>2188</v>
      </c>
      <c r="D24" s="492">
        <f ca="1">C26</f>
        <v>1.5E-3</v>
      </c>
      <c r="E24" s="473" t="s">
        <v>536</v>
      </c>
      <c r="F24" s="482">
        <f ca="1">IF(B1="",'数据-取费表'!Q16,INDIRECT("'数据-取费表'!q"&amp;$K$1))</f>
        <v>0.1</v>
      </c>
      <c r="G24" s="449"/>
      <c r="H24" s="452"/>
      <c r="I24" s="452"/>
      <c r="J24" s="452"/>
      <c r="K24" s="453"/>
    </row>
    <row r="25" spans="1:14" s="2139" customFormat="1" ht="13.5" customHeight="1">
      <c r="A25" s="1645" t="s">
        <v>2151</v>
      </c>
      <c r="B25" s="1339" t="s">
        <v>2792</v>
      </c>
      <c r="C25" s="493">
        <f ca="1">ROUND((C18+C19)*F24,0)</f>
        <v>2188</v>
      </c>
      <c r="D25" s="476"/>
      <c r="E25" s="477"/>
      <c r="F25" s="483"/>
      <c r="G25" s="1337" t="s">
        <v>2789</v>
      </c>
      <c r="H25" s="462"/>
      <c r="I25" s="462"/>
      <c r="J25" s="462"/>
      <c r="K25" s="463"/>
    </row>
    <row r="26" spans="1:14" s="2139" customFormat="1" ht="13.5" customHeight="1">
      <c r="A26" s="1645" t="s">
        <v>2152</v>
      </c>
      <c r="B26" s="1339" t="s">
        <v>538</v>
      </c>
      <c r="C26" s="494">
        <f ca="1">ROUND(F20*F24,4)</f>
        <v>1.5E-3</v>
      </c>
      <c r="D26" s="476"/>
      <c r="E26" s="484"/>
      <c r="F26" s="483"/>
      <c r="G26" s="1337" t="s">
        <v>539</v>
      </c>
      <c r="H26" s="462"/>
      <c r="I26" s="462"/>
      <c r="J26" s="462"/>
      <c r="K26" s="463"/>
    </row>
    <row r="27" spans="1:14" s="2139" customFormat="1" ht="13.5" customHeight="1">
      <c r="A27" s="1649" t="s">
        <v>2170</v>
      </c>
      <c r="B27" s="464" t="s">
        <v>540</v>
      </c>
      <c r="C27" s="3032">
        <f>ROUND(F27/(1+'数据-取费表'!B42),4)</f>
        <v>5.33E-2</v>
      </c>
      <c r="D27" s="467" t="s">
        <v>3212</v>
      </c>
      <c r="E27" s="467"/>
      <c r="F27" s="471">
        <f>'数据-取费表'!B41</f>
        <v>5.6000000000000001E-2</v>
      </c>
      <c r="G27" s="1972" t="s">
        <v>2607</v>
      </c>
      <c r="H27" s="452"/>
      <c r="I27" s="452"/>
      <c r="J27" s="452"/>
      <c r="K27" s="453"/>
    </row>
    <row r="28" spans="1:14" s="2140" customFormat="1" ht="13.5" customHeight="1">
      <c r="A28" s="1649" t="s">
        <v>2171</v>
      </c>
      <c r="B28" s="479" t="s">
        <v>541</v>
      </c>
      <c r="C28" s="474">
        <f ca="1">ROUND((C18+C19+C21+C24)/(1-C20-D21-D24-C27),0)</f>
        <v>26718</v>
      </c>
      <c r="D28" s="480"/>
      <c r="E28" s="473"/>
      <c r="F28" s="475"/>
      <c r="G28" s="1338" t="s">
        <v>2790</v>
      </c>
      <c r="H28" s="452"/>
      <c r="I28" s="452"/>
      <c r="J28" s="452"/>
      <c r="K28" s="453"/>
    </row>
    <row r="29" spans="1:14" s="2140" customFormat="1" ht="13.5" customHeight="1">
      <c r="A29" s="1649" t="s">
        <v>2172</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2168</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2169</v>
      </c>
      <c r="B32" s="486"/>
      <c r="C32" s="487">
        <f ca="1">IF('数据-取费表'!B20&lt;=1,(C6-C30-C31)/(1+F21*'数据-取费表'!B20+F24)/(1+'数据-取费表'!B48+'数据-取费表'!B49),(C6-C30-C31)/(1+(POWER((1+F21),'数据-取费表'!B20)-1)+F24)/(1+'数据-取费表'!B48+'数据-取费表'!B49))</f>
        <v>78377.216993132766</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1983</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45" t="s">
        <v>551</v>
      </c>
      <c r="D6" s="3246"/>
      <c r="E6" s="3416" t="s">
        <v>552</v>
      </c>
      <c r="F6" s="3417"/>
      <c r="G6" s="3245" t="s">
        <v>553</v>
      </c>
      <c r="H6" s="3246"/>
      <c r="I6" s="3245" t="s">
        <v>554</v>
      </c>
      <c r="J6" s="3246"/>
      <c r="K6" s="517" t="s">
        <v>555</v>
      </c>
      <c r="L6" s="2152"/>
      <c r="M6" s="2153"/>
      <c r="N6" s="2153"/>
      <c r="O6" s="2153"/>
      <c r="P6" s="3247" t="s">
        <v>556</v>
      </c>
      <c r="Q6" s="3248"/>
      <c r="R6" s="3253" t="s">
        <v>552</v>
      </c>
      <c r="S6" s="3254"/>
      <c r="T6" s="3253" t="s">
        <v>553</v>
      </c>
      <c r="U6" s="3254"/>
      <c r="V6" s="3265" t="s">
        <v>554</v>
      </c>
      <c r="W6" s="3265"/>
      <c r="X6" s="1580"/>
      <c r="Y6" s="3253" t="s">
        <v>556</v>
      </c>
      <c r="Z6" s="3254"/>
      <c r="AA6" s="3242" t="s">
        <v>552</v>
      </c>
      <c r="AB6" s="3243" t="s">
        <v>553</v>
      </c>
      <c r="AC6" s="3242" t="s">
        <v>554</v>
      </c>
    </row>
    <row r="7" spans="1:29" ht="15">
      <c r="A7" s="518"/>
      <c r="B7" s="519"/>
      <c r="C7" s="3420" t="s">
        <v>557</v>
      </c>
      <c r="D7" s="3258"/>
      <c r="E7" s="3418" t="s">
        <v>558</v>
      </c>
      <c r="F7" s="3419"/>
      <c r="G7" s="3420" t="s">
        <v>559</v>
      </c>
      <c r="H7" s="3258"/>
      <c r="I7" s="3420" t="s">
        <v>560</v>
      </c>
      <c r="J7" s="3258"/>
      <c r="K7" s="517"/>
      <c r="L7" s="2152"/>
      <c r="M7" s="2153"/>
      <c r="N7" s="2153"/>
      <c r="O7" s="2153"/>
      <c r="P7" s="3249"/>
      <c r="Q7" s="3250"/>
      <c r="R7" s="3255"/>
      <c r="S7" s="3256"/>
      <c r="T7" s="3255"/>
      <c r="U7" s="3256"/>
      <c r="V7" s="3265"/>
      <c r="W7" s="3265"/>
      <c r="X7" s="1580"/>
      <c r="Y7" s="3255"/>
      <c r="Z7" s="3256"/>
      <c r="AA7" s="3243"/>
      <c r="AB7" s="3243"/>
      <c r="AC7" s="3243"/>
    </row>
    <row r="8" spans="1:29" ht="15.75" thickBot="1">
      <c r="A8" s="520"/>
      <c r="B8" s="521"/>
      <c r="C8" s="3421" t="s">
        <v>561</v>
      </c>
      <c r="D8" s="3262"/>
      <c r="E8" s="3422" t="s">
        <v>561</v>
      </c>
      <c r="F8" s="3423"/>
      <c r="G8" s="3421" t="s">
        <v>561</v>
      </c>
      <c r="H8" s="3262"/>
      <c r="I8" s="3421" t="s">
        <v>561</v>
      </c>
      <c r="J8" s="3262"/>
      <c r="K8" s="517" t="s">
        <v>562</v>
      </c>
      <c r="L8" s="2152"/>
      <c r="M8" s="2153"/>
      <c r="N8" s="2153"/>
      <c r="O8" s="2153"/>
      <c r="P8" s="3251"/>
      <c r="Q8" s="3252"/>
      <c r="R8" s="3255"/>
      <c r="S8" s="3256"/>
      <c r="T8" s="3263"/>
      <c r="U8" s="3264"/>
      <c r="V8" s="3265"/>
      <c r="W8" s="3265"/>
      <c r="X8" s="1580"/>
      <c r="Y8" s="3263"/>
      <c r="Z8" s="3264"/>
      <c r="AA8" s="3244"/>
      <c r="AB8" s="3244"/>
      <c r="AC8" s="3244"/>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66" t="s">
        <v>564</v>
      </c>
      <c r="Q9" s="3267"/>
      <c r="R9" s="1581" t="s">
        <v>8</v>
      </c>
      <c r="S9" s="1582">
        <f t="shared" ref="S9:S17" si="0">F9</f>
        <v>95.5</v>
      </c>
      <c r="T9" s="1581" t="s">
        <v>8</v>
      </c>
      <c r="U9" s="1582">
        <f t="shared" ref="U9:U17" si="1">H9</f>
        <v>0</v>
      </c>
      <c r="V9" s="1581" t="s">
        <v>8</v>
      </c>
      <c r="W9" s="1582">
        <f t="shared" ref="W9:W17" si="2">J9</f>
        <v>95</v>
      </c>
      <c r="X9" s="1583"/>
      <c r="Y9" s="3266" t="s">
        <v>564</v>
      </c>
      <c r="Z9" s="3268"/>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66" t="s">
        <v>567</v>
      </c>
      <c r="Q10" s="3268"/>
      <c r="R10" s="1581" t="s">
        <v>8</v>
      </c>
      <c r="S10" s="1582">
        <f t="shared" si="0"/>
        <v>100</v>
      </c>
      <c r="T10" s="1581" t="s">
        <v>8</v>
      </c>
      <c r="U10" s="1582">
        <f t="shared" si="1"/>
        <v>96</v>
      </c>
      <c r="V10" s="1581" t="s">
        <v>8</v>
      </c>
      <c r="W10" s="1582">
        <f t="shared" si="2"/>
        <v>100</v>
      </c>
      <c r="X10" s="1583"/>
      <c r="Y10" s="3266" t="s">
        <v>567</v>
      </c>
      <c r="Z10" s="3268"/>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69" t="s">
        <v>569</v>
      </c>
      <c r="Q11" s="1150" t="str">
        <f t="shared" ref="Q11:Q17" si="6">B11</f>
        <v>用途</v>
      </c>
      <c r="R11" s="1581" t="s">
        <v>8</v>
      </c>
      <c r="S11" s="1582">
        <f t="shared" si="0"/>
        <v>105</v>
      </c>
      <c r="T11" s="1581" t="s">
        <v>8</v>
      </c>
      <c r="U11" s="1582">
        <f t="shared" si="1"/>
        <v>100</v>
      </c>
      <c r="V11" s="1581" t="s">
        <v>8</v>
      </c>
      <c r="W11" s="1582">
        <f t="shared" si="2"/>
        <v>100</v>
      </c>
      <c r="X11" s="1583"/>
      <c r="Y11" s="3270"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69"/>
      <c r="Q12" s="1150" t="str">
        <f t="shared" si="6"/>
        <v>土地使用年限（年）</v>
      </c>
      <c r="R12" s="1581" t="s">
        <v>8</v>
      </c>
      <c r="S12" s="1582">
        <f t="shared" si="0"/>
        <v>118</v>
      </c>
      <c r="T12" s="1581" t="s">
        <v>8</v>
      </c>
      <c r="U12" s="1582">
        <f t="shared" si="1"/>
        <v>118</v>
      </c>
      <c r="V12" s="1581" t="s">
        <v>8</v>
      </c>
      <c r="W12" s="1582">
        <f t="shared" si="2"/>
        <v>118</v>
      </c>
      <c r="X12" s="1583"/>
      <c r="Y12" s="3270"/>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69"/>
      <c r="Q13" s="1150" t="str">
        <f t="shared" si="6"/>
        <v>容积率</v>
      </c>
      <c r="R13" s="1581" t="s">
        <v>8</v>
      </c>
      <c r="S13" s="1582">
        <f t="shared" si="0"/>
        <v>97</v>
      </c>
      <c r="T13" s="1581" t="s">
        <v>8</v>
      </c>
      <c r="U13" s="1582">
        <f t="shared" si="1"/>
        <v>97</v>
      </c>
      <c r="V13" s="1581" t="s">
        <v>8</v>
      </c>
      <c r="W13" s="1582">
        <f t="shared" si="2"/>
        <v>91</v>
      </c>
      <c r="X13" s="1583"/>
      <c r="Y13" s="3270"/>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69"/>
      <c r="Q14" s="1150">
        <f t="shared" si="6"/>
        <v>111</v>
      </c>
      <c r="R14" s="1581" t="s">
        <v>8</v>
      </c>
      <c r="S14" s="1582">
        <f t="shared" si="0"/>
        <v>99</v>
      </c>
      <c r="T14" s="1581" t="s">
        <v>8</v>
      </c>
      <c r="U14" s="1582">
        <f t="shared" si="1"/>
        <v>98</v>
      </c>
      <c r="V14" s="1581" t="s">
        <v>8</v>
      </c>
      <c r="W14" s="1582">
        <f t="shared" si="2"/>
        <v>97</v>
      </c>
      <c r="X14" s="1583"/>
      <c r="Y14" s="3270"/>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69"/>
      <c r="Q15" s="1150">
        <f t="shared" si="6"/>
        <v>111</v>
      </c>
      <c r="R15" s="1581" t="s">
        <v>8</v>
      </c>
      <c r="S15" s="1582">
        <f t="shared" si="0"/>
        <v>98</v>
      </c>
      <c r="T15" s="1581" t="s">
        <v>8</v>
      </c>
      <c r="U15" s="1582">
        <f t="shared" si="1"/>
        <v>96</v>
      </c>
      <c r="V15" s="1581" t="s">
        <v>8</v>
      </c>
      <c r="W15" s="1582">
        <f t="shared" si="2"/>
        <v>94</v>
      </c>
      <c r="X15" s="1583"/>
      <c r="Y15" s="3270"/>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69"/>
      <c r="Q16" s="1150">
        <f t="shared" si="6"/>
        <v>111</v>
      </c>
      <c r="R16" s="1581" t="s">
        <v>8</v>
      </c>
      <c r="S16" s="1582">
        <f t="shared" si="0"/>
        <v>97</v>
      </c>
      <c r="T16" s="1581" t="s">
        <v>8</v>
      </c>
      <c r="U16" s="1582">
        <f t="shared" si="1"/>
        <v>94</v>
      </c>
      <c r="V16" s="1581" t="s">
        <v>8</v>
      </c>
      <c r="W16" s="1582">
        <f t="shared" si="2"/>
        <v>91</v>
      </c>
      <c r="X16" s="1583"/>
      <c r="Y16" s="3270"/>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71" t="s">
        <v>575</v>
      </c>
      <c r="Q17" s="1585" t="str">
        <f t="shared" si="6"/>
        <v>产业集聚程度</v>
      </c>
      <c r="R17" s="1586" t="s">
        <v>8</v>
      </c>
      <c r="S17" s="1587">
        <f t="shared" si="0"/>
        <v>100</v>
      </c>
      <c r="T17" s="1586" t="s">
        <v>8</v>
      </c>
      <c r="U17" s="1587">
        <f t="shared" si="1"/>
        <v>100</v>
      </c>
      <c r="V17" s="1586" t="s">
        <v>8</v>
      </c>
      <c r="W17" s="1587">
        <f t="shared" si="2"/>
        <v>100</v>
      </c>
      <c r="X17" s="1580"/>
      <c r="Y17" s="3271"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72"/>
      <c r="Q18" s="1585"/>
      <c r="R18" s="1586"/>
      <c r="S18" s="1587"/>
      <c r="T18" s="1586"/>
      <c r="U18" s="1587"/>
      <c r="V18" s="1586"/>
      <c r="W18" s="1587"/>
      <c r="X18" s="1580"/>
      <c r="Y18" s="3272"/>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72"/>
      <c r="Q19" s="1585" t="str">
        <f>B19</f>
        <v>交通便捷度</v>
      </c>
      <c r="R19" s="1586" t="s">
        <v>8</v>
      </c>
      <c r="S19" s="1587">
        <f>F19</f>
        <v>96</v>
      </c>
      <c r="T19" s="1586" t="s">
        <v>8</v>
      </c>
      <c r="U19" s="1587">
        <f>H19</f>
        <v>102</v>
      </c>
      <c r="V19" s="1586" t="s">
        <v>8</v>
      </c>
      <c r="W19" s="1587">
        <f>J19</f>
        <v>98</v>
      </c>
      <c r="X19" s="1580"/>
      <c r="Y19" s="3272"/>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72"/>
      <c r="Q20" s="1585"/>
      <c r="R20" s="1586"/>
      <c r="S20" s="1587"/>
      <c r="T20" s="1586"/>
      <c r="U20" s="1587"/>
      <c r="V20" s="1586"/>
      <c r="W20" s="1587"/>
      <c r="X20" s="1580"/>
      <c r="Y20" s="3272"/>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72"/>
      <c r="Q21" s="1585" t="str">
        <f t="shared" ref="Q21:Q35" si="8">B21</f>
        <v>区域土地利用方向</v>
      </c>
      <c r="R21" s="1586" t="s">
        <v>8</v>
      </c>
      <c r="S21" s="1587">
        <f>F21</f>
        <v>97</v>
      </c>
      <c r="T21" s="1586" t="s">
        <v>8</v>
      </c>
      <c r="U21" s="1587">
        <f>H21</f>
        <v>103</v>
      </c>
      <c r="V21" s="1586" t="s">
        <v>8</v>
      </c>
      <c r="W21" s="1587">
        <f>J21</f>
        <v>94</v>
      </c>
      <c r="X21" s="1580"/>
      <c r="Y21" s="3272"/>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72"/>
      <c r="Q22" s="1585"/>
      <c r="R22" s="1586"/>
      <c r="S22" s="1587"/>
      <c r="T22" s="1586"/>
      <c r="U22" s="1587"/>
      <c r="V22" s="1586"/>
      <c r="W22" s="1587"/>
      <c r="X22" s="1580"/>
      <c r="Y22" s="3272"/>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72"/>
      <c r="Q23" s="1585" t="str">
        <f t="shared" si="8"/>
        <v>环境状况</v>
      </c>
      <c r="R23" s="1586" t="s">
        <v>8</v>
      </c>
      <c r="S23" s="1587">
        <f>F23</f>
        <v>96</v>
      </c>
      <c r="T23" s="1586" t="s">
        <v>8</v>
      </c>
      <c r="U23" s="1587">
        <f>H23</f>
        <v>102</v>
      </c>
      <c r="V23" s="1586" t="s">
        <v>8</v>
      </c>
      <c r="W23" s="1587">
        <f>J23</f>
        <v>98</v>
      </c>
      <c r="X23" s="1580"/>
      <c r="Y23" s="3272"/>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72"/>
      <c r="Q24" s="1585"/>
      <c r="R24" s="1586"/>
      <c r="S24" s="1587"/>
      <c r="T24" s="1586"/>
      <c r="U24" s="1587"/>
      <c r="V24" s="1586"/>
      <c r="W24" s="1587"/>
      <c r="X24" s="1580"/>
      <c r="Y24" s="3272"/>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72"/>
      <c r="Q25" s="1150" t="str">
        <f t="shared" si="8"/>
        <v>公共配套设施</v>
      </c>
      <c r="R25" s="1581" t="s">
        <v>8</v>
      </c>
      <c r="S25" s="1582">
        <f>F25</f>
        <v>96</v>
      </c>
      <c r="T25" s="1581" t="s">
        <v>8</v>
      </c>
      <c r="U25" s="1582">
        <f>H25</f>
        <v>98</v>
      </c>
      <c r="V25" s="1581" t="s">
        <v>8</v>
      </c>
      <c r="W25" s="1582">
        <f>J25</f>
        <v>102</v>
      </c>
      <c r="X25" s="1583"/>
      <c r="Y25" s="3272"/>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72"/>
      <c r="Q26" s="1150"/>
      <c r="R26" s="1581"/>
      <c r="S26" s="1582"/>
      <c r="T26" s="1581"/>
      <c r="U26" s="1582"/>
      <c r="V26" s="1581"/>
      <c r="W26" s="1582"/>
      <c r="X26" s="1583"/>
      <c r="Y26" s="3272"/>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72"/>
      <c r="Q27" s="2631" t="str">
        <f t="shared" ref="Q27" si="9">B27</f>
        <v>基础设施水平</v>
      </c>
      <c r="R27" s="1581" t="s">
        <v>8</v>
      </c>
      <c r="S27" s="1582">
        <f>F27</f>
        <v>99</v>
      </c>
      <c r="T27" s="1581" t="s">
        <v>8</v>
      </c>
      <c r="U27" s="1582">
        <f>H27</f>
        <v>98</v>
      </c>
      <c r="V27" s="1581" t="s">
        <v>8</v>
      </c>
      <c r="W27" s="1582">
        <f>J27</f>
        <v>97</v>
      </c>
      <c r="X27" s="1583"/>
      <c r="Y27" s="3272"/>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2677</v>
      </c>
      <c r="F28" s="557"/>
      <c r="G28" s="581" t="s">
        <v>2678</v>
      </c>
      <c r="H28" s="557"/>
      <c r="I28" s="581" t="s">
        <v>2902</v>
      </c>
      <c r="J28" s="557"/>
      <c r="K28" s="533"/>
      <c r="L28" s="2154"/>
      <c r="M28" s="2155"/>
      <c r="N28" s="2155"/>
      <c r="O28" s="2156"/>
      <c r="P28" s="3272"/>
      <c r="Q28" s="2631"/>
      <c r="R28" s="1581"/>
      <c r="S28" s="1582"/>
      <c r="T28" s="1581"/>
      <c r="U28" s="1582"/>
      <c r="V28" s="1581"/>
      <c r="W28" s="1582"/>
      <c r="X28" s="1583"/>
      <c r="Y28" s="3272"/>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72"/>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72"/>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72"/>
      <c r="Q30" s="1585" t="str">
        <f t="shared" si="8"/>
        <v>毗邻道路的类型与等级</v>
      </c>
      <c r="R30" s="1586" t="s">
        <v>8</v>
      </c>
      <c r="S30" s="1587">
        <f t="shared" si="10"/>
        <v>100</v>
      </c>
      <c r="T30" s="1586" t="s">
        <v>8</v>
      </c>
      <c r="U30" s="1587">
        <f t="shared" si="11"/>
        <v>102</v>
      </c>
      <c r="V30" s="1586" t="s">
        <v>8</v>
      </c>
      <c r="W30" s="1587">
        <f t="shared" si="12"/>
        <v>106</v>
      </c>
      <c r="X30" s="1580"/>
      <c r="Y30" s="3272"/>
      <c r="Z30" s="1588" t="str">
        <f t="shared" si="13"/>
        <v>毗邻道路的类型与等级</v>
      </c>
      <c r="AA30" s="1589">
        <f t="shared" si="3"/>
        <v>1</v>
      </c>
      <c r="AB30" s="1589">
        <f t="shared" si="4"/>
        <v>0.98039215686274506</v>
      </c>
      <c r="AC30" s="1589">
        <f t="shared" si="5"/>
        <v>0.94339622641509435</v>
      </c>
    </row>
    <row r="31" spans="1:29" ht="15">
      <c r="A31" s="534"/>
      <c r="B31" s="595"/>
      <c r="C31" s="578" t="s">
        <v>1976</v>
      </c>
      <c r="D31" s="557"/>
      <c r="E31" s="556" t="s">
        <v>589</v>
      </c>
      <c r="F31" s="557"/>
      <c r="G31" s="556" t="s">
        <v>676</v>
      </c>
      <c r="H31" s="557"/>
      <c r="I31" s="578" t="s">
        <v>677</v>
      </c>
      <c r="J31" s="557"/>
      <c r="K31" s="583"/>
      <c r="L31" s="2161"/>
      <c r="M31" s="2153"/>
      <c r="N31" s="2153"/>
      <c r="O31" s="2160"/>
      <c r="P31" s="3272"/>
      <c r="Q31" s="1585"/>
      <c r="R31" s="1586"/>
      <c r="S31" s="1587"/>
      <c r="T31" s="1586"/>
      <c r="U31" s="1587"/>
      <c r="V31" s="1586"/>
      <c r="W31" s="1587"/>
      <c r="X31" s="1580"/>
      <c r="Y31" s="3272"/>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72"/>
      <c r="Q32" s="1585" t="str">
        <f t="shared" si="8"/>
        <v>土地级别</v>
      </c>
      <c r="R32" s="1586" t="s">
        <v>8</v>
      </c>
      <c r="S32" s="1587">
        <f t="shared" si="10"/>
        <v>100</v>
      </c>
      <c r="T32" s="1586" t="s">
        <v>8</v>
      </c>
      <c r="U32" s="1587">
        <f t="shared" si="11"/>
        <v>105</v>
      </c>
      <c r="V32" s="1586" t="s">
        <v>8</v>
      </c>
      <c r="W32" s="1587">
        <f t="shared" si="12"/>
        <v>105</v>
      </c>
      <c r="X32" s="1580"/>
      <c r="Y32" s="3272"/>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72"/>
      <c r="Q33" s="1585">
        <f t="shared" si="8"/>
        <v>111</v>
      </c>
      <c r="R33" s="1586" t="s">
        <v>8</v>
      </c>
      <c r="S33" s="1587">
        <f t="shared" si="10"/>
        <v>99</v>
      </c>
      <c r="T33" s="1586" t="s">
        <v>8</v>
      </c>
      <c r="U33" s="1587">
        <f t="shared" si="11"/>
        <v>98</v>
      </c>
      <c r="V33" s="1586" t="s">
        <v>8</v>
      </c>
      <c r="W33" s="1587">
        <f t="shared" si="12"/>
        <v>97</v>
      </c>
      <c r="X33" s="1580"/>
      <c r="Y33" s="3272"/>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77" t="s">
        <v>591</v>
      </c>
      <c r="Q34" s="1585">
        <f t="shared" si="8"/>
        <v>111</v>
      </c>
      <c r="R34" s="1586" t="s">
        <v>8</v>
      </c>
      <c r="S34" s="1587">
        <f t="shared" si="10"/>
        <v>98</v>
      </c>
      <c r="T34" s="1586" t="s">
        <v>8</v>
      </c>
      <c r="U34" s="1587">
        <f t="shared" si="11"/>
        <v>96</v>
      </c>
      <c r="V34" s="1586" t="s">
        <v>8</v>
      </c>
      <c r="W34" s="1587">
        <f t="shared" si="12"/>
        <v>94</v>
      </c>
      <c r="X34" s="1580"/>
      <c r="Y34" s="3278"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78"/>
      <c r="Q35" s="1585">
        <f t="shared" si="8"/>
        <v>111</v>
      </c>
      <c r="R35" s="1590" t="s">
        <v>8</v>
      </c>
      <c r="S35" s="1591">
        <f t="shared" si="10"/>
        <v>97</v>
      </c>
      <c r="T35" s="1590" t="s">
        <v>8</v>
      </c>
      <c r="U35" s="1591">
        <f t="shared" si="11"/>
        <v>94</v>
      </c>
      <c r="V35" s="1590" t="s">
        <v>8</v>
      </c>
      <c r="W35" s="1591">
        <f t="shared" si="12"/>
        <v>91</v>
      </c>
      <c r="X35" s="1592"/>
      <c r="Y35" s="3278"/>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78"/>
      <c r="Q36" s="1585" t="str">
        <f>B36</f>
        <v>宗地面积</v>
      </c>
      <c r="R36" s="1586" t="s">
        <v>8</v>
      </c>
      <c r="S36" s="1587">
        <f t="shared" si="10"/>
        <v>105</v>
      </c>
      <c r="T36" s="1586" t="s">
        <v>8</v>
      </c>
      <c r="U36" s="1587">
        <f t="shared" si="11"/>
        <v>105</v>
      </c>
      <c r="V36" s="1586" t="s">
        <v>8</v>
      </c>
      <c r="W36" s="1587">
        <f t="shared" si="12"/>
        <v>100</v>
      </c>
      <c r="X36" s="1580"/>
      <c r="Y36" s="3278"/>
      <c r="Z36" s="1588" t="str">
        <f t="shared" si="13"/>
        <v>宗地面积</v>
      </c>
      <c r="AA36" s="1589">
        <f t="shared" si="3"/>
        <v>0.95238095238095233</v>
      </c>
      <c r="AB36" s="1589">
        <f t="shared" si="4"/>
        <v>0.95238095238095233</v>
      </c>
      <c r="AC36" s="1589">
        <f t="shared" si="5"/>
        <v>1</v>
      </c>
    </row>
    <row r="37" spans="1:29" ht="15">
      <c r="A37" s="594"/>
      <c r="B37" s="530" t="s">
        <v>594</v>
      </c>
      <c r="C37" s="599" t="s">
        <v>2125</v>
      </c>
      <c r="D37" s="542">
        <v>100</v>
      </c>
      <c r="E37" s="599" t="s">
        <v>2676</v>
      </c>
      <c r="F37" s="542">
        <f>SUMIF(112:112,E37,113:113)-SUMIF(112:112,C37,113:113)+100</f>
        <v>106</v>
      </c>
      <c r="G37" s="599" t="s">
        <v>2680</v>
      </c>
      <c r="H37" s="542">
        <f>SUMIF(112:112,G37,113:113)-SUMIF(112:112,C37,113:113)+100</f>
        <v>104</v>
      </c>
      <c r="I37" s="599" t="s">
        <v>2681</v>
      </c>
      <c r="J37" s="542">
        <f>SUMIF(112:112,I37,113:113)-SUMIF(112:112,C37,113:113)+100</f>
        <v>102</v>
      </c>
      <c r="K37" s="586">
        <v>2</v>
      </c>
      <c r="L37" s="2161"/>
      <c r="M37" s="2153"/>
      <c r="N37" s="2153"/>
      <c r="O37" s="2160"/>
      <c r="P37" s="3278"/>
      <c r="Q37" s="1585" t="str">
        <f t="shared" ref="Q37:Q42" si="14">B37</f>
        <v>宗地形状</v>
      </c>
      <c r="R37" s="1586" t="s">
        <v>8</v>
      </c>
      <c r="S37" s="1587">
        <f t="shared" si="10"/>
        <v>106</v>
      </c>
      <c r="T37" s="1586" t="s">
        <v>8</v>
      </c>
      <c r="U37" s="1587">
        <f t="shared" si="11"/>
        <v>104</v>
      </c>
      <c r="V37" s="1586" t="s">
        <v>8</v>
      </c>
      <c r="W37" s="1587">
        <f t="shared" si="12"/>
        <v>102</v>
      </c>
      <c r="X37" s="1580"/>
      <c r="Y37" s="3278"/>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78"/>
      <c r="Q38" s="1585" t="str">
        <f t="shared" si="14"/>
        <v>宗地开发程度</v>
      </c>
      <c r="R38" s="1581" t="s">
        <v>8</v>
      </c>
      <c r="S38" s="1582">
        <f t="shared" si="10"/>
        <v>100</v>
      </c>
      <c r="T38" s="1581" t="s">
        <v>8</v>
      </c>
      <c r="U38" s="1582">
        <f t="shared" si="11"/>
        <v>100</v>
      </c>
      <c r="V38" s="1581" t="s">
        <v>8</v>
      </c>
      <c r="W38" s="1582">
        <f t="shared" si="12"/>
        <v>100</v>
      </c>
      <c r="X38" s="1583"/>
      <c r="Y38" s="3278"/>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78" t="s">
        <v>681</v>
      </c>
      <c r="Q39" s="1585" t="str">
        <f t="shared" si="14"/>
        <v>工程地质条件</v>
      </c>
      <c r="R39" s="1586" t="s">
        <v>8</v>
      </c>
      <c r="S39" s="1587">
        <f t="shared" si="10"/>
        <v>98.5</v>
      </c>
      <c r="T39" s="1586" t="s">
        <v>8</v>
      </c>
      <c r="U39" s="1587">
        <f t="shared" si="11"/>
        <v>101.5</v>
      </c>
      <c r="V39" s="1586" t="s">
        <v>8</v>
      </c>
      <c r="W39" s="1587">
        <f t="shared" si="12"/>
        <v>97</v>
      </c>
      <c r="X39" s="1580"/>
      <c r="Y39" s="3278"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78"/>
      <c r="Q40" s="1585">
        <f t="shared" si="14"/>
        <v>111</v>
      </c>
      <c r="R40" s="1586" t="s">
        <v>8</v>
      </c>
      <c r="S40" s="1587">
        <f t="shared" si="10"/>
        <v>99</v>
      </c>
      <c r="T40" s="1586" t="s">
        <v>8</v>
      </c>
      <c r="U40" s="1587">
        <f t="shared" si="11"/>
        <v>98</v>
      </c>
      <c r="V40" s="1586" t="s">
        <v>8</v>
      </c>
      <c r="W40" s="1587">
        <f t="shared" si="12"/>
        <v>97</v>
      </c>
      <c r="X40" s="1580"/>
      <c r="Y40" s="3278"/>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78"/>
      <c r="Q41" s="1585">
        <f t="shared" si="14"/>
        <v>111</v>
      </c>
      <c r="R41" s="1586" t="s">
        <v>8</v>
      </c>
      <c r="S41" s="1587">
        <f t="shared" si="10"/>
        <v>98</v>
      </c>
      <c r="T41" s="1586" t="s">
        <v>8</v>
      </c>
      <c r="U41" s="1587">
        <f t="shared" si="11"/>
        <v>96</v>
      </c>
      <c r="V41" s="1586" t="s">
        <v>8</v>
      </c>
      <c r="W41" s="1587">
        <f t="shared" si="12"/>
        <v>94</v>
      </c>
      <c r="X41" s="1580"/>
      <c r="Y41" s="3278"/>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78"/>
      <c r="Q42" s="1585">
        <f t="shared" si="14"/>
        <v>111</v>
      </c>
      <c r="R42" s="1590" t="s">
        <v>8</v>
      </c>
      <c r="S42" s="1591">
        <f t="shared" si="10"/>
        <v>97</v>
      </c>
      <c r="T42" s="1590" t="s">
        <v>8</v>
      </c>
      <c r="U42" s="1591">
        <f t="shared" si="11"/>
        <v>94</v>
      </c>
      <c r="V42" s="1590" t="s">
        <v>8</v>
      </c>
      <c r="W42" s="1591">
        <f t="shared" si="12"/>
        <v>91</v>
      </c>
      <c r="X42" s="1592"/>
      <c r="Y42" s="3278"/>
      <c r="Z42" s="1593">
        <f t="shared" si="13"/>
        <v>111</v>
      </c>
      <c r="AA42" s="1589">
        <f t="shared" si="3"/>
        <v>1.0309278350515463</v>
      </c>
      <c r="AB42" s="1589">
        <f t="shared" si="4"/>
        <v>1.0638297872340425</v>
      </c>
      <c r="AC42" s="1589">
        <f t="shared" si="5"/>
        <v>1.098901098901099</v>
      </c>
    </row>
    <row r="43" spans="1:29" ht="15">
      <c r="A43" s="607" t="s">
        <v>600</v>
      </c>
      <c r="B43" s="608" t="s">
        <v>2385</v>
      </c>
      <c r="C43" s="609" t="s">
        <v>1</v>
      </c>
      <c r="D43" s="610"/>
      <c r="E43" s="611">
        <v>5000</v>
      </c>
      <c r="F43" s="612"/>
      <c r="G43" s="613">
        <v>4250</v>
      </c>
      <c r="H43" s="614"/>
      <c r="I43" s="611">
        <v>5100</v>
      </c>
      <c r="J43" s="614"/>
      <c r="K43" s="1351"/>
      <c r="L43" s="2163"/>
      <c r="M43" s="2153"/>
      <c r="N43" s="2153"/>
      <c r="O43" s="2164"/>
      <c r="P43" s="3269" t="str">
        <f>A43</f>
        <v>成交单价</v>
      </c>
      <c r="Q43" s="3269"/>
      <c r="R43" s="3265">
        <f>E43</f>
        <v>5000</v>
      </c>
      <c r="S43" s="3265"/>
      <c r="T43" s="3265">
        <f>G43</f>
        <v>4250</v>
      </c>
      <c r="U43" s="3265"/>
      <c r="V43" s="3265">
        <f>I43</f>
        <v>5100</v>
      </c>
      <c r="W43" s="3265"/>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69" t="str">
        <f>A44</f>
        <v>比较价格（元/平方米）</v>
      </c>
      <c r="Q44" s="3269"/>
      <c r="R44" s="3273">
        <f>ROUND(PRODUCT(R43,AA9:AA42),0)</f>
        <v>5611</v>
      </c>
      <c r="S44" s="3273"/>
      <c r="T44" s="3273" t="e">
        <f>ROUND(PRODUCT(T43,AB9:AB42),0)</f>
        <v>#DIV/0!</v>
      </c>
      <c r="U44" s="3273"/>
      <c r="V44" s="3273">
        <f>ROUND(PRODUCT(V43,AC9:AC42),0)</f>
        <v>8898</v>
      </c>
      <c r="W44" s="3273"/>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74" t="str">
        <f>A45</f>
        <v>估价对象XX用房的比较价格（楼面单价，元/平方米）</v>
      </c>
      <c r="Q45" s="3275"/>
      <c r="R45" s="3276" t="e">
        <f>ROUND(AVERAGE(R44:V44),0)</f>
        <v>#DIV/0!</v>
      </c>
      <c r="S45" s="3276"/>
      <c r="T45" s="3276"/>
      <c r="U45" s="3276"/>
      <c r="V45" s="3276"/>
      <c r="W45" s="3276"/>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2025</v>
      </c>
      <c r="D52" s="2246" t="s">
        <v>2609</v>
      </c>
      <c r="E52" s="631" t="s">
        <v>606</v>
      </c>
      <c r="F52" s="1963" t="s">
        <v>607</v>
      </c>
      <c r="G52" s="3411" t="s">
        <v>2600</v>
      </c>
      <c r="H52" s="3412"/>
      <c r="I52" s="1964" t="s">
        <v>2253</v>
      </c>
      <c r="J52" s="1568" t="str">
        <f>项目基本情况!F41</f>
        <v>重庆市</v>
      </c>
      <c r="K52" s="2173" t="s">
        <v>2024</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76634</v>
      </c>
      <c r="F53" s="1962" t="e">
        <f t="shared" ref="F53:F62" si="15">ROUND(B53*E53/10000,0)</f>
        <v>#DIV/0!</v>
      </c>
      <c r="G53" s="3413"/>
      <c r="H53" s="3414"/>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15" t="s">
        <v>2601</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15"/>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15"/>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15"/>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2654</v>
      </c>
      <c r="B58" s="638" t="e">
        <f t="shared" si="17"/>
        <v>#DIV/0!</v>
      </c>
      <c r="C58" s="383">
        <f t="shared" si="16"/>
        <v>0.25</v>
      </c>
      <c r="D58" s="2248">
        <v>0.25</v>
      </c>
      <c r="E58" s="641">
        <f>'数据-汇总表'!E11</f>
        <v>0</v>
      </c>
      <c r="F58" s="1962" t="e">
        <f t="shared" si="15"/>
        <v>#DIV/0!</v>
      </c>
      <c r="G58" s="1968" t="s">
        <v>2602</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2601</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2602</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2610</v>
      </c>
      <c r="E63" s="643">
        <f>IF(B43="楼面地价",SUM(E53:E62),'数据-汇总表'!D3)</f>
        <v>76643.09</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1994</v>
      </c>
      <c r="B1" s="1412"/>
      <c r="C1" s="1418" t="s">
        <v>2780</v>
      </c>
      <c r="D1" s="1534">
        <f>SUM(D29:D30,D33:D39)</f>
        <v>0</v>
      </c>
      <c r="E1" s="1418" t="s">
        <v>2781</v>
      </c>
      <c r="F1" s="2505"/>
      <c r="G1" s="1413"/>
      <c r="H1" s="1413"/>
      <c r="I1" s="1413"/>
      <c r="J1" s="1413"/>
      <c r="K1" s="1413"/>
      <c r="L1" s="1894" t="s">
        <v>2554</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2555</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1985</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2556</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2596</v>
      </c>
      <c r="B4" s="2506" t="e">
        <f>ROUND(B2*10000/F1,0)</f>
        <v>#DIV/0!</v>
      </c>
      <c r="C4" s="1906" t="s">
        <v>2570</v>
      </c>
      <c r="D4" s="1906" t="e">
        <f>ROUND(B2/(F1/666.67),0)</f>
        <v>#DIV/0!</v>
      </c>
      <c r="E4" s="1906" t="s">
        <v>2571</v>
      </c>
      <c r="F4" s="1904"/>
      <c r="G4" s="1904"/>
      <c r="H4" s="1904"/>
      <c r="I4" s="1904"/>
      <c r="J4" s="1905"/>
      <c r="K4" s="1413"/>
      <c r="L4" s="1897" t="s">
        <v>2557</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2126</v>
      </c>
      <c r="B5" s="1427" t="s">
        <v>1203</v>
      </c>
      <c r="C5" s="1040">
        <f>ROUND(IF(E2="商业",IF(F16="增加",C6*C7+C16,C6*C7-C16),IF(E2="住宅",IF(F16="增加",C6*C12+C16,C6*C12-C16),IF(F16="增加",C6+C16,C6-C16))),0)</f>
        <v>4257</v>
      </c>
      <c r="D5" s="1428"/>
      <c r="E5" s="1429"/>
      <c r="F5" s="1429"/>
      <c r="G5" s="1430"/>
      <c r="H5" s="1430"/>
      <c r="I5" s="1430"/>
      <c r="J5" s="1431"/>
      <c r="K5" s="1607"/>
      <c r="L5" s="1897" t="s">
        <v>2558</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2173</v>
      </c>
      <c r="B6" s="1435" t="s">
        <v>1203</v>
      </c>
      <c r="C6" s="1041">
        <f>SUMIF(L1:L12,基准地价!G2,M1:M12)</f>
        <v>3240</v>
      </c>
      <c r="D6" s="1436" t="s">
        <v>1995</v>
      </c>
      <c r="E6" s="1437"/>
      <c r="F6" s="1437"/>
      <c r="G6" s="1438"/>
      <c r="H6" s="1438"/>
      <c r="I6" s="1438"/>
      <c r="J6" s="1439"/>
      <c r="K6" s="1608"/>
      <c r="L6" s="1897" t="s">
        <v>2559</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25" t="str">
        <f>IF(E2="商业",IF(C8="不临58条商业街","",2),"")</f>
        <v/>
      </c>
      <c r="B7" s="1440" t="s">
        <v>1204</v>
      </c>
      <c r="C7" s="1042">
        <f>IF(C8="不临58条商业街",1,ROUND(1+(1.6*E8+1.2*E9+0.8*E10+0.4*E11)*C9,4))</f>
        <v>1</v>
      </c>
      <c r="D7" s="1441" t="s">
        <v>1205</v>
      </c>
      <c r="E7" s="1043">
        <v>60</v>
      </c>
      <c r="F7" s="1442"/>
      <c r="G7" s="1443"/>
      <c r="H7" s="1443"/>
      <c r="I7" s="1443"/>
      <c r="J7" s="1444"/>
      <c r="K7" s="1608"/>
      <c r="L7" s="1897" t="s">
        <v>2560</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26"/>
      <c r="B8" s="1426" t="s">
        <v>1206</v>
      </c>
      <c r="C8" s="1542" t="s">
        <v>2006</v>
      </c>
      <c r="D8" s="1044" t="s">
        <v>1207</v>
      </c>
      <c r="E8" s="1045">
        <f>ROUND(C11/E7,4)</f>
        <v>0</v>
      </c>
      <c r="F8" s="1445" t="s">
        <v>1208</v>
      </c>
      <c r="G8" s="1446"/>
      <c r="H8" s="1446"/>
      <c r="I8" s="1446"/>
      <c r="J8" s="1447"/>
      <c r="K8" s="1413"/>
      <c r="L8" s="1897" t="s">
        <v>2561</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t="e">
        <f t="shared" si="0"/>
        <v>#DIV/0!</v>
      </c>
      <c r="U8" s="2928"/>
      <c r="V8" s="2940" t="e">
        <f t="shared" si="1"/>
        <v>#DIV/0!</v>
      </c>
      <c r="W8" s="3432" t="s">
        <v>3162</v>
      </c>
      <c r="X8" s="3433"/>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26"/>
      <c r="B9" s="1426" t="s">
        <v>1209</v>
      </c>
      <c r="C9" s="1046">
        <f>SUMIF(修正!C59:C119,C8,修正!E59:E119)</f>
        <v>0</v>
      </c>
      <c r="D9" s="1047" t="s">
        <v>1210</v>
      </c>
      <c r="E9" s="1047">
        <f>ROUND(C11/E7,4)</f>
        <v>0</v>
      </c>
      <c r="F9" s="1445" t="s">
        <v>1211</v>
      </c>
      <c r="G9" s="1446"/>
      <c r="H9" s="1446"/>
      <c r="I9" s="1446"/>
      <c r="J9" s="1447"/>
      <c r="K9" s="1413"/>
      <c r="L9" s="1897" t="s">
        <v>2562</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t="e">
        <f t="shared" si="0"/>
        <v>#DIV/0!</v>
      </c>
      <c r="U9" s="2928"/>
      <c r="V9" s="2940" t="e">
        <f t="shared" si="1"/>
        <v>#DIV/0!</v>
      </c>
      <c r="W9" s="3431"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26"/>
      <c r="B10" s="1426" t="s">
        <v>1212</v>
      </c>
      <c r="C10" s="1047">
        <f>SUMIF(修正!C59:C119,C8,修正!F59:F119)</f>
        <v>0</v>
      </c>
      <c r="D10" s="1047" t="s">
        <v>1213</v>
      </c>
      <c r="E10" s="1047">
        <f>ROUND(C11/E7,4)</f>
        <v>0</v>
      </c>
      <c r="F10" s="1445" t="s">
        <v>1214</v>
      </c>
      <c r="G10" s="1446"/>
      <c r="H10" s="1446"/>
      <c r="I10" s="1446"/>
      <c r="J10" s="1447"/>
      <c r="K10" s="1413"/>
      <c r="L10" s="1897" t="s">
        <v>2563</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t="e">
        <f t="shared" si="0"/>
        <v>#DIV/0!</v>
      </c>
      <c r="U10" s="2928"/>
      <c r="V10" s="2940" t="e">
        <f t="shared" si="1"/>
        <v>#DIV/0!</v>
      </c>
      <c r="W10" s="3431"/>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26"/>
      <c r="B11" s="1448" t="s">
        <v>1215</v>
      </c>
      <c r="C11" s="1048">
        <f>C10/4</f>
        <v>0</v>
      </c>
      <c r="D11" s="1048" t="s">
        <v>1216</v>
      </c>
      <c r="E11" s="1048">
        <f>ROUND(C11/E7,4)</f>
        <v>0</v>
      </c>
      <c r="F11" s="1449" t="s">
        <v>1217</v>
      </c>
      <c r="G11" s="1450"/>
      <c r="H11" s="1450"/>
      <c r="I11" s="1450"/>
      <c r="J11" s="1451"/>
      <c r="K11" s="1413"/>
      <c r="L11" s="1897" t="s">
        <v>2564</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t="e">
        <f t="shared" si="0"/>
        <v>#DIV/0!</v>
      </c>
      <c r="U11" s="2928"/>
      <c r="V11" s="2940" t="e">
        <f t="shared" si="1"/>
        <v>#DIV/0!</v>
      </c>
      <c r="W11" s="3431"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25" t="s">
        <v>2174</v>
      </c>
      <c r="B12" s="1452" t="s">
        <v>1218</v>
      </c>
      <c r="C12" s="1042">
        <f>ROUND(C15*D15*E15*F15*G15*H15*I15*J15,4)</f>
        <v>1.32</v>
      </c>
      <c r="D12" s="1453" t="s">
        <v>1219</v>
      </c>
      <c r="E12" s="1454"/>
      <c r="F12" s="1454"/>
      <c r="G12" s="1455"/>
      <c r="H12" s="1455"/>
      <c r="I12" s="1455"/>
      <c r="J12" s="1456"/>
      <c r="K12" s="1413"/>
      <c r="L12" s="1900" t="s">
        <v>2565</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t="e">
        <f t="shared" si="0"/>
        <v>#DIV/0!</v>
      </c>
      <c r="U12" s="2928"/>
      <c r="V12" s="2940" t="e">
        <f t="shared" si="1"/>
        <v>#DIV/0!</v>
      </c>
      <c r="W12" s="3431"/>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27"/>
      <c r="B13" s="1457" t="s">
        <v>1996</v>
      </c>
      <c r="C13" s="1458" t="s">
        <v>1997</v>
      </c>
      <c r="D13" s="1088" t="s">
        <v>1998</v>
      </c>
      <c r="E13" s="1088" t="s">
        <v>1999</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t="e">
        <f t="shared" si="0"/>
        <v>#DIV/0!</v>
      </c>
      <c r="U13" s="2928"/>
      <c r="V13" s="2940" t="e">
        <f t="shared" si="1"/>
        <v>#DIV/0!</v>
      </c>
      <c r="W13" s="3431"/>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27"/>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t="e">
        <f t="shared" si="0"/>
        <v>#DIV/0!</v>
      </c>
      <c r="U14" s="2928"/>
      <c r="V14" s="2940" t="e">
        <f t="shared" si="1"/>
        <v>#DIV/0!</v>
      </c>
      <c r="W14" s="2208"/>
      <c r="X14" s="2208"/>
      <c r="Y14" s="2208"/>
      <c r="Z14" s="2208"/>
      <c r="AA14" s="2208"/>
      <c r="AB14" s="2208"/>
      <c r="AC14" s="2209"/>
    </row>
    <row r="15" spans="1:39" ht="13.5" customHeight="1" thickBot="1">
      <c r="A15" s="3428"/>
      <c r="B15" s="1472" t="s">
        <v>2000</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t="e">
        <f t="shared" si="0"/>
        <v>#DIV/0!</v>
      </c>
      <c r="U15" s="2928"/>
      <c r="V15" s="2940" t="e">
        <f t="shared" si="1"/>
        <v>#DIV/0!</v>
      </c>
      <c r="W15" s="2208"/>
      <c r="X15" s="2208"/>
      <c r="Y15" s="2208"/>
      <c r="Z15" s="2208"/>
      <c r="AA15" s="2208"/>
      <c r="AB15" s="2208"/>
      <c r="AC15" s="2209"/>
    </row>
    <row r="16" spans="1:39" ht="24">
      <c r="A16" s="3425" t="s">
        <v>2141</v>
      </c>
      <c r="B16" s="1440" t="s">
        <v>1225</v>
      </c>
      <c r="C16" s="1053">
        <f>ROUND(SUM(G17:J17)/C17,0)</f>
        <v>20</v>
      </c>
      <c r="D16" s="1473" t="s">
        <v>1226</v>
      </c>
      <c r="E16" s="1474" t="s">
        <v>1992</v>
      </c>
      <c r="F16" s="1475" t="s">
        <v>2764</v>
      </c>
      <c r="G16" s="1476" t="s">
        <v>1993</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t="e">
        <f t="shared" si="0"/>
        <v>#DIV/0!</v>
      </c>
      <c r="U16" s="2928"/>
      <c r="V16" s="2940" t="e">
        <f t="shared" si="1"/>
        <v>#DIV/0!</v>
      </c>
      <c r="W16" s="2211"/>
      <c r="X16" s="2211"/>
      <c r="Y16" s="2211"/>
      <c r="Z16" s="2211"/>
      <c r="AA16" s="2211"/>
      <c r="AB16" s="2211"/>
      <c r="AC16" s="2212"/>
    </row>
    <row r="17" spans="1:40" ht="13.5" thickBot="1">
      <c r="A17" s="3426"/>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2132</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2138</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2139</v>
      </c>
      <c r="B20" s="2837" t="s">
        <v>1247</v>
      </c>
      <c r="C20" s="2838" t="e">
        <f>ROUND(POWER(1+G20,J20-I20)*(POWER(1+G20,I20)-1)/(POWER(1+G20,J20)-1),4)</f>
        <v>#DIV/0!</v>
      </c>
      <c r="D20" s="2839" t="s">
        <v>1248</v>
      </c>
      <c r="E20" s="2840">
        <v>4.3499999999999997E-2</v>
      </c>
      <c r="F20" s="2839" t="s">
        <v>1249</v>
      </c>
      <c r="G20" s="2841">
        <f>SUMIF(M15:P15,E2,M17:P17)</f>
        <v>0.05</v>
      </c>
      <c r="H20" s="2839" t="s">
        <v>1250</v>
      </c>
      <c r="I20" s="2829" t="e">
        <f>SUMIF('数据-取费表'!C6:C15,E2,'数据-取费表'!F6:F15)/COUNTIF('数据-取费表'!C6:C15,E2)</f>
        <v>#DIV/0!</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2140</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2173</v>
      </c>
      <c r="B22" s="1496" t="s">
        <v>1252</v>
      </c>
      <c r="C22" s="1059" t="s">
        <v>2002</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2174</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2175</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2176</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2001</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t="e">
        <f>ROUND(C5*C19*C20*C24*F33,0)</f>
        <v>#DIV/0!</v>
      </c>
      <c r="D33" s="1550"/>
      <c r="E33" s="1047" t="e">
        <f>ROUND(C33*D33/10000,0)</f>
        <v>#DIV/0!</v>
      </c>
      <c r="F33" s="1047">
        <f>SUMIF(修正!A45:A56,G2,修正!B45:B56)</f>
        <v>0.6</v>
      </c>
      <c r="G33" s="1047" t="e">
        <f t="shared" ref="G33:G39" si="6">ROUND(IF(E2="工业",C33*$M$39,C33*$M$38),0)</f>
        <v>#DIV/0!</v>
      </c>
      <c r="H33" s="1047">
        <f>D33</f>
        <v>0</v>
      </c>
      <c r="I33" s="1047" t="e">
        <f>ROUND(G33*H33/10000,0)</f>
        <v>#DIV/0!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t="e">
        <f>ROUND(C5*C19*C20*C24*F34,0)</f>
        <v>#DIV/0!</v>
      </c>
      <c r="D34" s="1550"/>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t="e">
        <f>ROUND(C5*C19*C20*C24*F35,0)</f>
        <v>#DIV/0!</v>
      </c>
      <c r="D35" s="1550"/>
      <c r="E35" s="1047" t="e">
        <f t="shared" si="7"/>
        <v>#DIV/0!</v>
      </c>
      <c r="F35" s="1047">
        <f>SUMIF(修正!A45:A56,G2,修正!D45:D56)</f>
        <v>0.2</v>
      </c>
      <c r="G35" s="1047" t="e">
        <f t="shared" si="6"/>
        <v>#DIV/0!</v>
      </c>
      <c r="H35" s="1047">
        <f t="shared" si="8"/>
        <v>0</v>
      </c>
      <c r="I35" s="1047" t="e">
        <f t="shared" si="9"/>
        <v>#DIV/0!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t="e">
        <f>ROUND(C5*C19*C20*C24*F36,0)</f>
        <v>#DIV/0!</v>
      </c>
      <c r="D36" s="1550"/>
      <c r="E36" s="1047" t="e">
        <f t="shared" si="7"/>
        <v>#DIV/0!</v>
      </c>
      <c r="F36" s="1047">
        <f>SUMIF(修正!A45:A56,G2,修正!E45:E56)</f>
        <v>0.2</v>
      </c>
      <c r="G36" s="1047" t="e">
        <f t="shared" si="6"/>
        <v>#DIV/0!</v>
      </c>
      <c r="H36" s="1047">
        <f t="shared" si="8"/>
        <v>0</v>
      </c>
      <c r="I36" s="1047" t="e">
        <f t="shared" si="9"/>
        <v>#DIV/0!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t="e">
        <f>ROUND(C5*C19*C20*C24*F37,0)</f>
        <v>#DIV/0!</v>
      </c>
      <c r="D37" s="1550"/>
      <c r="E37" s="1047" t="e">
        <f t="shared" si="7"/>
        <v>#DIV/0!</v>
      </c>
      <c r="F37" s="1062">
        <f>SUMIF(修正!A45:A56,G2,修正!F45:F56)</f>
        <v>0.2</v>
      </c>
      <c r="G37" s="1047" t="e">
        <f t="shared" si="6"/>
        <v>#DIV/0!</v>
      </c>
      <c r="H37" s="1047">
        <f t="shared" si="8"/>
        <v>0</v>
      </c>
      <c r="I37" s="1047" t="e">
        <f t="shared" si="9"/>
        <v>#DIV/0!</v>
      </c>
      <c r="J37" s="1538"/>
      <c r="K37" s="1413"/>
      <c r="L37" s="1557" t="s">
        <v>2003</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t="e">
        <f>ROUND(C5*C19*C20*C24*F38,0)</f>
        <v>#DIV/0!</v>
      </c>
      <c r="D38" s="1550"/>
      <c r="E38" s="1047" t="e">
        <f t="shared" si="7"/>
        <v>#DIV/0!</v>
      </c>
      <c r="F38" s="1062">
        <f>SUMIF(修正!A45:A56,G2,修正!G45:G56)</f>
        <v>0.2</v>
      </c>
      <c r="G38" s="1047" t="e">
        <f t="shared" si="6"/>
        <v>#DIV/0!</v>
      </c>
      <c r="H38" s="1047">
        <f t="shared" si="8"/>
        <v>0</v>
      </c>
      <c r="I38" s="1047" t="e">
        <f t="shared" si="9"/>
        <v>#DIV/0!</v>
      </c>
      <c r="J38" s="1538"/>
      <c r="K38" s="1413"/>
      <c r="L38" s="1559" t="s">
        <v>2005</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t="e">
        <f>ROUND(C5*C19*C20*C24*F39,0)</f>
        <v>#DIV/0!</v>
      </c>
      <c r="D39" s="1551"/>
      <c r="E39" s="1050" t="e">
        <f t="shared" si="7"/>
        <v>#DIV/0!</v>
      </c>
      <c r="F39" s="1064">
        <f>SUMIF(修正!A45:A56,G2,修正!H45:H56)</f>
        <v>0.15</v>
      </c>
      <c r="G39" s="1050" t="e">
        <f t="shared" si="6"/>
        <v>#DIV/0!</v>
      </c>
      <c r="H39" s="1050">
        <f t="shared" si="8"/>
        <v>0</v>
      </c>
      <c r="I39" s="1050" t="e">
        <f t="shared" si="9"/>
        <v>#DIV/0!</v>
      </c>
      <c r="J39" s="1540"/>
      <c r="K39" s="1413"/>
      <c r="L39" s="1561" t="s">
        <v>2004</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2566</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2567</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2568</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2679</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2569</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2679</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29" t="s">
        <v>1913</v>
      </c>
      <c r="B90" s="3429"/>
      <c r="C90" s="3429"/>
      <c r="D90" s="3429"/>
      <c r="E90" s="3429"/>
      <c r="F90" s="3429"/>
      <c r="G90" s="3429"/>
      <c r="H90" s="3429"/>
      <c r="I90" s="3429"/>
      <c r="J90" s="3429"/>
      <c r="K90" s="2503"/>
      <c r="L90" s="2503"/>
      <c r="M90" s="2503"/>
      <c r="N90" s="2503"/>
    </row>
    <row r="91" spans="1:40">
      <c r="A91" s="3430" t="s">
        <v>1723</v>
      </c>
      <c r="B91" s="3430" t="s">
        <v>1914</v>
      </c>
      <c r="C91" s="1139" t="s">
        <v>1915</v>
      </c>
      <c r="D91" s="1140"/>
      <c r="E91" s="1140"/>
      <c r="F91" s="1140"/>
      <c r="G91" s="1140"/>
      <c r="H91" s="1140"/>
      <c r="I91" s="1140"/>
      <c r="J91" s="1141"/>
      <c r="K91" s="1133"/>
      <c r="L91" s="1133"/>
      <c r="M91" s="1133"/>
      <c r="N91" s="1133"/>
    </row>
    <row r="92" spans="1:40">
      <c r="A92" s="3430"/>
      <c r="B92" s="3430"/>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34"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5"/>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4"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35"/>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35"/>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35"/>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35"/>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35"/>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35"/>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35"/>
      <c r="B108" s="3437"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6"/>
      <c r="B109" s="3438"/>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24" t="s">
        <v>1919</v>
      </c>
      <c r="B110" s="3424"/>
      <c r="C110" s="3424"/>
      <c r="D110" s="3424"/>
      <c r="E110" s="3424"/>
      <c r="F110" s="3424"/>
      <c r="G110" s="3424"/>
      <c r="H110" s="3424"/>
      <c r="I110" s="3424"/>
      <c r="J110" s="3424"/>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30" t="s">
        <v>1283</v>
      </c>
      <c r="B18" s="1153" t="s">
        <v>1726</v>
      </c>
      <c r="C18" s="1130" t="s">
        <v>1727</v>
      </c>
      <c r="D18" s="1131"/>
      <c r="E18" s="1153">
        <v>1</v>
      </c>
      <c r="F18" s="1132" t="s">
        <v>1728</v>
      </c>
      <c r="G18" s="1133"/>
      <c r="H18" s="1104"/>
      <c r="I18" s="1104"/>
    </row>
    <row r="19" spans="1:9" s="1612" customFormat="1" ht="19.5" customHeight="1">
      <c r="A19" s="3430"/>
      <c r="B19" s="3430" t="s">
        <v>1729</v>
      </c>
      <c r="C19" s="1130" t="s">
        <v>1730</v>
      </c>
      <c r="D19" s="1131"/>
      <c r="E19" s="1153">
        <v>0.9</v>
      </c>
      <c r="F19" s="1132" t="s">
        <v>1731</v>
      </c>
      <c r="G19" s="1133"/>
      <c r="H19" s="1104"/>
      <c r="I19" s="1104"/>
    </row>
    <row r="20" spans="1:9" s="1612" customFormat="1" ht="19.5" customHeight="1">
      <c r="A20" s="3430"/>
      <c r="B20" s="3430"/>
      <c r="C20" s="1130" t="s">
        <v>1732</v>
      </c>
      <c r="D20" s="1131"/>
      <c r="E20" s="1153">
        <v>1.1000000000000001</v>
      </c>
      <c r="F20" s="1132" t="s">
        <v>1733</v>
      </c>
      <c r="G20" s="1133"/>
      <c r="H20" s="1104"/>
      <c r="I20" s="1104"/>
    </row>
    <row r="21" spans="1:9" s="1612" customFormat="1" ht="19.5" customHeight="1">
      <c r="A21" s="3430"/>
      <c r="B21" s="3430"/>
      <c r="C21" s="1130" t="s">
        <v>1734</v>
      </c>
      <c r="D21" s="1131"/>
      <c r="E21" s="1153">
        <v>0.8</v>
      </c>
      <c r="F21" s="1132" t="s">
        <v>1735</v>
      </c>
      <c r="G21" s="1133"/>
      <c r="H21" s="1104"/>
      <c r="I21" s="1104"/>
    </row>
    <row r="22" spans="1:9" s="1612" customFormat="1" ht="19.5" customHeight="1">
      <c r="A22" s="3430"/>
      <c r="B22" s="3430"/>
      <c r="C22" s="1130" t="s">
        <v>1736</v>
      </c>
      <c r="D22" s="1131"/>
      <c r="E22" s="1153">
        <v>0.5</v>
      </c>
      <c r="F22" s="1132"/>
      <c r="G22" s="1133"/>
      <c r="H22" s="1104"/>
      <c r="I22" s="1104"/>
    </row>
    <row r="23" spans="1:9" s="1612" customFormat="1" ht="19.5" customHeight="1">
      <c r="A23" s="3430" t="s">
        <v>1307</v>
      </c>
      <c r="B23" s="1153" t="s">
        <v>1726</v>
      </c>
      <c r="C23" s="1130" t="s">
        <v>1737</v>
      </c>
      <c r="D23" s="1131"/>
      <c r="E23" s="1153">
        <v>1</v>
      </c>
      <c r="F23" s="1132" t="s">
        <v>1738</v>
      </c>
      <c r="G23" s="1133"/>
      <c r="H23" s="1104"/>
      <c r="I23" s="1104"/>
    </row>
    <row r="24" spans="1:9" s="1612" customFormat="1" ht="19.5" customHeight="1">
      <c r="A24" s="3430"/>
      <c r="B24" s="3430" t="s">
        <v>1729</v>
      </c>
      <c r="C24" s="1130" t="s">
        <v>1739</v>
      </c>
      <c r="D24" s="1131"/>
      <c r="E24" s="1153">
        <v>0.5</v>
      </c>
      <c r="F24" s="1132"/>
      <c r="G24" s="1133"/>
      <c r="H24" s="1104"/>
      <c r="I24" s="1104"/>
    </row>
    <row r="25" spans="1:9" s="1612" customFormat="1" ht="19.5" customHeight="1">
      <c r="A25" s="3430"/>
      <c r="B25" s="3430"/>
      <c r="C25" s="1130" t="s">
        <v>1740</v>
      </c>
      <c r="D25" s="1131"/>
      <c r="E25" s="1153">
        <v>1.1000000000000001</v>
      </c>
      <c r="F25" s="1132"/>
      <c r="G25" s="1133"/>
      <c r="H25" s="1104"/>
      <c r="I25" s="1104"/>
    </row>
    <row r="26" spans="1:9" s="1612" customFormat="1" ht="19.5" customHeight="1">
      <c r="A26" s="3430"/>
      <c r="B26" s="3430"/>
      <c r="C26" s="1130" t="s">
        <v>1741</v>
      </c>
      <c r="D26" s="1131"/>
      <c r="E26" s="1153">
        <v>1.1000000000000001</v>
      </c>
      <c r="F26" s="1132"/>
      <c r="G26" s="1133"/>
      <c r="H26" s="1104"/>
      <c r="I26" s="1104"/>
    </row>
    <row r="27" spans="1:9" s="1612" customFormat="1" ht="19.5" customHeight="1">
      <c r="A27" s="3430"/>
      <c r="B27" s="3430"/>
      <c r="C27" s="1130" t="s">
        <v>1742</v>
      </c>
      <c r="D27" s="1131"/>
      <c r="E27" s="1153">
        <v>0.9</v>
      </c>
      <c r="F27" s="1132" t="s">
        <v>1743</v>
      </c>
      <c r="G27" s="1133"/>
      <c r="H27" s="1104"/>
      <c r="I27" s="1104"/>
    </row>
    <row r="28" spans="1:9" s="1612" customFormat="1" ht="19.5" customHeight="1">
      <c r="A28" s="3430"/>
      <c r="B28" s="3430"/>
      <c r="C28" s="1130" t="s">
        <v>1744</v>
      </c>
      <c r="D28" s="1131"/>
      <c r="E28" s="1153">
        <v>0.9</v>
      </c>
      <c r="F28" s="1132" t="s">
        <v>1745</v>
      </c>
      <c r="G28" s="1133"/>
      <c r="H28" s="1104"/>
      <c r="I28" s="1104"/>
    </row>
    <row r="29" spans="1:9" s="1612" customFormat="1" ht="19.5" customHeight="1">
      <c r="A29" s="3430"/>
      <c r="B29" s="3430"/>
      <c r="C29" s="1130" t="s">
        <v>1746</v>
      </c>
      <c r="D29" s="1131"/>
      <c r="E29" s="1153">
        <v>0.9</v>
      </c>
      <c r="F29" s="1132" t="s">
        <v>1747</v>
      </c>
      <c r="G29" s="1133"/>
      <c r="H29" s="1104"/>
      <c r="I29" s="1104"/>
    </row>
    <row r="30" spans="1:9" s="1612" customFormat="1" ht="19.5" customHeight="1">
      <c r="A30" s="3430"/>
      <c r="B30" s="3430"/>
      <c r="C30" s="1130" t="s">
        <v>1748</v>
      </c>
      <c r="D30" s="1131"/>
      <c r="E30" s="1153">
        <v>0.9</v>
      </c>
      <c r="F30" s="1132" t="s">
        <v>1749</v>
      </c>
      <c r="G30" s="1133"/>
      <c r="H30" s="1104"/>
      <c r="I30" s="1104"/>
    </row>
    <row r="31" spans="1:9" s="1612" customFormat="1" ht="19.5" customHeight="1">
      <c r="A31" s="3430"/>
      <c r="B31" s="3430"/>
      <c r="C31" s="1130" t="s">
        <v>1750</v>
      </c>
      <c r="D31" s="1131"/>
      <c r="E31" s="1153">
        <v>0.8</v>
      </c>
      <c r="F31" s="1132" t="s">
        <v>1751</v>
      </c>
      <c r="G31" s="1133"/>
      <c r="H31" s="1104"/>
      <c r="I31" s="1104"/>
    </row>
    <row r="32" spans="1:9" s="1612" customFormat="1" ht="19.5" customHeight="1">
      <c r="A32" s="3430"/>
      <c r="B32" s="3430"/>
      <c r="C32" s="1130" t="s">
        <v>1752</v>
      </c>
      <c r="D32" s="1131"/>
      <c r="E32" s="1153">
        <v>0.8</v>
      </c>
      <c r="F32" s="1132" t="s">
        <v>1753</v>
      </c>
      <c r="G32" s="1133"/>
      <c r="H32" s="1104"/>
      <c r="I32" s="1104"/>
    </row>
    <row r="33" spans="1:9" s="1612" customFormat="1" ht="19.5" customHeight="1">
      <c r="A33" s="3430" t="s">
        <v>1754</v>
      </c>
      <c r="B33" s="1153" t="s">
        <v>1726</v>
      </c>
      <c r="C33" s="1130" t="s">
        <v>1755</v>
      </c>
      <c r="D33" s="1131"/>
      <c r="E33" s="1153">
        <v>1</v>
      </c>
      <c r="F33" s="1132" t="s">
        <v>1756</v>
      </c>
      <c r="G33" s="1133"/>
      <c r="H33" s="1104"/>
      <c r="I33" s="1104"/>
    </row>
    <row r="34" spans="1:9" s="1612" customFormat="1" ht="19.5" customHeight="1">
      <c r="A34" s="3430"/>
      <c r="B34" s="1153" t="s">
        <v>1729</v>
      </c>
      <c r="C34" s="1130" t="s">
        <v>1757</v>
      </c>
      <c r="D34" s="1131"/>
      <c r="E34" s="1153">
        <v>1.5</v>
      </c>
      <c r="F34" s="1132" t="s">
        <v>1758</v>
      </c>
      <c r="G34" s="1133"/>
      <c r="H34" s="1104"/>
      <c r="I34" s="1104"/>
    </row>
    <row r="35" spans="1:9" s="1612" customFormat="1" ht="19.5" customHeight="1">
      <c r="A35" s="3430" t="s">
        <v>1712</v>
      </c>
      <c r="B35" s="1153" t="s">
        <v>1726</v>
      </c>
      <c r="C35" s="1130" t="s">
        <v>1759</v>
      </c>
      <c r="D35" s="1131"/>
      <c r="E35" s="1153">
        <v>1</v>
      </c>
      <c r="F35" s="1132" t="s">
        <v>1760</v>
      </c>
      <c r="G35" s="1133"/>
      <c r="H35" s="1104"/>
      <c r="I35" s="1104"/>
    </row>
    <row r="36" spans="1:9" s="1612" customFormat="1" ht="19.5" customHeight="1">
      <c r="A36" s="3430"/>
      <c r="B36" s="3430" t="s">
        <v>1729</v>
      </c>
      <c r="C36" s="1130" t="s">
        <v>1761</v>
      </c>
      <c r="D36" s="1131"/>
      <c r="E36" s="1153">
        <v>1</v>
      </c>
      <c r="F36" s="1132" t="s">
        <v>1762</v>
      </c>
      <c r="G36" s="1133"/>
      <c r="H36" s="1104"/>
      <c r="I36" s="1104"/>
    </row>
    <row r="37" spans="1:9" s="1612" customFormat="1" ht="19.5" customHeight="1">
      <c r="A37" s="3430"/>
      <c r="B37" s="3430"/>
      <c r="C37" s="1130" t="s">
        <v>1763</v>
      </c>
      <c r="D37" s="1131"/>
      <c r="E37" s="1153">
        <v>1.5</v>
      </c>
      <c r="F37" s="1132" t="s">
        <v>1764</v>
      </c>
      <c r="G37" s="1133"/>
      <c r="H37" s="1104"/>
      <c r="I37" s="1104"/>
    </row>
    <row r="38" spans="1:9" s="1612" customFormat="1" ht="19.5" customHeight="1">
      <c r="A38" s="3430"/>
      <c r="B38" s="3430"/>
      <c r="C38" s="1130" t="s">
        <v>1765</v>
      </c>
      <c r="D38" s="1131"/>
      <c r="E38" s="1153">
        <v>1</v>
      </c>
      <c r="F38" s="1132" t="s">
        <v>1766</v>
      </c>
      <c r="G38" s="1133"/>
      <c r="H38" s="1104"/>
      <c r="I38" s="1104"/>
    </row>
    <row r="39" spans="1:9" s="1612" customFormat="1" ht="19.5" customHeight="1">
      <c r="A39" s="3430"/>
      <c r="B39" s="3430"/>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30" t="s">
        <v>1781</v>
      </c>
      <c r="C61" s="1067" t="s">
        <v>1782</v>
      </c>
      <c r="D61" s="1067" t="s">
        <v>1783</v>
      </c>
      <c r="E61" s="1138">
        <v>0.5</v>
      </c>
      <c r="F61" s="1153">
        <v>80</v>
      </c>
      <c r="H61" s="1104">
        <f>SUMIF(C59:C119,基准地价!C8,E59:E119)</f>
        <v>0</v>
      </c>
    </row>
    <row r="62" spans="1:8" s="1104" customFormat="1" ht="24">
      <c r="A62" s="1153">
        <v>2</v>
      </c>
      <c r="B62" s="3430"/>
      <c r="C62" s="1067" t="s">
        <v>1784</v>
      </c>
      <c r="D62" s="1067" t="s">
        <v>1785</v>
      </c>
      <c r="E62" s="1138">
        <v>0.5</v>
      </c>
      <c r="F62" s="1153">
        <v>80</v>
      </c>
    </row>
    <row r="63" spans="1:8" s="1104" customFormat="1" ht="36">
      <c r="A63" s="1153">
        <v>3</v>
      </c>
      <c r="B63" s="3430"/>
      <c r="C63" s="1067" t="s">
        <v>1786</v>
      </c>
      <c r="D63" s="1067" t="s">
        <v>1787</v>
      </c>
      <c r="E63" s="1138">
        <v>0.5</v>
      </c>
      <c r="F63" s="1153">
        <v>80</v>
      </c>
    </row>
    <row r="64" spans="1:8" s="1104" customFormat="1" ht="36">
      <c r="A64" s="1153">
        <v>4</v>
      </c>
      <c r="B64" s="3430"/>
      <c r="C64" s="1067" t="s">
        <v>1788</v>
      </c>
      <c r="D64" s="1067" t="s">
        <v>1789</v>
      </c>
      <c r="E64" s="1138">
        <v>0.4</v>
      </c>
      <c r="F64" s="1153">
        <v>60</v>
      </c>
    </row>
    <row r="65" spans="1:6" s="1104" customFormat="1" ht="36">
      <c r="A65" s="1153">
        <v>5</v>
      </c>
      <c r="B65" s="3430"/>
      <c r="C65" s="1067" t="s">
        <v>1790</v>
      </c>
      <c r="D65" s="1067" t="s">
        <v>1791</v>
      </c>
      <c r="E65" s="1138">
        <v>0.2</v>
      </c>
      <c r="F65" s="1153">
        <v>30</v>
      </c>
    </row>
    <row r="66" spans="1:6" s="1104" customFormat="1" ht="36">
      <c r="A66" s="1153">
        <v>6</v>
      </c>
      <c r="B66" s="3430"/>
      <c r="C66" s="1067" t="s">
        <v>1792</v>
      </c>
      <c r="D66" s="1067" t="s">
        <v>1793</v>
      </c>
      <c r="E66" s="1138">
        <v>0.3</v>
      </c>
      <c r="F66" s="1153">
        <v>50</v>
      </c>
    </row>
    <row r="67" spans="1:6" s="1104" customFormat="1" ht="36">
      <c r="A67" s="1153">
        <v>7</v>
      </c>
      <c r="B67" s="3430"/>
      <c r="C67" s="1067" t="s">
        <v>1794</v>
      </c>
      <c r="D67" s="1067" t="s">
        <v>1795</v>
      </c>
      <c r="E67" s="1138">
        <v>0.2</v>
      </c>
      <c r="F67" s="1153">
        <v>30</v>
      </c>
    </row>
    <row r="68" spans="1:6" s="1104" customFormat="1" ht="36">
      <c r="A68" s="1153">
        <v>8</v>
      </c>
      <c r="B68" s="3430"/>
      <c r="C68" s="1067" t="s">
        <v>1796</v>
      </c>
      <c r="D68" s="1067" t="s">
        <v>1797</v>
      </c>
      <c r="E68" s="1138">
        <v>0.2</v>
      </c>
      <c r="F68" s="1153">
        <v>30</v>
      </c>
    </row>
    <row r="69" spans="1:6" s="1104" customFormat="1" ht="36">
      <c r="A69" s="1153">
        <v>9</v>
      </c>
      <c r="B69" s="3430"/>
      <c r="C69" s="1067" t="s">
        <v>1798</v>
      </c>
      <c r="D69" s="1067" t="s">
        <v>1799</v>
      </c>
      <c r="E69" s="1138">
        <v>0.2</v>
      </c>
      <c r="F69" s="1153">
        <v>30</v>
      </c>
    </row>
    <row r="70" spans="1:6" s="1104" customFormat="1" ht="48">
      <c r="A70" s="1153">
        <v>10</v>
      </c>
      <c r="B70" s="3430"/>
      <c r="C70" s="1067" t="s">
        <v>1800</v>
      </c>
      <c r="D70" s="1067" t="s">
        <v>1801</v>
      </c>
      <c r="E70" s="1138">
        <v>0.2</v>
      </c>
      <c r="F70" s="1153">
        <v>30</v>
      </c>
    </row>
    <row r="71" spans="1:6" s="1104" customFormat="1" ht="48">
      <c r="A71" s="1153">
        <v>11</v>
      </c>
      <c r="B71" s="3430"/>
      <c r="C71" s="1067" t="s">
        <v>1802</v>
      </c>
      <c r="D71" s="1067" t="s">
        <v>1803</v>
      </c>
      <c r="E71" s="1138">
        <v>0.2</v>
      </c>
      <c r="F71" s="1153">
        <v>30</v>
      </c>
    </row>
    <row r="72" spans="1:6" s="1104" customFormat="1" ht="36">
      <c r="A72" s="1153">
        <v>12</v>
      </c>
      <c r="B72" s="3430"/>
      <c r="C72" s="1067" t="s">
        <v>1804</v>
      </c>
      <c r="D72" s="1067" t="s">
        <v>1805</v>
      </c>
      <c r="E72" s="1138">
        <v>0.5</v>
      </c>
      <c r="F72" s="1153">
        <v>80</v>
      </c>
    </row>
    <row r="73" spans="1:6" s="1104" customFormat="1" ht="24">
      <c r="A73" s="1153">
        <v>13</v>
      </c>
      <c r="B73" s="3430"/>
      <c r="C73" s="1067" t="s">
        <v>1806</v>
      </c>
      <c r="D73" s="1067" t="s">
        <v>1807</v>
      </c>
      <c r="E73" s="1138">
        <v>0.4</v>
      </c>
      <c r="F73" s="1153">
        <v>60</v>
      </c>
    </row>
    <row r="74" spans="1:6" s="1104" customFormat="1" ht="24">
      <c r="A74" s="1153">
        <v>14</v>
      </c>
      <c r="B74" s="3430"/>
      <c r="C74" s="1067" t="s">
        <v>1808</v>
      </c>
      <c r="D74" s="1067" t="s">
        <v>1809</v>
      </c>
      <c r="E74" s="1138">
        <v>0.2</v>
      </c>
      <c r="F74" s="1153">
        <v>30</v>
      </c>
    </row>
    <row r="75" spans="1:6" s="1104" customFormat="1" ht="24">
      <c r="A75" s="1153">
        <v>15</v>
      </c>
      <c r="B75" s="3430"/>
      <c r="C75" s="1067" t="s">
        <v>1810</v>
      </c>
      <c r="D75" s="1067" t="s">
        <v>1811</v>
      </c>
      <c r="E75" s="1138">
        <v>0.2</v>
      </c>
      <c r="F75" s="1153">
        <v>30</v>
      </c>
    </row>
    <row r="76" spans="1:6" s="1104" customFormat="1" ht="24">
      <c r="A76" s="1153">
        <v>16</v>
      </c>
      <c r="B76" s="3430" t="s">
        <v>1812</v>
      </c>
      <c r="C76" s="1067" t="s">
        <v>1813</v>
      </c>
      <c r="D76" s="1067" t="s">
        <v>1814</v>
      </c>
      <c r="E76" s="1138">
        <v>0.5</v>
      </c>
      <c r="F76" s="1153">
        <v>80</v>
      </c>
    </row>
    <row r="77" spans="1:6" s="1104" customFormat="1" ht="24">
      <c r="A77" s="1153">
        <v>17</v>
      </c>
      <c r="B77" s="3430"/>
      <c r="C77" s="1067" t="s">
        <v>1815</v>
      </c>
      <c r="D77" s="1067" t="s">
        <v>1816</v>
      </c>
      <c r="E77" s="1138">
        <v>0.5</v>
      </c>
      <c r="F77" s="1153">
        <v>80</v>
      </c>
    </row>
    <row r="78" spans="1:6" s="1104" customFormat="1" ht="24">
      <c r="A78" s="1153">
        <v>18</v>
      </c>
      <c r="B78" s="3430"/>
      <c r="C78" s="1067" t="s">
        <v>1817</v>
      </c>
      <c r="D78" s="1067" t="s">
        <v>1818</v>
      </c>
      <c r="E78" s="1138">
        <v>0.2</v>
      </c>
      <c r="F78" s="1153">
        <v>30</v>
      </c>
    </row>
    <row r="79" spans="1:6" s="1104" customFormat="1" ht="24">
      <c r="A79" s="1153">
        <v>19</v>
      </c>
      <c r="B79" s="3430"/>
      <c r="C79" s="1067" t="s">
        <v>1819</v>
      </c>
      <c r="D79" s="1067" t="s">
        <v>1820</v>
      </c>
      <c r="E79" s="1138">
        <v>0.5</v>
      </c>
      <c r="F79" s="1153">
        <v>80</v>
      </c>
    </row>
    <row r="80" spans="1:6" s="1104" customFormat="1" ht="36">
      <c r="A80" s="1153">
        <v>20</v>
      </c>
      <c r="B80" s="3430"/>
      <c r="C80" s="1067" t="s">
        <v>1821</v>
      </c>
      <c r="D80" s="1067" t="s">
        <v>1822</v>
      </c>
      <c r="E80" s="1138">
        <v>0.2</v>
      </c>
      <c r="F80" s="1153">
        <v>30</v>
      </c>
    </row>
    <row r="81" spans="1:6" s="1104" customFormat="1" ht="36">
      <c r="A81" s="1153">
        <v>21</v>
      </c>
      <c r="B81" s="3430"/>
      <c r="C81" s="1067" t="s">
        <v>1823</v>
      </c>
      <c r="D81" s="1067" t="s">
        <v>1824</v>
      </c>
      <c r="E81" s="1138">
        <v>0.2</v>
      </c>
      <c r="F81" s="1153">
        <v>30</v>
      </c>
    </row>
    <row r="82" spans="1:6" s="1104" customFormat="1" ht="48">
      <c r="A82" s="1153">
        <v>22</v>
      </c>
      <c r="B82" s="3430"/>
      <c r="C82" s="1067" t="s">
        <v>1825</v>
      </c>
      <c r="D82" s="1067" t="s">
        <v>1826</v>
      </c>
      <c r="E82" s="1138">
        <v>0.2</v>
      </c>
      <c r="F82" s="1153">
        <v>30</v>
      </c>
    </row>
    <row r="83" spans="1:6" s="1104" customFormat="1" ht="48">
      <c r="A83" s="1153">
        <v>23</v>
      </c>
      <c r="B83" s="3430"/>
      <c r="C83" s="1067" t="s">
        <v>1827</v>
      </c>
      <c r="D83" s="1067" t="s">
        <v>1828</v>
      </c>
      <c r="E83" s="1138">
        <v>0.2</v>
      </c>
      <c r="F83" s="1153">
        <v>30</v>
      </c>
    </row>
    <row r="84" spans="1:6" s="1104" customFormat="1" ht="36">
      <c r="A84" s="1153">
        <v>24</v>
      </c>
      <c r="B84" s="3430"/>
      <c r="C84" s="1067" t="s">
        <v>1829</v>
      </c>
      <c r="D84" s="1067" t="s">
        <v>1830</v>
      </c>
      <c r="E84" s="1138">
        <v>0.2</v>
      </c>
      <c r="F84" s="1153">
        <v>30</v>
      </c>
    </row>
    <row r="85" spans="1:6" s="1104" customFormat="1" ht="36">
      <c r="A85" s="1153">
        <v>25</v>
      </c>
      <c r="B85" s="3430"/>
      <c r="C85" s="1067" t="s">
        <v>1831</v>
      </c>
      <c r="D85" s="1067" t="s">
        <v>1832</v>
      </c>
      <c r="E85" s="1138">
        <v>0.5</v>
      </c>
      <c r="F85" s="1153">
        <v>80</v>
      </c>
    </row>
    <row r="86" spans="1:6" s="1104" customFormat="1" ht="36">
      <c r="A86" s="1153">
        <v>26</v>
      </c>
      <c r="B86" s="3430"/>
      <c r="C86" s="1067" t="s">
        <v>1833</v>
      </c>
      <c r="D86" s="1067" t="s">
        <v>1834</v>
      </c>
      <c r="E86" s="1138">
        <v>0.2</v>
      </c>
      <c r="F86" s="1153">
        <v>30</v>
      </c>
    </row>
    <row r="87" spans="1:6" s="1104" customFormat="1" ht="36">
      <c r="A87" s="1153">
        <v>27</v>
      </c>
      <c r="B87" s="3430"/>
      <c r="C87" s="1067" t="s">
        <v>1835</v>
      </c>
      <c r="D87" s="1067" t="s">
        <v>1836</v>
      </c>
      <c r="E87" s="1138">
        <v>0.2</v>
      </c>
      <c r="F87" s="1153">
        <v>30</v>
      </c>
    </row>
    <row r="88" spans="1:6" s="1104" customFormat="1" ht="36">
      <c r="A88" s="1153">
        <v>28</v>
      </c>
      <c r="B88" s="3430"/>
      <c r="C88" s="1067" t="s">
        <v>1837</v>
      </c>
      <c r="D88" s="1067" t="s">
        <v>1838</v>
      </c>
      <c r="E88" s="1138">
        <v>0.2</v>
      </c>
      <c r="F88" s="1153">
        <v>30</v>
      </c>
    </row>
    <row r="89" spans="1:6" s="1104" customFormat="1" ht="24">
      <c r="A89" s="1153">
        <v>29</v>
      </c>
      <c r="B89" s="3430"/>
      <c r="C89" s="1067" t="s">
        <v>1839</v>
      </c>
      <c r="D89" s="1067" t="s">
        <v>1840</v>
      </c>
      <c r="E89" s="1138">
        <v>0.2</v>
      </c>
      <c r="F89" s="1153">
        <v>30</v>
      </c>
    </row>
    <row r="90" spans="1:6" s="1104" customFormat="1" ht="24">
      <c r="A90" s="1153">
        <v>30</v>
      </c>
      <c r="B90" s="3430"/>
      <c r="C90" s="1067" t="s">
        <v>1841</v>
      </c>
      <c r="D90" s="1067" t="s">
        <v>1842</v>
      </c>
      <c r="E90" s="1138">
        <v>0.2</v>
      </c>
      <c r="F90" s="1153">
        <v>30</v>
      </c>
    </row>
    <row r="91" spans="1:6" s="1104" customFormat="1" ht="36">
      <c r="A91" s="1153">
        <v>31</v>
      </c>
      <c r="B91" s="3430"/>
      <c r="C91" s="1067" t="s">
        <v>1843</v>
      </c>
      <c r="D91" s="1067" t="s">
        <v>1844</v>
      </c>
      <c r="E91" s="1138">
        <v>0.2</v>
      </c>
      <c r="F91" s="1153">
        <v>30</v>
      </c>
    </row>
    <row r="92" spans="1:6" s="1104" customFormat="1" ht="24">
      <c r="A92" s="1153">
        <v>32</v>
      </c>
      <c r="B92" s="3430" t="s">
        <v>1845</v>
      </c>
      <c r="C92" s="1153" t="s">
        <v>1846</v>
      </c>
      <c r="D92" s="1067" t="s">
        <v>1847</v>
      </c>
      <c r="E92" s="1138">
        <v>0.2</v>
      </c>
      <c r="F92" s="1153">
        <v>30</v>
      </c>
    </row>
    <row r="93" spans="1:6" s="1104" customFormat="1" ht="36">
      <c r="A93" s="1153">
        <v>33</v>
      </c>
      <c r="B93" s="3430"/>
      <c r="C93" s="1153" t="s">
        <v>1848</v>
      </c>
      <c r="D93" s="1067" t="s">
        <v>1849</v>
      </c>
      <c r="E93" s="1138">
        <v>0.2</v>
      </c>
      <c r="F93" s="1153">
        <v>30</v>
      </c>
    </row>
    <row r="94" spans="1:6" s="1104" customFormat="1" ht="48">
      <c r="A94" s="1153">
        <v>34</v>
      </c>
      <c r="B94" s="3430"/>
      <c r="C94" s="1153" t="s">
        <v>1850</v>
      </c>
      <c r="D94" s="1067" t="s">
        <v>1851</v>
      </c>
      <c r="E94" s="1138">
        <v>0.2</v>
      </c>
      <c r="F94" s="1153">
        <v>30</v>
      </c>
    </row>
    <row r="95" spans="1:6" s="1104" customFormat="1" ht="36">
      <c r="A95" s="1153">
        <v>35</v>
      </c>
      <c r="B95" s="3430"/>
      <c r="C95" s="1153" t="s">
        <v>1852</v>
      </c>
      <c r="D95" s="1067" t="s">
        <v>1853</v>
      </c>
      <c r="E95" s="1138">
        <v>0.2</v>
      </c>
      <c r="F95" s="1153">
        <v>30</v>
      </c>
    </row>
    <row r="96" spans="1:6" s="1104" customFormat="1" ht="48">
      <c r="A96" s="1153">
        <v>36</v>
      </c>
      <c r="B96" s="3430"/>
      <c r="C96" s="1067" t="s">
        <v>1854</v>
      </c>
      <c r="D96" s="1067" t="s">
        <v>1855</v>
      </c>
      <c r="E96" s="1138">
        <v>0.2</v>
      </c>
      <c r="F96" s="1153">
        <v>30</v>
      </c>
    </row>
    <row r="97" spans="1:6" s="1104" customFormat="1" ht="36">
      <c r="A97" s="1153">
        <v>37</v>
      </c>
      <c r="B97" s="3430"/>
      <c r="C97" s="1153" t="s">
        <v>1856</v>
      </c>
      <c r="D97" s="1067" t="s">
        <v>1857</v>
      </c>
      <c r="E97" s="1138">
        <v>0.2</v>
      </c>
      <c r="F97" s="1153">
        <v>30</v>
      </c>
    </row>
    <row r="98" spans="1:6" s="1104" customFormat="1" ht="36">
      <c r="A98" s="1153">
        <v>38</v>
      </c>
      <c r="B98" s="3430"/>
      <c r="C98" s="1153" t="s">
        <v>1858</v>
      </c>
      <c r="D98" s="1067" t="s">
        <v>1859</v>
      </c>
      <c r="E98" s="1138">
        <v>0.2</v>
      </c>
      <c r="F98" s="1153">
        <v>30</v>
      </c>
    </row>
    <row r="99" spans="1:6" s="1104" customFormat="1" ht="36">
      <c r="A99" s="1153">
        <v>39</v>
      </c>
      <c r="B99" s="3430" t="s">
        <v>1860</v>
      </c>
      <c r="C99" s="1153" t="s">
        <v>1861</v>
      </c>
      <c r="D99" s="1067" t="s">
        <v>1862</v>
      </c>
      <c r="E99" s="1138">
        <v>0.3</v>
      </c>
      <c r="F99" s="1153">
        <v>50</v>
      </c>
    </row>
    <row r="100" spans="1:6" s="1104" customFormat="1" ht="24">
      <c r="A100" s="1153">
        <v>40</v>
      </c>
      <c r="B100" s="3430"/>
      <c r="C100" s="1153" t="s">
        <v>1863</v>
      </c>
      <c r="D100" s="1067" t="s">
        <v>1864</v>
      </c>
      <c r="E100" s="1138">
        <v>0.2</v>
      </c>
      <c r="F100" s="1153">
        <v>30</v>
      </c>
    </row>
    <row r="101" spans="1:6" s="1104" customFormat="1" ht="36">
      <c r="A101" s="1153">
        <v>41</v>
      </c>
      <c r="B101" s="3430"/>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30" t="s">
        <v>1875</v>
      </c>
      <c r="C105" s="1153" t="s">
        <v>1876</v>
      </c>
      <c r="D105" s="1067" t="s">
        <v>1877</v>
      </c>
      <c r="E105" s="1138">
        <v>0.2</v>
      </c>
      <c r="F105" s="1153">
        <v>30</v>
      </c>
    </row>
    <row r="106" spans="1:6" s="1104" customFormat="1" ht="36">
      <c r="A106" s="1153">
        <v>46</v>
      </c>
      <c r="B106" s="3430"/>
      <c r="C106" s="1153" t="s">
        <v>1878</v>
      </c>
      <c r="D106" s="1067" t="s">
        <v>1879</v>
      </c>
      <c r="E106" s="1138">
        <v>0.2</v>
      </c>
      <c r="F106" s="1153">
        <v>30</v>
      </c>
    </row>
    <row r="107" spans="1:6" s="1104" customFormat="1" ht="36">
      <c r="A107" s="1153">
        <v>47</v>
      </c>
      <c r="B107" s="3430" t="s">
        <v>1880</v>
      </c>
      <c r="C107" s="1153" t="s">
        <v>1881</v>
      </c>
      <c r="D107" s="1067" t="s">
        <v>1882</v>
      </c>
      <c r="E107" s="1138">
        <v>0.3</v>
      </c>
      <c r="F107" s="1153">
        <v>50</v>
      </c>
    </row>
    <row r="108" spans="1:6" s="1104" customFormat="1" ht="36">
      <c r="A108" s="1153">
        <v>48</v>
      </c>
      <c r="B108" s="3430"/>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30" t="s">
        <v>1891</v>
      </c>
      <c r="C111" s="1153" t="s">
        <v>1892</v>
      </c>
      <c r="D111" s="1067" t="s">
        <v>1893</v>
      </c>
      <c r="E111" s="1138">
        <v>0.2</v>
      </c>
      <c r="F111" s="1153">
        <v>30</v>
      </c>
    </row>
    <row r="112" spans="1:6" s="1104" customFormat="1" ht="24">
      <c r="A112" s="1153">
        <v>52</v>
      </c>
      <c r="B112" s="3430"/>
      <c r="C112" s="1153" t="s">
        <v>1894</v>
      </c>
      <c r="D112" s="1067" t="s">
        <v>1895</v>
      </c>
      <c r="E112" s="1138">
        <v>0.2</v>
      </c>
      <c r="F112" s="1153">
        <v>30</v>
      </c>
    </row>
    <row r="113" spans="1:14" s="1104" customFormat="1" ht="24">
      <c r="A113" s="1153">
        <v>53</v>
      </c>
      <c r="B113" s="3430"/>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30" t="s">
        <v>1904</v>
      </c>
      <c r="C116" s="1153" t="s">
        <v>1905</v>
      </c>
      <c r="D116" s="1067" t="s">
        <v>1906</v>
      </c>
      <c r="E116" s="1138">
        <v>0.2</v>
      </c>
      <c r="F116" s="1153">
        <v>30</v>
      </c>
    </row>
    <row r="117" spans="1:14" ht="36">
      <c r="A117" s="1153">
        <v>57</v>
      </c>
      <c r="B117" s="3430"/>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29" t="s">
        <v>1913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9" t="s">
        <v>1319</v>
      </c>
      <c r="B1" s="3439"/>
      <c r="C1" s="3439"/>
      <c r="D1" s="3439"/>
      <c r="E1" s="3439"/>
      <c r="F1" s="3439"/>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40" t="s">
        <v>1332</v>
      </c>
      <c r="B2" s="3440"/>
      <c r="C2" s="3440"/>
      <c r="D2" s="3440"/>
      <c r="E2" s="3440"/>
      <c r="F2" s="3440"/>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41"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42"/>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7" spans="1:4" ht="56.25">
      <c r="A7" s="1807" t="s">
        <v>3124</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根据《不动产权证书》[渝（2017）渝北区不动产权第000290828号]，估价对象（分摊）出让国有建设用地使用权面积为46771平方米。根据，估价对象规划建筑面积为76634平方米。</v>
      </c>
    </row>
    <row r="21" spans="1:1" ht="18.75">
      <c r="A21" s="1803" t="s">
        <v>2391</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43" t="s">
        <v>2395</v>
      </c>
      <c r="B1" s="3443"/>
    </row>
    <row r="2" spans="1:6" ht="14.25" thickBot="1">
      <c r="A2" s="1863"/>
      <c r="B2" s="1863"/>
    </row>
    <row r="3" spans="1:6" ht="14.25" thickBot="1">
      <c r="A3" s="1863"/>
      <c r="B3" s="1863"/>
      <c r="C3" s="1864" t="s">
        <v>2396</v>
      </c>
      <c r="D3" s="1864" t="s">
        <v>2397</v>
      </c>
      <c r="E3" s="1864" t="s">
        <v>2398</v>
      </c>
      <c r="F3" s="1864" t="s">
        <v>2399</v>
      </c>
    </row>
    <row r="4" spans="1:6" ht="14.25" thickBot="1">
      <c r="A4" s="1865" t="s">
        <v>2400</v>
      </c>
      <c r="B4" s="1866" t="s">
        <v>2401</v>
      </c>
      <c r="C4" s="1864"/>
      <c r="D4" s="1864"/>
      <c r="E4" s="1864"/>
      <c r="F4" s="1864"/>
    </row>
    <row r="5" spans="1:6" ht="14.25" thickBot="1">
      <c r="A5" s="1867" t="s">
        <v>2402</v>
      </c>
      <c r="B5" s="1868" t="s">
        <v>2403</v>
      </c>
      <c r="C5" s="1869">
        <v>8.8999999999999996E-2</v>
      </c>
      <c r="D5" s="1869">
        <v>7.3999999999999996E-2</v>
      </c>
      <c r="E5" s="1869">
        <v>7.4999999999999997E-2</v>
      </c>
      <c r="F5" s="1870">
        <v>0.1</v>
      </c>
    </row>
    <row r="6" spans="1:6" ht="14.25" thickBot="1">
      <c r="A6" s="1867" t="s">
        <v>1376</v>
      </c>
      <c r="B6" s="1871" t="s">
        <v>2404</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2405</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2406</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2407</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2408</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2409</v>
      </c>
      <c r="C72" s="1881"/>
      <c r="D72" s="1881"/>
      <c r="E72" s="1881"/>
      <c r="F72" s="1873">
        <v>0.05</v>
      </c>
    </row>
    <row r="73" spans="1:6" ht="14.25" thickBot="1">
      <c r="A73" s="1867" t="s">
        <v>1197</v>
      </c>
      <c r="B73" s="1871" t="s">
        <v>2410</v>
      </c>
      <c r="C73" s="1881"/>
      <c r="D73" s="1881"/>
      <c r="E73" s="1881"/>
      <c r="F73" s="1873">
        <v>0.05</v>
      </c>
    </row>
    <row r="74" spans="1:6" ht="14.25" thickBot="1">
      <c r="A74" s="1867" t="s">
        <v>1197</v>
      </c>
      <c r="B74" s="1871" t="s">
        <v>2411</v>
      </c>
      <c r="C74" s="1881"/>
      <c r="D74" s="1881"/>
      <c r="E74" s="1881"/>
      <c r="F74" s="1873">
        <v>0.05</v>
      </c>
    </row>
    <row r="75" spans="1:6" ht="14.25" thickBot="1">
      <c r="A75" s="1875" t="s">
        <v>1197</v>
      </c>
      <c r="B75" s="1882" t="s">
        <v>2412</v>
      </c>
      <c r="C75" s="1878"/>
      <c r="D75" s="1878"/>
      <c r="E75" s="1878"/>
      <c r="F75" s="1883">
        <v>0.05</v>
      </c>
    </row>
    <row r="76" spans="1:6" ht="14.25" thickBot="1">
      <c r="A76" s="1867" t="s">
        <v>1687</v>
      </c>
      <c r="B76" s="1868" t="s">
        <v>2413</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2414</v>
      </c>
      <c r="C102" s="1881"/>
      <c r="D102" s="1881"/>
      <c r="E102" s="1881"/>
      <c r="F102" s="1873">
        <v>0.05</v>
      </c>
    </row>
    <row r="103" spans="1:6" ht="24.75" thickBot="1">
      <c r="A103" s="1867" t="s">
        <v>1687</v>
      </c>
      <c r="B103" s="1871" t="s">
        <v>2415</v>
      </c>
      <c r="C103" s="1881"/>
      <c r="D103" s="1881"/>
      <c r="E103" s="1881"/>
      <c r="F103" s="1873">
        <v>0.05</v>
      </c>
    </row>
    <row r="104" spans="1:6" ht="14.25" thickBot="1">
      <c r="A104" s="1867" t="s">
        <v>1687</v>
      </c>
      <c r="B104" s="1871" t="s">
        <v>2416</v>
      </c>
      <c r="C104" s="1881"/>
      <c r="D104" s="1881"/>
      <c r="E104" s="1881"/>
      <c r="F104" s="1873">
        <v>0.05</v>
      </c>
    </row>
    <row r="105" spans="1:6" ht="14.25" thickBot="1">
      <c r="A105" s="1867" t="s">
        <v>1687</v>
      </c>
      <c r="B105" s="1871" t="s">
        <v>2417</v>
      </c>
      <c r="C105" s="1881"/>
      <c r="D105" s="1881"/>
      <c r="E105" s="1881"/>
      <c r="F105" s="1873">
        <v>0.05</v>
      </c>
    </row>
    <row r="106" spans="1:6" ht="14.25" thickBot="1">
      <c r="A106" s="1867" t="s">
        <v>1687</v>
      </c>
      <c r="B106" s="1871" t="s">
        <v>2418</v>
      </c>
      <c r="C106" s="1881"/>
      <c r="D106" s="1881"/>
      <c r="E106" s="1881"/>
      <c r="F106" s="1873">
        <v>0.05</v>
      </c>
    </row>
    <row r="107" spans="1:6" ht="24.75" thickBot="1">
      <c r="A107" s="1867" t="s">
        <v>1687</v>
      </c>
      <c r="B107" s="1871" t="s">
        <v>2419</v>
      </c>
      <c r="C107" s="1881"/>
      <c r="D107" s="1881"/>
      <c r="E107" s="1881"/>
      <c r="F107" s="1873">
        <v>0.05</v>
      </c>
    </row>
    <row r="108" spans="1:6" ht="24.75" thickBot="1">
      <c r="A108" s="1867" t="s">
        <v>1687</v>
      </c>
      <c r="B108" s="1871" t="s">
        <v>2420</v>
      </c>
      <c r="C108" s="1881"/>
      <c r="D108" s="1881"/>
      <c r="E108" s="1881"/>
      <c r="F108" s="1873">
        <v>0.05</v>
      </c>
    </row>
    <row r="109" spans="1:6" ht="24.75" thickBot="1">
      <c r="A109" s="1875" t="s">
        <v>1687</v>
      </c>
      <c r="B109" s="1882" t="s">
        <v>2421</v>
      </c>
      <c r="C109" s="1878"/>
      <c r="D109" s="1878"/>
      <c r="E109" s="1878"/>
      <c r="F109" s="1883">
        <v>0.05</v>
      </c>
    </row>
    <row r="110" spans="1:6" ht="14.25" thickBot="1">
      <c r="A110" s="1867" t="s">
        <v>1689</v>
      </c>
      <c r="B110" s="1868" t="s">
        <v>2422</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2423</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2424</v>
      </c>
      <c r="C138" s="1872">
        <v>0.105</v>
      </c>
      <c r="D138" s="1872">
        <v>0.125</v>
      </c>
      <c r="E138" s="1872">
        <v>0.112</v>
      </c>
      <c r="F138" s="1880"/>
    </row>
    <row r="139" spans="1:6" ht="14.25" thickBot="1">
      <c r="A139" s="1867" t="s">
        <v>1689</v>
      </c>
      <c r="B139" s="1871" t="s">
        <v>2425</v>
      </c>
      <c r="C139" s="1872">
        <v>0.127</v>
      </c>
      <c r="D139" s="1872">
        <v>0.127</v>
      </c>
      <c r="E139" s="1872">
        <v>0.122</v>
      </c>
      <c r="F139" s="1873">
        <v>0.13</v>
      </c>
    </row>
    <row r="140" spans="1:6" ht="14.25" thickBot="1">
      <c r="A140" s="1867" t="s">
        <v>1689</v>
      </c>
      <c r="B140" s="1871" t="s">
        <v>2426</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2427</v>
      </c>
      <c r="C144" s="1885">
        <v>0.126</v>
      </c>
      <c r="D144" s="1885">
        <v>0.126</v>
      </c>
      <c r="E144" s="1885">
        <v>0.121</v>
      </c>
      <c r="F144" s="1880"/>
    </row>
    <row r="145" spans="1:6" ht="14.25" thickBot="1">
      <c r="A145" s="1875" t="s">
        <v>1689</v>
      </c>
      <c r="B145" s="1886" t="s">
        <v>2428</v>
      </c>
      <c r="C145" s="1887"/>
      <c r="D145" s="1887"/>
      <c r="E145" s="1887"/>
      <c r="F145" s="1888">
        <v>0.05</v>
      </c>
    </row>
    <row r="146" spans="1:6" ht="24.75" thickBot="1">
      <c r="A146" s="1889" t="s">
        <v>1689</v>
      </c>
      <c r="B146" s="1874" t="s">
        <v>2429</v>
      </c>
      <c r="C146" s="1881"/>
      <c r="D146" s="1881"/>
      <c r="E146" s="1881"/>
      <c r="F146" s="1890">
        <v>0.05</v>
      </c>
    </row>
    <row r="147" spans="1:6" ht="24.75" thickBot="1">
      <c r="A147" s="1867" t="s">
        <v>1689</v>
      </c>
      <c r="B147" s="1871" t="s">
        <v>2430</v>
      </c>
      <c r="C147" s="1881"/>
      <c r="D147" s="1881"/>
      <c r="E147" s="1881"/>
      <c r="F147" s="1873">
        <v>0.05</v>
      </c>
    </row>
    <row r="148" spans="1:6" ht="24.75" thickBot="1">
      <c r="A148" s="1867" t="s">
        <v>1689</v>
      </c>
      <c r="B148" s="1871" t="s">
        <v>2431</v>
      </c>
      <c r="C148" s="1881"/>
      <c r="D148" s="1881"/>
      <c r="E148" s="1881"/>
      <c r="F148" s="1873">
        <v>0.05</v>
      </c>
    </row>
    <row r="149" spans="1:6" ht="24.75" thickBot="1">
      <c r="A149" s="1867" t="s">
        <v>1689</v>
      </c>
      <c r="B149" s="1871" t="s">
        <v>2432</v>
      </c>
      <c r="C149" s="1881"/>
      <c r="D149" s="1881"/>
      <c r="E149" s="1881"/>
      <c r="F149" s="1873">
        <v>0.05</v>
      </c>
    </row>
    <row r="150" spans="1:6" ht="24.75" thickBot="1">
      <c r="A150" s="1867" t="s">
        <v>1689</v>
      </c>
      <c r="B150" s="1871" t="s">
        <v>2433</v>
      </c>
      <c r="C150" s="1881"/>
      <c r="D150" s="1881"/>
      <c r="E150" s="1881"/>
      <c r="F150" s="1873">
        <v>0.05</v>
      </c>
    </row>
    <row r="151" spans="1:6" ht="24.75" thickBot="1">
      <c r="A151" s="1867" t="s">
        <v>1689</v>
      </c>
      <c r="B151" s="1871" t="s">
        <v>2434</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2435</v>
      </c>
      <c r="C153" s="1881"/>
      <c r="D153" s="1881"/>
      <c r="E153" s="1881"/>
      <c r="F153" s="1873">
        <v>0.05</v>
      </c>
    </row>
    <row r="154" spans="1:6" ht="14.25" thickBot="1">
      <c r="A154" s="1867" t="s">
        <v>1689</v>
      </c>
      <c r="B154" s="1871" t="s">
        <v>2436</v>
      </c>
      <c r="C154" s="1881"/>
      <c r="D154" s="1881"/>
      <c r="E154" s="1881"/>
      <c r="F154" s="1873">
        <v>0.05</v>
      </c>
    </row>
    <row r="155" spans="1:6" ht="24.75" thickBot="1">
      <c r="A155" s="1867" t="s">
        <v>1689</v>
      </c>
      <c r="B155" s="1871" t="s">
        <v>2437</v>
      </c>
      <c r="C155" s="1881"/>
      <c r="D155" s="1881"/>
      <c r="E155" s="1881"/>
      <c r="F155" s="1873">
        <v>0.05</v>
      </c>
    </row>
    <row r="156" spans="1:6" ht="24.75" thickBot="1">
      <c r="A156" s="1867" t="s">
        <v>1689</v>
      </c>
      <c r="B156" s="1871" t="s">
        <v>2438</v>
      </c>
      <c r="C156" s="1881"/>
      <c r="D156" s="1881"/>
      <c r="E156" s="1881"/>
      <c r="F156" s="1873">
        <v>0.05</v>
      </c>
    </row>
    <row r="157" spans="1:6" ht="14.25" thickBot="1">
      <c r="A157" s="1875" t="s">
        <v>1689</v>
      </c>
      <c r="B157" s="1882" t="s">
        <v>2439</v>
      </c>
      <c r="C157" s="1878"/>
      <c r="D157" s="1878"/>
      <c r="E157" s="1878"/>
      <c r="F157" s="1883">
        <v>0.05</v>
      </c>
    </row>
    <row r="158" spans="1:6" ht="14.25" thickBot="1">
      <c r="A158" s="1867" t="s">
        <v>1691</v>
      </c>
      <c r="B158" s="1868" t="s">
        <v>2440</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2441</v>
      </c>
      <c r="C171" s="1872">
        <v>0.127</v>
      </c>
      <c r="D171" s="1872">
        <v>0.126</v>
      </c>
      <c r="E171" s="1872">
        <v>0.126</v>
      </c>
      <c r="F171" s="1873">
        <v>0.11799999999999999</v>
      </c>
    </row>
    <row r="172" spans="1:6" ht="14.25" thickBot="1">
      <c r="A172" s="1867" t="s">
        <v>1691</v>
      </c>
      <c r="B172" s="1871" t="s">
        <v>2442</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2443</v>
      </c>
      <c r="C174" s="1872">
        <v>0.13</v>
      </c>
      <c r="D174" s="1872">
        <v>0.13</v>
      </c>
      <c r="E174" s="1872">
        <v>0.13</v>
      </c>
      <c r="F174" s="1873">
        <v>0.13</v>
      </c>
    </row>
    <row r="175" spans="1:6" ht="14.25" thickBot="1">
      <c r="A175" s="1867" t="s">
        <v>1691</v>
      </c>
      <c r="B175" s="1871" t="s">
        <v>2444</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2445</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2446</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2447</v>
      </c>
      <c r="C185" s="1872">
        <v>0.127</v>
      </c>
      <c r="D185" s="1872">
        <v>0.127</v>
      </c>
      <c r="E185" s="1872">
        <v>0.128</v>
      </c>
      <c r="F185" s="1873">
        <v>0.13</v>
      </c>
    </row>
    <row r="186" spans="1:6" ht="24.75" thickBot="1">
      <c r="A186" s="1867" t="s">
        <v>1691</v>
      </c>
      <c r="B186" s="1871" t="s">
        <v>2448</v>
      </c>
      <c r="C186" s="1881"/>
      <c r="D186" s="1881"/>
      <c r="E186" s="1881"/>
      <c r="F186" s="1873">
        <v>0.05</v>
      </c>
    </row>
    <row r="187" spans="1:6" ht="14.25" thickBot="1">
      <c r="A187" s="1867" t="s">
        <v>1691</v>
      </c>
      <c r="B187" s="1871" t="s">
        <v>2449</v>
      </c>
      <c r="C187" s="1881"/>
      <c r="D187" s="1881"/>
      <c r="E187" s="1881"/>
      <c r="F187" s="1873">
        <v>0.05</v>
      </c>
    </row>
    <row r="188" spans="1:6" ht="14.25" thickBot="1">
      <c r="A188" s="1867" t="s">
        <v>1691</v>
      </c>
      <c r="B188" s="1871" t="s">
        <v>2450</v>
      </c>
      <c r="C188" s="1881"/>
      <c r="D188" s="1881"/>
      <c r="E188" s="1881"/>
      <c r="F188" s="1873">
        <v>0.05</v>
      </c>
    </row>
    <row r="189" spans="1:6" ht="24.75" thickBot="1">
      <c r="A189" s="1867" t="s">
        <v>1691</v>
      </c>
      <c r="B189" s="1871" t="s">
        <v>2451</v>
      </c>
      <c r="C189" s="1881"/>
      <c r="D189" s="1881"/>
      <c r="E189" s="1881"/>
      <c r="F189" s="1873">
        <v>0.05</v>
      </c>
    </row>
    <row r="190" spans="1:6" ht="24.75" thickBot="1">
      <c r="A190" s="1867" t="s">
        <v>1691</v>
      </c>
      <c r="B190" s="1871" t="s">
        <v>2452</v>
      </c>
      <c r="C190" s="1881"/>
      <c r="D190" s="1881"/>
      <c r="E190" s="1881"/>
      <c r="F190" s="1873">
        <v>0.05</v>
      </c>
    </row>
    <row r="191" spans="1:6" ht="24.75" thickBot="1">
      <c r="A191" s="1867" t="s">
        <v>1691</v>
      </c>
      <c r="B191" s="1871" t="s">
        <v>2453</v>
      </c>
      <c r="C191" s="1881"/>
      <c r="D191" s="1881"/>
      <c r="E191" s="1881"/>
      <c r="F191" s="1873">
        <v>0.05</v>
      </c>
    </row>
    <row r="192" spans="1:6" ht="24.75" thickBot="1">
      <c r="A192" s="1867" t="s">
        <v>1691</v>
      </c>
      <c r="B192" s="1871" t="s">
        <v>2454</v>
      </c>
      <c r="C192" s="1881"/>
      <c r="D192" s="1881"/>
      <c r="E192" s="1881"/>
      <c r="F192" s="1873">
        <v>0.05</v>
      </c>
    </row>
    <row r="193" spans="1:6" ht="24.75" thickBot="1">
      <c r="A193" s="1867" t="s">
        <v>1691</v>
      </c>
      <c r="B193" s="1871" t="s">
        <v>2455</v>
      </c>
      <c r="C193" s="1881"/>
      <c r="D193" s="1881"/>
      <c r="E193" s="1881"/>
      <c r="F193" s="1873">
        <v>0.05</v>
      </c>
    </row>
    <row r="194" spans="1:6" ht="24.75" thickBot="1">
      <c r="A194" s="1867" t="s">
        <v>1691</v>
      </c>
      <c r="B194" s="1871" t="s">
        <v>2456</v>
      </c>
      <c r="C194" s="1881"/>
      <c r="D194" s="1881"/>
      <c r="E194" s="1881"/>
      <c r="F194" s="1873">
        <v>0.05</v>
      </c>
    </row>
    <row r="195" spans="1:6" ht="14.25" thickBot="1">
      <c r="A195" s="1867" t="s">
        <v>1691</v>
      </c>
      <c r="B195" s="1871" t="s">
        <v>2457</v>
      </c>
      <c r="C195" s="1881"/>
      <c r="D195" s="1881"/>
      <c r="E195" s="1881"/>
      <c r="F195" s="1873">
        <v>0.05</v>
      </c>
    </row>
    <row r="196" spans="1:6" ht="24.75" thickBot="1">
      <c r="A196" s="1867" t="s">
        <v>1691</v>
      </c>
      <c r="B196" s="1871" t="s">
        <v>2458</v>
      </c>
      <c r="C196" s="1881"/>
      <c r="D196" s="1881"/>
      <c r="E196" s="1881"/>
      <c r="F196" s="1873">
        <v>0.05</v>
      </c>
    </row>
    <row r="197" spans="1:6" ht="24.75" thickBot="1">
      <c r="A197" s="1867" t="s">
        <v>1691</v>
      </c>
      <c r="B197" s="1871" t="s">
        <v>2459</v>
      </c>
      <c r="C197" s="1881"/>
      <c r="D197" s="1881"/>
      <c r="E197" s="1881"/>
      <c r="F197" s="1873">
        <v>0.05</v>
      </c>
    </row>
    <row r="198" spans="1:6" ht="24.75" thickBot="1">
      <c r="A198" s="1867" t="s">
        <v>1691</v>
      </c>
      <c r="B198" s="1871" t="s">
        <v>2460</v>
      </c>
      <c r="C198" s="1881"/>
      <c r="D198" s="1881"/>
      <c r="E198" s="1881"/>
      <c r="F198" s="1873">
        <v>0.05</v>
      </c>
    </row>
    <row r="199" spans="1:6" ht="24.75" thickBot="1">
      <c r="A199" s="1867" t="s">
        <v>1691</v>
      </c>
      <c r="B199" s="1871" t="s">
        <v>2461</v>
      </c>
      <c r="C199" s="1881"/>
      <c r="D199" s="1881"/>
      <c r="E199" s="1881"/>
      <c r="F199" s="1873">
        <v>0.05</v>
      </c>
    </row>
    <row r="200" spans="1:6" ht="24.75" thickBot="1">
      <c r="A200" s="1867" t="s">
        <v>1691</v>
      </c>
      <c r="B200" s="1871" t="s">
        <v>2462</v>
      </c>
      <c r="C200" s="1881"/>
      <c r="D200" s="1881"/>
      <c r="E200" s="1881"/>
      <c r="F200" s="1873">
        <v>0.05</v>
      </c>
    </row>
    <row r="201" spans="1:6" ht="24.75" thickBot="1">
      <c r="A201" s="1867" t="s">
        <v>1691</v>
      </c>
      <c r="B201" s="1871" t="s">
        <v>2463</v>
      </c>
      <c r="C201" s="1881"/>
      <c r="D201" s="1881"/>
      <c r="E201" s="1881"/>
      <c r="F201" s="1873">
        <v>0.05</v>
      </c>
    </row>
    <row r="202" spans="1:6" ht="24.75" thickBot="1">
      <c r="A202" s="1867" t="s">
        <v>1691</v>
      </c>
      <c r="B202" s="1871" t="s">
        <v>2464</v>
      </c>
      <c r="C202" s="1881"/>
      <c r="D202" s="1881"/>
      <c r="E202" s="1881"/>
      <c r="F202" s="1873">
        <v>0.05</v>
      </c>
    </row>
    <row r="203" spans="1:6" ht="24.75" thickBot="1">
      <c r="A203" s="1867" t="s">
        <v>1691</v>
      </c>
      <c r="B203" s="1871" t="s">
        <v>2465</v>
      </c>
      <c r="C203" s="1881"/>
      <c r="D203" s="1881"/>
      <c r="E203" s="1881"/>
      <c r="F203" s="1873">
        <v>0.05</v>
      </c>
    </row>
    <row r="204" spans="1:6" ht="14.25" thickBot="1">
      <c r="A204" s="1867" t="s">
        <v>1691</v>
      </c>
      <c r="B204" s="1871" t="s">
        <v>2466</v>
      </c>
      <c r="C204" s="1881"/>
      <c r="D204" s="1881"/>
      <c r="E204" s="1881"/>
      <c r="F204" s="1873">
        <v>0.05</v>
      </c>
    </row>
    <row r="205" spans="1:6" ht="14.25" thickBot="1">
      <c r="A205" s="1875" t="s">
        <v>1691</v>
      </c>
      <c r="B205" s="1882" t="s">
        <v>2467</v>
      </c>
      <c r="C205" s="1878"/>
      <c r="D205" s="1878"/>
      <c r="E205" s="1878"/>
      <c r="F205" s="1883">
        <v>0.05</v>
      </c>
    </row>
    <row r="206" spans="1:6" ht="14.25" thickBot="1">
      <c r="A206" s="1867" t="s">
        <v>1693</v>
      </c>
      <c r="B206" s="1868" t="s">
        <v>2468</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2469</v>
      </c>
      <c r="C210" s="1872">
        <v>0.15</v>
      </c>
      <c r="D210" s="1872">
        <v>0.15</v>
      </c>
      <c r="E210" s="1872">
        <v>0.15</v>
      </c>
      <c r="F210" s="1873">
        <v>0.13800000000000001</v>
      </c>
    </row>
    <row r="211" spans="1:6" ht="14.25" thickBot="1">
      <c r="A211" s="1867" t="s">
        <v>1693</v>
      </c>
      <c r="B211" s="1871" t="s">
        <v>2470</v>
      </c>
      <c r="C211" s="1872">
        <v>0.13700000000000001</v>
      </c>
      <c r="D211" s="1872">
        <v>0.13500000000000001</v>
      </c>
      <c r="E211" s="1872">
        <v>0.13600000000000001</v>
      </c>
      <c r="F211" s="1873">
        <v>0.1</v>
      </c>
    </row>
    <row r="212" spans="1:6" ht="14.25" thickBot="1">
      <c r="A212" s="1867" t="s">
        <v>1693</v>
      </c>
      <c r="B212" s="1871" t="s">
        <v>2471</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2472</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2473</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2474</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2475</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2476</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2477</v>
      </c>
      <c r="C231" s="1872">
        <v>0.128</v>
      </c>
      <c r="D231" s="1872">
        <v>0.125</v>
      </c>
      <c r="E231" s="1872">
        <v>0.13200000000000001</v>
      </c>
      <c r="F231" s="1880"/>
    </row>
    <row r="232" spans="1:6" ht="14.25" thickBot="1">
      <c r="A232" s="1867" t="s">
        <v>1693</v>
      </c>
      <c r="B232" s="1871" t="s">
        <v>2478</v>
      </c>
      <c r="C232" s="1872">
        <v>0.14499999999999999</v>
      </c>
      <c r="D232" s="1872">
        <v>0.14399999999999999</v>
      </c>
      <c r="E232" s="1872">
        <v>0.14599999999999999</v>
      </c>
      <c r="F232" s="1873">
        <v>0.13800000000000001</v>
      </c>
    </row>
    <row r="233" spans="1:6" ht="14.25" thickBot="1">
      <c r="A233" s="1867" t="s">
        <v>1693</v>
      </c>
      <c r="B233" s="1871" t="s">
        <v>2479</v>
      </c>
      <c r="C233" s="1872">
        <v>0.14499999999999999</v>
      </c>
      <c r="D233" s="1872">
        <v>0.14299999999999999</v>
      </c>
      <c r="E233" s="1872">
        <v>0.14199999999999999</v>
      </c>
      <c r="F233" s="1880"/>
    </row>
    <row r="234" spans="1:6" ht="14.25" thickBot="1">
      <c r="A234" s="1867" t="s">
        <v>1693</v>
      </c>
      <c r="B234" s="1871" t="s">
        <v>2480</v>
      </c>
      <c r="C234" s="1872">
        <v>0.14000000000000001</v>
      </c>
      <c r="D234" s="1872">
        <v>0.14000000000000001</v>
      </c>
      <c r="E234" s="1872">
        <v>0.14399999999999999</v>
      </c>
      <c r="F234" s="1880"/>
    </row>
    <row r="235" spans="1:6" ht="14.25" thickBot="1">
      <c r="A235" s="1867" t="s">
        <v>1693</v>
      </c>
      <c r="B235" s="1871" t="s">
        <v>2481</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2482</v>
      </c>
      <c r="C237" s="1881"/>
      <c r="D237" s="1881"/>
      <c r="E237" s="1881"/>
      <c r="F237" s="1873">
        <v>0.05</v>
      </c>
    </row>
    <row r="238" spans="1:6" ht="24.75" thickBot="1">
      <c r="A238" s="1867" t="s">
        <v>1693</v>
      </c>
      <c r="B238" s="1871" t="s">
        <v>2483</v>
      </c>
      <c r="C238" s="1881"/>
      <c r="D238" s="1881"/>
      <c r="E238" s="1881"/>
      <c r="F238" s="1873">
        <v>0.05</v>
      </c>
    </row>
    <row r="239" spans="1:6" ht="24.75" thickBot="1">
      <c r="A239" s="1867" t="s">
        <v>1693</v>
      </c>
      <c r="B239" s="1871" t="s">
        <v>2484</v>
      </c>
      <c r="C239" s="1881"/>
      <c r="D239" s="1881"/>
      <c r="E239" s="1881"/>
      <c r="F239" s="1873">
        <v>0.05</v>
      </c>
    </row>
    <row r="240" spans="1:6" ht="24.75" thickBot="1">
      <c r="A240" s="1867" t="s">
        <v>1693</v>
      </c>
      <c r="B240" s="1871" t="s">
        <v>2485</v>
      </c>
      <c r="C240" s="1881"/>
      <c r="D240" s="1881"/>
      <c r="E240" s="1881"/>
      <c r="F240" s="1873">
        <v>0.05</v>
      </c>
    </row>
    <row r="241" spans="1:6" ht="24.75" thickBot="1">
      <c r="A241" s="1867" t="s">
        <v>1693</v>
      </c>
      <c r="B241" s="1871" t="s">
        <v>2486</v>
      </c>
      <c r="C241" s="1881"/>
      <c r="D241" s="1881"/>
      <c r="E241" s="1881"/>
      <c r="F241" s="1873">
        <v>0.05</v>
      </c>
    </row>
    <row r="242" spans="1:6" ht="24.75" thickBot="1">
      <c r="A242" s="1867" t="s">
        <v>1693</v>
      </c>
      <c r="B242" s="1871" t="s">
        <v>2487</v>
      </c>
      <c r="C242" s="1881"/>
      <c r="D242" s="1881"/>
      <c r="E242" s="1881"/>
      <c r="F242" s="1873">
        <v>0.05</v>
      </c>
    </row>
    <row r="243" spans="1:6" ht="24.75" thickBot="1">
      <c r="A243" s="1867" t="s">
        <v>1693</v>
      </c>
      <c r="B243" s="1871" t="s">
        <v>2488</v>
      </c>
      <c r="C243" s="1881"/>
      <c r="D243" s="1881"/>
      <c r="E243" s="1881"/>
      <c r="F243" s="1873">
        <v>0.05</v>
      </c>
    </row>
    <row r="244" spans="1:6" ht="24.75" thickBot="1">
      <c r="A244" s="1875" t="s">
        <v>1693</v>
      </c>
      <c r="B244" s="1882" t="s">
        <v>2489</v>
      </c>
      <c r="C244" s="1878"/>
      <c r="D244" s="1878"/>
      <c r="E244" s="1878"/>
      <c r="F244" s="1883">
        <v>0.05</v>
      </c>
    </row>
    <row r="245" spans="1:6" ht="14.25" thickBot="1">
      <c r="A245" s="1867" t="s">
        <v>1695</v>
      </c>
      <c r="B245" s="1868" t="s">
        <v>2490</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2491</v>
      </c>
      <c r="C247" s="1872">
        <v>0.15</v>
      </c>
      <c r="D247" s="1872">
        <v>0.15</v>
      </c>
      <c r="E247" s="1872">
        <v>0.15</v>
      </c>
      <c r="F247" s="1873">
        <v>0.15</v>
      </c>
    </row>
    <row r="248" spans="1:6" ht="14.25" thickBot="1">
      <c r="A248" s="1867" t="s">
        <v>1695</v>
      </c>
      <c r="B248" s="1871" t="s">
        <v>2492</v>
      </c>
      <c r="C248" s="1872">
        <v>0.15</v>
      </c>
      <c r="D248" s="1872">
        <v>0.15</v>
      </c>
      <c r="E248" s="1872">
        <v>0.15</v>
      </c>
      <c r="F248" s="1873">
        <v>0.14000000000000001</v>
      </c>
    </row>
    <row r="249" spans="1:6" ht="14.25" thickBot="1">
      <c r="A249" s="1867" t="s">
        <v>1695</v>
      </c>
      <c r="B249" s="1871" t="s">
        <v>2493</v>
      </c>
      <c r="C249" s="1872">
        <v>0.15</v>
      </c>
      <c r="D249" s="1872">
        <v>0.14899999999999999</v>
      </c>
      <c r="E249" s="1872">
        <v>0.15</v>
      </c>
      <c r="F249" s="1873">
        <v>0.1</v>
      </c>
    </row>
    <row r="250" spans="1:6" ht="14.25" thickBot="1">
      <c r="A250" s="1867" t="s">
        <v>1695</v>
      </c>
      <c r="B250" s="1871" t="s">
        <v>2494</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2495</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2496</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2497</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2498</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2499</v>
      </c>
      <c r="C273" s="1872">
        <v>0.14199999999999999</v>
      </c>
      <c r="D273" s="1872">
        <v>0.14299999999999999</v>
      </c>
      <c r="E273" s="1872">
        <v>0.15</v>
      </c>
      <c r="F273" s="1873">
        <v>0.1</v>
      </c>
    </row>
    <row r="274" spans="1:6" ht="14.25" thickBot="1">
      <c r="A274" s="1867" t="s">
        <v>1695</v>
      </c>
      <c r="B274" s="1871" t="s">
        <v>2500</v>
      </c>
      <c r="C274" s="1872">
        <v>0.14799999999999999</v>
      </c>
      <c r="D274" s="1872">
        <v>0.14799999999999999</v>
      </c>
      <c r="E274" s="1872">
        <v>0.15</v>
      </c>
      <c r="F274" s="1873">
        <v>6.7000000000000004E-2</v>
      </c>
    </row>
    <row r="275" spans="1:6" ht="14.25" thickBot="1">
      <c r="A275" s="1867" t="s">
        <v>1695</v>
      </c>
      <c r="B275" s="1871" t="s">
        <v>2501</v>
      </c>
      <c r="C275" s="1872">
        <v>0.15</v>
      </c>
      <c r="D275" s="1872">
        <v>0.15</v>
      </c>
      <c r="E275" s="1872">
        <v>0.15</v>
      </c>
      <c r="F275" s="1873">
        <v>0.15</v>
      </c>
    </row>
    <row r="276" spans="1:6" ht="14.25" thickBot="1">
      <c r="A276" s="1867" t="s">
        <v>1695</v>
      </c>
      <c r="B276" s="1871" t="s">
        <v>2502</v>
      </c>
      <c r="C276" s="1872">
        <v>0.14499999999999999</v>
      </c>
      <c r="D276" s="1872">
        <v>0.14299999999999999</v>
      </c>
      <c r="E276" s="1872">
        <v>0.15</v>
      </c>
      <c r="F276" s="1873">
        <v>5.8999999999999997E-2</v>
      </c>
    </row>
    <row r="277" spans="1:6" ht="14.25" thickBot="1">
      <c r="A277" s="1867" t="s">
        <v>1695</v>
      </c>
      <c r="B277" s="1871" t="s">
        <v>2503</v>
      </c>
      <c r="C277" s="1872">
        <v>0.15</v>
      </c>
      <c r="D277" s="1872">
        <v>0.15</v>
      </c>
      <c r="E277" s="1872">
        <v>0.15</v>
      </c>
      <c r="F277" s="1873">
        <v>0.121</v>
      </c>
    </row>
    <row r="278" spans="1:6" ht="14.25" thickBot="1">
      <c r="A278" s="1867" t="s">
        <v>1695</v>
      </c>
      <c r="B278" s="1871" t="s">
        <v>2504</v>
      </c>
      <c r="C278" s="1872">
        <v>0.15</v>
      </c>
      <c r="D278" s="1872">
        <v>0.15</v>
      </c>
      <c r="E278" s="1872">
        <v>0.15</v>
      </c>
      <c r="F278" s="1873">
        <v>0.13800000000000001</v>
      </c>
    </row>
    <row r="279" spans="1:6" ht="24.75" thickBot="1">
      <c r="A279" s="1867" t="s">
        <v>1695</v>
      </c>
      <c r="B279" s="1871" t="s">
        <v>2505</v>
      </c>
      <c r="C279" s="1881"/>
      <c r="D279" s="1881"/>
      <c r="E279" s="1881"/>
      <c r="F279" s="1873">
        <v>0.05</v>
      </c>
    </row>
    <row r="280" spans="1:6" ht="24.75" thickBot="1">
      <c r="A280" s="1867" t="s">
        <v>1695</v>
      </c>
      <c r="B280" s="1871" t="s">
        <v>2506</v>
      </c>
      <c r="C280" s="1881"/>
      <c r="D280" s="1881"/>
      <c r="E280" s="1881"/>
      <c r="F280" s="1873">
        <v>0.05</v>
      </c>
    </row>
    <row r="281" spans="1:6" ht="24.75" thickBot="1">
      <c r="A281" s="1867" t="s">
        <v>1695</v>
      </c>
      <c r="B281" s="1871" t="s">
        <v>2507</v>
      </c>
      <c r="C281" s="1881"/>
      <c r="D281" s="1881"/>
      <c r="E281" s="1881"/>
      <c r="F281" s="1873">
        <v>0.05</v>
      </c>
    </row>
    <row r="282" spans="1:6" ht="24.75" thickBot="1">
      <c r="A282" s="1867" t="s">
        <v>1695</v>
      </c>
      <c r="B282" s="1871" t="s">
        <v>2508</v>
      </c>
      <c r="C282" s="1881"/>
      <c r="D282" s="1881"/>
      <c r="E282" s="1881"/>
      <c r="F282" s="1873">
        <v>0.05</v>
      </c>
    </row>
    <row r="283" spans="1:6" ht="24.75" thickBot="1">
      <c r="A283" s="1867" t="s">
        <v>1695</v>
      </c>
      <c r="B283" s="1871" t="s">
        <v>2509</v>
      </c>
      <c r="C283" s="1881"/>
      <c r="D283" s="1881"/>
      <c r="E283" s="1881"/>
      <c r="F283" s="1873">
        <v>0.05</v>
      </c>
    </row>
    <row r="284" spans="1:6" ht="24.75" thickBot="1">
      <c r="A284" s="1867" t="s">
        <v>1695</v>
      </c>
      <c r="B284" s="1871" t="s">
        <v>2510</v>
      </c>
      <c r="C284" s="1881"/>
      <c r="D284" s="1881"/>
      <c r="E284" s="1881"/>
      <c r="F284" s="1873">
        <v>0.05</v>
      </c>
    </row>
    <row r="285" spans="1:6" ht="24.75" thickBot="1">
      <c r="A285" s="1867" t="s">
        <v>1695</v>
      </c>
      <c r="B285" s="1871" t="s">
        <v>2511</v>
      </c>
      <c r="C285" s="1881"/>
      <c r="D285" s="1881"/>
      <c r="E285" s="1881"/>
      <c r="F285" s="1873">
        <v>0.05</v>
      </c>
    </row>
    <row r="286" spans="1:6" ht="24.75" thickBot="1">
      <c r="A286" s="1867" t="s">
        <v>1695</v>
      </c>
      <c r="B286" s="1871" t="s">
        <v>2512</v>
      </c>
      <c r="C286" s="1881"/>
      <c r="D286" s="1881"/>
      <c r="E286" s="1881"/>
      <c r="F286" s="1873">
        <v>0.05</v>
      </c>
    </row>
    <row r="287" spans="1:6" ht="24.75" thickBot="1">
      <c r="A287" s="1867" t="s">
        <v>1695</v>
      </c>
      <c r="B287" s="1871" t="s">
        <v>2513</v>
      </c>
      <c r="C287" s="1881"/>
      <c r="D287" s="1881"/>
      <c r="E287" s="1881"/>
      <c r="F287" s="1873">
        <v>0.05</v>
      </c>
    </row>
    <row r="288" spans="1:6" ht="24.75" thickBot="1">
      <c r="A288" s="1867" t="s">
        <v>1695</v>
      </c>
      <c r="B288" s="1871" t="s">
        <v>2514</v>
      </c>
      <c r="C288" s="1881"/>
      <c r="D288" s="1881"/>
      <c r="E288" s="1881"/>
      <c r="F288" s="1873">
        <v>0.05</v>
      </c>
    </row>
    <row r="289" spans="1:6" ht="24.75" thickBot="1">
      <c r="A289" s="1875" t="s">
        <v>1695</v>
      </c>
      <c r="B289" s="1882" t="s">
        <v>2515</v>
      </c>
      <c r="C289" s="1878"/>
      <c r="D289" s="1878"/>
      <c r="E289" s="1878"/>
      <c r="F289" s="1883">
        <v>0.05</v>
      </c>
    </row>
    <row r="290" spans="1:6" ht="14.25" thickBot="1">
      <c r="A290" s="1867" t="s">
        <v>1699</v>
      </c>
      <c r="B290" s="1868" t="s">
        <v>2516</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2517</v>
      </c>
      <c r="C292" s="1872">
        <v>0.15</v>
      </c>
      <c r="D292" s="1872">
        <v>0.15</v>
      </c>
      <c r="E292" s="1872">
        <v>0.15</v>
      </c>
      <c r="F292" s="1873">
        <v>0.14699999999999999</v>
      </c>
    </row>
    <row r="293" spans="1:6" ht="14.25" thickBot="1">
      <c r="A293" s="1867" t="s">
        <v>1699</v>
      </c>
      <c r="B293" s="1871" t="s">
        <v>2518</v>
      </c>
      <c r="C293" s="1881"/>
      <c r="D293" s="1881"/>
      <c r="E293" s="1881"/>
      <c r="F293" s="1873">
        <v>0.1</v>
      </c>
    </row>
    <row r="294" spans="1:6" ht="14.25" thickBot="1">
      <c r="A294" s="1867" t="s">
        <v>1699</v>
      </c>
      <c r="B294" s="1871" t="s">
        <v>2519</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2520</v>
      </c>
      <c r="C296" s="1872">
        <v>0.15</v>
      </c>
      <c r="D296" s="1872">
        <v>0.15</v>
      </c>
      <c r="E296" s="1872">
        <v>0.15</v>
      </c>
      <c r="F296" s="1873">
        <v>0.15</v>
      </c>
    </row>
    <row r="297" spans="1:6" ht="14.25" thickBot="1">
      <c r="A297" s="1867" t="s">
        <v>1699</v>
      </c>
      <c r="B297" s="1871" t="s">
        <v>2521</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2522</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2523</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2524</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2525</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2526</v>
      </c>
      <c r="C310" s="1872">
        <v>0.15</v>
      </c>
      <c r="D310" s="1872">
        <v>0.15</v>
      </c>
      <c r="E310" s="1872">
        <v>0.15</v>
      </c>
      <c r="F310" s="1873">
        <v>0.13700000000000001</v>
      </c>
    </row>
    <row r="311" spans="1:6" ht="14.25" thickBot="1">
      <c r="A311" s="1867" t="s">
        <v>1699</v>
      </c>
      <c r="B311" s="1871" t="s">
        <v>2527</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2528</v>
      </c>
      <c r="C313" s="1872">
        <v>0.15</v>
      </c>
      <c r="D313" s="1872">
        <v>0.15</v>
      </c>
      <c r="E313" s="1872">
        <v>0.15</v>
      </c>
      <c r="F313" s="1873">
        <v>0.15</v>
      </c>
    </row>
    <row r="314" spans="1:6" ht="24.75" thickBot="1">
      <c r="A314" s="1867" t="s">
        <v>1699</v>
      </c>
      <c r="B314" s="1871" t="s">
        <v>2529</v>
      </c>
      <c r="C314" s="1881"/>
      <c r="D314" s="1881"/>
      <c r="E314" s="1881"/>
      <c r="F314" s="1873">
        <v>0.05</v>
      </c>
    </row>
    <row r="315" spans="1:6" ht="24.75" thickBot="1">
      <c r="A315" s="1867" t="s">
        <v>1699</v>
      </c>
      <c r="B315" s="1871" t="s">
        <v>2530</v>
      </c>
      <c r="C315" s="1881"/>
      <c r="D315" s="1881"/>
      <c r="E315" s="1881"/>
      <c r="F315" s="1873">
        <v>0.05</v>
      </c>
    </row>
    <row r="316" spans="1:6" ht="24.75" thickBot="1">
      <c r="A316" s="1875" t="s">
        <v>1699</v>
      </c>
      <c r="B316" s="1882" t="s">
        <v>2531</v>
      </c>
      <c r="C316" s="1878"/>
      <c r="D316" s="1878"/>
      <c r="E316" s="1878"/>
      <c r="F316" s="1883">
        <v>0.05</v>
      </c>
    </row>
    <row r="317" spans="1:6" ht="14.25" thickBot="1">
      <c r="A317" s="1867" t="s">
        <v>2532</v>
      </c>
      <c r="B317" s="1868" t="s">
        <v>2533</v>
      </c>
      <c r="C317" s="1869">
        <v>0.15</v>
      </c>
      <c r="D317" s="1869">
        <v>0.15</v>
      </c>
      <c r="E317" s="1869">
        <v>0.15</v>
      </c>
      <c r="F317" s="1870">
        <v>0.15</v>
      </c>
    </row>
    <row r="318" spans="1:6" ht="14.25" thickBot="1">
      <c r="A318" s="1867" t="s">
        <v>2532</v>
      </c>
      <c r="B318" s="1871" t="s">
        <v>2534</v>
      </c>
      <c r="C318" s="1872">
        <v>0.107</v>
      </c>
      <c r="D318" s="1872">
        <v>0.11</v>
      </c>
      <c r="E318" s="1872">
        <v>0.112</v>
      </c>
      <c r="F318" s="1880"/>
    </row>
    <row r="319" spans="1:6" ht="14.25" thickBot="1">
      <c r="A319" s="1867" t="s">
        <v>2532</v>
      </c>
      <c r="B319" s="1871" t="s">
        <v>2535</v>
      </c>
      <c r="C319" s="1872">
        <v>0.15</v>
      </c>
      <c r="D319" s="1872">
        <v>0.15</v>
      </c>
      <c r="E319" s="1872">
        <v>0.15</v>
      </c>
      <c r="F319" s="1873">
        <v>0.15</v>
      </c>
    </row>
    <row r="320" spans="1:6" ht="14.25" thickBot="1">
      <c r="A320" s="1867" t="s">
        <v>2532</v>
      </c>
      <c r="B320" s="1871" t="s">
        <v>1387</v>
      </c>
      <c r="C320" s="1872">
        <v>0.15</v>
      </c>
      <c r="D320" s="1872">
        <v>0.15</v>
      </c>
      <c r="E320" s="1872">
        <v>0.15</v>
      </c>
      <c r="F320" s="1880"/>
    </row>
    <row r="321" spans="1:6" ht="14.25" thickBot="1">
      <c r="A321" s="1867" t="s">
        <v>2532</v>
      </c>
      <c r="B321" s="1871" t="s">
        <v>2536</v>
      </c>
      <c r="C321" s="1872">
        <v>0.15</v>
      </c>
      <c r="D321" s="1872">
        <v>0.15</v>
      </c>
      <c r="E321" s="1872">
        <v>0.15</v>
      </c>
      <c r="F321" s="1880"/>
    </row>
    <row r="322" spans="1:6" ht="14.25" thickBot="1">
      <c r="A322" s="1867" t="s">
        <v>2532</v>
      </c>
      <c r="B322" s="1871" t="s">
        <v>2537</v>
      </c>
      <c r="C322" s="1872">
        <v>0.15</v>
      </c>
      <c r="D322" s="1872">
        <v>0.15</v>
      </c>
      <c r="E322" s="1872">
        <v>0.15</v>
      </c>
      <c r="F322" s="1873">
        <v>0.15</v>
      </c>
    </row>
    <row r="323" spans="1:6" ht="14.25" thickBot="1">
      <c r="A323" s="1867" t="s">
        <v>2532</v>
      </c>
      <c r="B323" s="1871" t="s">
        <v>2538</v>
      </c>
      <c r="C323" s="1872">
        <v>0.15</v>
      </c>
      <c r="D323" s="1872">
        <v>0.15</v>
      </c>
      <c r="E323" s="1872">
        <v>0.15</v>
      </c>
      <c r="F323" s="1880"/>
    </row>
    <row r="324" spans="1:6" ht="14.25" thickBot="1">
      <c r="A324" s="1867" t="s">
        <v>2532</v>
      </c>
      <c r="B324" s="1871" t="s">
        <v>2539</v>
      </c>
      <c r="C324" s="1872">
        <v>0.15</v>
      </c>
      <c r="D324" s="1872">
        <v>0.15</v>
      </c>
      <c r="E324" s="1872">
        <v>0.15</v>
      </c>
      <c r="F324" s="1880"/>
    </row>
    <row r="325" spans="1:6" ht="14.25" thickBot="1">
      <c r="A325" s="1867" t="s">
        <v>2532</v>
      </c>
      <c r="B325" s="1871" t="s">
        <v>2540</v>
      </c>
      <c r="C325" s="1872">
        <v>0.15</v>
      </c>
      <c r="D325" s="1872">
        <v>0.15</v>
      </c>
      <c r="E325" s="1872">
        <v>0.15</v>
      </c>
      <c r="F325" s="1873">
        <v>0.14699999999999999</v>
      </c>
    </row>
    <row r="326" spans="1:6" ht="14.25" thickBot="1">
      <c r="A326" s="1867" t="s">
        <v>2532</v>
      </c>
      <c r="B326" s="1871" t="s">
        <v>1456</v>
      </c>
      <c r="C326" s="1872">
        <v>0.15</v>
      </c>
      <c r="D326" s="1872">
        <v>0.15</v>
      </c>
      <c r="E326" s="1872">
        <v>0.15</v>
      </c>
      <c r="F326" s="1880"/>
    </row>
    <row r="327" spans="1:6" ht="14.25" thickBot="1">
      <c r="A327" s="1867" t="s">
        <v>2532</v>
      </c>
      <c r="B327" s="1871" t="s">
        <v>2541</v>
      </c>
      <c r="C327" s="1872">
        <v>0.15</v>
      </c>
      <c r="D327" s="1872">
        <v>0.15</v>
      </c>
      <c r="E327" s="1872">
        <v>0.15</v>
      </c>
      <c r="F327" s="1873">
        <v>0.15</v>
      </c>
    </row>
    <row r="328" spans="1:6" ht="14.25" thickBot="1">
      <c r="A328" s="1867" t="s">
        <v>2532</v>
      </c>
      <c r="B328" s="1871" t="s">
        <v>1476</v>
      </c>
      <c r="C328" s="1872">
        <v>0.15</v>
      </c>
      <c r="D328" s="1872">
        <v>0.15</v>
      </c>
      <c r="E328" s="1872">
        <v>0.15</v>
      </c>
      <c r="F328" s="1873">
        <v>0.14099999999999999</v>
      </c>
    </row>
    <row r="329" spans="1:6" ht="14.25" thickBot="1">
      <c r="A329" s="1867" t="s">
        <v>2532</v>
      </c>
      <c r="B329" s="1871" t="s">
        <v>1486</v>
      </c>
      <c r="C329" s="1872">
        <v>0.15</v>
      </c>
      <c r="D329" s="1872">
        <v>0.15</v>
      </c>
      <c r="E329" s="1872">
        <v>0.15</v>
      </c>
      <c r="F329" s="1873">
        <v>0.15</v>
      </c>
    </row>
    <row r="330" spans="1:6" ht="14.25" thickBot="1">
      <c r="A330" s="1867" t="s">
        <v>2532</v>
      </c>
      <c r="B330" s="1871" t="s">
        <v>1496</v>
      </c>
      <c r="C330" s="1872">
        <v>0.15</v>
      </c>
      <c r="D330" s="1872">
        <v>0.15</v>
      </c>
      <c r="E330" s="1872">
        <v>0.15</v>
      </c>
      <c r="F330" s="1880"/>
    </row>
    <row r="331" spans="1:6" ht="14.25" thickBot="1">
      <c r="A331" s="1867" t="s">
        <v>2532</v>
      </c>
      <c r="B331" s="1871" t="s">
        <v>2542</v>
      </c>
      <c r="C331" s="1872">
        <v>0.15</v>
      </c>
      <c r="D331" s="1872">
        <v>0.15</v>
      </c>
      <c r="E331" s="1872">
        <v>0.15</v>
      </c>
      <c r="F331" s="1873">
        <v>0.15</v>
      </c>
    </row>
    <row r="332" spans="1:6" ht="14.25" thickBot="1">
      <c r="A332" s="1867" t="s">
        <v>2532</v>
      </c>
      <c r="B332" s="1871" t="s">
        <v>1516</v>
      </c>
      <c r="C332" s="1872">
        <v>0.15</v>
      </c>
      <c r="D332" s="1872">
        <v>0.15</v>
      </c>
      <c r="E332" s="1872">
        <v>0.15</v>
      </c>
      <c r="F332" s="1873">
        <v>0.15</v>
      </c>
    </row>
    <row r="333" spans="1:6" ht="14.25" thickBot="1">
      <c r="A333" s="1867" t="s">
        <v>2532</v>
      </c>
      <c r="B333" s="1871" t="s">
        <v>2543</v>
      </c>
      <c r="C333" s="1872">
        <v>0.15</v>
      </c>
      <c r="D333" s="1872">
        <v>0.15</v>
      </c>
      <c r="E333" s="1872">
        <v>0.15</v>
      </c>
      <c r="F333" s="1873">
        <v>0.14099999999999999</v>
      </c>
    </row>
    <row r="334" spans="1:6" ht="14.25" thickBot="1">
      <c r="A334" s="1867" t="s">
        <v>2532</v>
      </c>
      <c r="B334" s="1871" t="s">
        <v>1536</v>
      </c>
      <c r="C334" s="1872">
        <v>0.15</v>
      </c>
      <c r="D334" s="1872">
        <v>0.15</v>
      </c>
      <c r="E334" s="1872">
        <v>0.15</v>
      </c>
      <c r="F334" s="1873">
        <v>0.15</v>
      </c>
    </row>
    <row r="335" spans="1:6" ht="14.25" thickBot="1">
      <c r="A335" s="1867" t="s">
        <v>2532</v>
      </c>
      <c r="B335" s="1871" t="s">
        <v>1546</v>
      </c>
      <c r="C335" s="1872">
        <v>0.15</v>
      </c>
      <c r="D335" s="1872">
        <v>0.15</v>
      </c>
      <c r="E335" s="1872">
        <v>0.15</v>
      </c>
      <c r="F335" s="1880"/>
    </row>
    <row r="336" spans="1:6" ht="14.25" thickBot="1">
      <c r="A336" s="1867" t="s">
        <v>2532</v>
      </c>
      <c r="B336" s="1871" t="s">
        <v>2544</v>
      </c>
      <c r="C336" s="1872">
        <v>0.15</v>
      </c>
      <c r="D336" s="1872">
        <v>0.15</v>
      </c>
      <c r="E336" s="1872">
        <v>0.15</v>
      </c>
      <c r="F336" s="1873">
        <v>0.11799999999999999</v>
      </c>
    </row>
    <row r="337" spans="1:6" ht="14.25" thickBot="1">
      <c r="A337" s="1875" t="s">
        <v>2532</v>
      </c>
      <c r="B337" s="1882" t="s">
        <v>1564</v>
      </c>
      <c r="C337" s="1878"/>
      <c r="D337" s="1878"/>
      <c r="E337" s="1878"/>
      <c r="F337" s="1883">
        <v>0.14299999999999999</v>
      </c>
    </row>
    <row r="338" spans="1:6" ht="14.25" thickBot="1">
      <c r="A338" s="1867" t="s">
        <v>2545</v>
      </c>
      <c r="B338" s="1868" t="s">
        <v>2546</v>
      </c>
      <c r="C338" s="1869">
        <v>0.15</v>
      </c>
      <c r="D338" s="1869">
        <v>0.15</v>
      </c>
      <c r="E338" s="1869">
        <v>0.15</v>
      </c>
      <c r="F338" s="1891"/>
    </row>
    <row r="339" spans="1:6" ht="14.25" thickBot="1">
      <c r="A339" s="1867" t="s">
        <v>2545</v>
      </c>
      <c r="B339" s="1871" t="s">
        <v>2547</v>
      </c>
      <c r="C339" s="1872">
        <v>0.15</v>
      </c>
      <c r="D339" s="1872">
        <v>0.15</v>
      </c>
      <c r="E339" s="1872">
        <v>0.15</v>
      </c>
      <c r="F339" s="1880"/>
    </row>
    <row r="340" spans="1:6" ht="14.25" thickBot="1">
      <c r="A340" s="1867" t="s">
        <v>2545</v>
      </c>
      <c r="B340" s="1871" t="s">
        <v>2548</v>
      </c>
      <c r="C340" s="1872">
        <v>0.15</v>
      </c>
      <c r="D340" s="1872">
        <v>0.15</v>
      </c>
      <c r="E340" s="1872">
        <v>0.15</v>
      </c>
      <c r="F340" s="1880"/>
    </row>
    <row r="341" spans="1:6" ht="14.25" thickBot="1">
      <c r="A341" s="1867" t="s">
        <v>2549</v>
      </c>
      <c r="B341" s="1871" t="s">
        <v>2550</v>
      </c>
      <c r="C341" s="1872">
        <v>0.15</v>
      </c>
      <c r="D341" s="1872">
        <v>0.15</v>
      </c>
      <c r="E341" s="1872">
        <v>0.15</v>
      </c>
      <c r="F341" s="1873">
        <v>0.15</v>
      </c>
    </row>
    <row r="342" spans="1:6" ht="14.25" thickBot="1">
      <c r="A342" s="1867" t="s">
        <v>2545</v>
      </c>
      <c r="B342" s="1871" t="s">
        <v>2551</v>
      </c>
      <c r="C342" s="1872">
        <v>0.15</v>
      </c>
      <c r="D342" s="1872">
        <v>0.15</v>
      </c>
      <c r="E342" s="1872">
        <v>0.15</v>
      </c>
      <c r="F342" s="1873">
        <v>0.15</v>
      </c>
    </row>
    <row r="343" spans="1:6" ht="14.25" thickBot="1">
      <c r="A343" s="1867" t="s">
        <v>2545</v>
      </c>
      <c r="B343" s="1871" t="s">
        <v>2552</v>
      </c>
      <c r="C343" s="1872">
        <v>0.15</v>
      </c>
      <c r="D343" s="1872">
        <v>0.15</v>
      </c>
      <c r="E343" s="1872">
        <v>0.15</v>
      </c>
      <c r="F343" s="1873">
        <v>0.15</v>
      </c>
    </row>
    <row r="344" spans="1:6" ht="14.25" thickBot="1">
      <c r="A344" s="1875" t="s">
        <v>2545</v>
      </c>
      <c r="B344" s="1882" t="s">
        <v>2553</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46" t="s">
        <v>2942</v>
      </c>
      <c r="C1" s="3446"/>
      <c r="D1" s="3446"/>
      <c r="E1" s="3446"/>
      <c r="F1" s="3446"/>
      <c r="G1" s="3445" t="s">
        <v>2943</v>
      </c>
      <c r="H1" s="3445"/>
      <c r="I1" s="3445"/>
      <c r="J1" s="3445"/>
      <c r="K1" s="3445"/>
      <c r="L1" s="3445"/>
      <c r="N1" s="3445" t="s">
        <v>2944</v>
      </c>
      <c r="O1" s="3445"/>
      <c r="P1" s="3445"/>
      <c r="Q1" s="3445"/>
      <c r="R1" s="2709"/>
      <c r="S1" s="3445" t="s">
        <v>2945</v>
      </c>
      <c r="T1" s="3445"/>
      <c r="U1" s="3445"/>
      <c r="V1" s="3445"/>
      <c r="X1" s="3444" t="s">
        <v>3007</v>
      </c>
      <c r="Y1" s="3445"/>
      <c r="Z1" s="3445"/>
      <c r="AA1" s="3445"/>
      <c r="AB1" s="3445"/>
      <c r="AD1" s="3444" t="s">
        <v>3013</v>
      </c>
      <c r="AE1" s="3445"/>
      <c r="AF1" s="3445"/>
      <c r="AG1" s="3445"/>
      <c r="AH1" s="3445"/>
    </row>
    <row r="2" spans="1:34" s="2812" customFormat="1" ht="14.25" thickBot="1">
      <c r="B2" s="2822" t="s">
        <v>2946</v>
      </c>
      <c r="C2" s="2822" t="s">
        <v>3010</v>
      </c>
      <c r="D2" s="2813" t="s">
        <v>1924</v>
      </c>
      <c r="E2" s="2813" t="s">
        <v>2258</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2258</v>
      </c>
      <c r="AB2" s="2822" t="s">
        <v>3011</v>
      </c>
      <c r="AD2" s="2822" t="s">
        <v>2946</v>
      </c>
      <c r="AE2" s="2822" t="s">
        <v>3010</v>
      </c>
      <c r="AF2" s="2813" t="s">
        <v>1924</v>
      </c>
      <c r="AG2" s="2813" t="s">
        <v>2258</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53">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48"/>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48"/>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49"/>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53">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48"/>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48"/>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49"/>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47">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48"/>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48"/>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49"/>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47">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48"/>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48"/>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49"/>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50">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51"/>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51"/>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52"/>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47">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48"/>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48"/>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49"/>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47">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48">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48">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49">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47">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48">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48">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49">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47">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48">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48">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49">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47">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48">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48">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49">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47">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48">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48">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49">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47">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48">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48">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49">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47">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48">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48">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49">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47">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48">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48">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49">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47">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48">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48">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49">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47">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48">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48">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49">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1984</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2127</v>
      </c>
      <c r="B8" s="3455" t="s">
        <v>2819</v>
      </c>
      <c r="C8" s="1837" t="e">
        <f ca="1">ROUND(F8*F10*F9*(1-F11)/10000,0)</f>
        <v>#N/A</v>
      </c>
      <c r="D8" s="1834" t="s">
        <v>2892</v>
      </c>
      <c r="E8" s="61" t="s">
        <v>721</v>
      </c>
      <c r="F8" s="785" t="e">
        <f ca="1">INDIRECT("'数据-取费表'!u"&amp;$G$1)</f>
        <v>#N/A</v>
      </c>
      <c r="G8" s="1605"/>
      <c r="H8" s="2557" t="s">
        <v>2127</v>
      </c>
      <c r="I8" s="3455" t="s">
        <v>2819</v>
      </c>
      <c r="J8" s="783" t="e">
        <f ca="1">ROUND(M8*M10*M9*(1-M11)/10000,0)</f>
        <v>#N/A</v>
      </c>
      <c r="K8" s="346" t="s">
        <v>2892</v>
      </c>
      <c r="L8" s="784" t="s">
        <v>2039</v>
      </c>
      <c r="M8" s="785" t="e">
        <f ca="1">INDIRECT("'数据-取费表'!z"&amp;$G$1)</f>
        <v>#N/A</v>
      </c>
    </row>
    <row r="9" spans="1:25" ht="18" customHeight="1">
      <c r="A9" s="2553"/>
      <c r="B9" s="3456"/>
      <c r="C9" s="1838"/>
      <c r="D9" s="1835"/>
      <c r="E9" s="61" t="s">
        <v>722</v>
      </c>
      <c r="F9" s="785" t="e">
        <f ca="1">IF(INDIRECT("'数据-取费表'!ah"&amp;$G$1)="",INDIRECT("'数据-取费表'!k"&amp;$G$1),INDIRECT("'数据-取费表'!ah"&amp;$G$1))</f>
        <v>#N/A</v>
      </c>
      <c r="G9" s="1605"/>
      <c r="H9" s="2542"/>
      <c r="I9" s="3456"/>
      <c r="J9" s="788"/>
      <c r="K9" s="789"/>
      <c r="L9" s="784" t="s">
        <v>2040</v>
      </c>
      <c r="M9" s="785" t="e">
        <f ca="1">F9</f>
        <v>#N/A</v>
      </c>
    </row>
    <row r="10" spans="1:25" ht="18" customHeight="1">
      <c r="A10" s="2546"/>
      <c r="B10" s="3457"/>
      <c r="C10" s="1838"/>
      <c r="D10" s="1835"/>
      <c r="E10" s="61" t="s">
        <v>723</v>
      </c>
      <c r="F10" s="785" t="e">
        <f ca="1">INDIRECT("'数据-取费表'!ai"&amp;$G$1)</f>
        <v>#N/A</v>
      </c>
      <c r="G10" s="1605"/>
      <c r="H10" s="2542"/>
      <c r="I10" s="3457"/>
      <c r="J10" s="788"/>
      <c r="K10" s="789"/>
      <c r="L10" s="784" t="s">
        <v>2041</v>
      </c>
      <c r="M10" s="785" t="e">
        <f ca="1">INDIRECT("'数据-取费表'!ai"&amp;$G$1)</f>
        <v>#N/A</v>
      </c>
    </row>
    <row r="11" spans="1:25" ht="18" customHeight="1">
      <c r="A11" s="786"/>
      <c r="B11" s="3458"/>
      <c r="C11" s="1838"/>
      <c r="D11" s="1835"/>
      <c r="E11" s="61" t="s">
        <v>724</v>
      </c>
      <c r="F11" s="794" t="e">
        <f ca="1">INDIRECT("'数据-取费表'!w"&amp;$G$1)</f>
        <v>#N/A</v>
      </c>
      <c r="G11" s="1605"/>
      <c r="H11" s="2558"/>
      <c r="I11" s="3457"/>
      <c r="J11" s="788"/>
      <c r="K11" s="789"/>
      <c r="L11" s="795" t="s">
        <v>2042</v>
      </c>
      <c r="M11" s="796" t="e">
        <f ca="1">INDIRECT("'数据-取费表'!ab"&amp;$G$1)</f>
        <v>#N/A</v>
      </c>
    </row>
    <row r="12" spans="1:25" ht="18" customHeight="1">
      <c r="A12" s="1842" t="s">
        <v>2128</v>
      </c>
      <c r="B12" s="2547" t="s">
        <v>2815</v>
      </c>
      <c r="C12" s="799">
        <f ca="1">ROUND(IF(F12="押一",F8*F10*F9/12*F13,IF(F12="押二",F8*F10*F9/12*2*F13,IF(F12="押三",F8*F10*F9/12*3*F13,C13*F13)))/10000,0)</f>
        <v>0</v>
      </c>
      <c r="D12" s="2554" t="s">
        <v>2823</v>
      </c>
      <c r="E12" s="2551" t="s">
        <v>2820</v>
      </c>
      <c r="F12" s="2675" t="s">
        <v>2935</v>
      </c>
      <c r="G12" s="1605"/>
      <c r="H12" s="2614" t="s">
        <v>2128</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2177</v>
      </c>
      <c r="B15" s="1839" t="s">
        <v>725</v>
      </c>
      <c r="C15" s="792" t="e">
        <f ca="1">ROUND(C31*F15,0)</f>
        <v>#N/A</v>
      </c>
      <c r="D15" s="1846" t="s">
        <v>726</v>
      </c>
      <c r="E15" s="795" t="s">
        <v>727</v>
      </c>
      <c r="F15" s="800" t="e">
        <f ca="1">INDIRECT("'数据-取费表'!y"&amp;$G$1)</f>
        <v>#N/A</v>
      </c>
      <c r="G15" s="1605"/>
      <c r="H15" s="1841" t="s">
        <v>2129</v>
      </c>
      <c r="I15" s="1839" t="s">
        <v>728</v>
      </c>
      <c r="J15" s="1831" t="e">
        <f ca="1">ROUND(J16*J17,0)</f>
        <v>#N/A</v>
      </c>
      <c r="K15" s="1833" t="s">
        <v>726</v>
      </c>
      <c r="L15" s="801"/>
      <c r="M15" s="802"/>
    </row>
    <row r="16" spans="1:25" ht="18" customHeight="1">
      <c r="A16" s="803" t="s">
        <v>2178</v>
      </c>
      <c r="B16" s="784" t="s">
        <v>729</v>
      </c>
      <c r="C16" s="804" t="e">
        <f ca="1">INDIRECT("'数据-取费表'!m"&amp;$G$1)+INDIRECT("'数据-取费表'!t"&amp;$G$1)</f>
        <v>#N/A</v>
      </c>
      <c r="D16" s="1994" t="s">
        <v>730</v>
      </c>
      <c r="E16" s="1995"/>
      <c r="F16" s="805"/>
      <c r="G16" s="1605"/>
      <c r="H16" s="803" t="s">
        <v>2386</v>
      </c>
      <c r="I16" s="2250" t="s">
        <v>3206</v>
      </c>
      <c r="J16" s="53" t="e">
        <f ca="1">C31</f>
        <v>#N/A</v>
      </c>
      <c r="K16" s="26"/>
      <c r="L16" s="801"/>
      <c r="M16" s="802"/>
    </row>
    <row r="17" spans="1:25" s="2080" customFormat="1" ht="18" customHeight="1">
      <c r="A17" s="803" t="s">
        <v>2152</v>
      </c>
      <c r="B17" s="784" t="s">
        <v>731</v>
      </c>
      <c r="C17" s="53" t="e">
        <f ca="1">ROUND(C16*F17,0)</f>
        <v>#N/A</v>
      </c>
      <c r="D17" s="806" t="s">
        <v>732</v>
      </c>
      <c r="E17" s="806" t="s">
        <v>733</v>
      </c>
      <c r="F17" s="807">
        <f>'数据-取费表'!B33</f>
        <v>0.03</v>
      </c>
      <c r="G17" s="1606"/>
      <c r="H17" s="803" t="s">
        <v>2387</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2153</v>
      </c>
      <c r="B18" s="784" t="s">
        <v>734</v>
      </c>
      <c r="C18" s="53" t="e">
        <f ca="1">ROUND(INDIRECT("'数据-取费表'!m"&amp;$G$1)*F18,0)</f>
        <v>#N/A</v>
      </c>
      <c r="D18" s="784" t="s">
        <v>732</v>
      </c>
      <c r="E18" s="784" t="s">
        <v>733</v>
      </c>
      <c r="F18" s="809" t="e">
        <f ca="1">IF(INDIRECT("'数据-取费表'!c"&amp;$G$1)="住宅",'数据-取费表'!B34,0)</f>
        <v>#N/A</v>
      </c>
      <c r="G18" s="1605"/>
      <c r="H18" s="797" t="s">
        <v>2130</v>
      </c>
      <c r="I18" s="798" t="s">
        <v>735</v>
      </c>
      <c r="J18" s="799" t="e">
        <f ca="1">ROUND(J19+J24+J25+J26,0)</f>
        <v>#N/A</v>
      </c>
      <c r="K18" s="26" t="s">
        <v>736</v>
      </c>
      <c r="L18" s="1997"/>
      <c r="M18" s="56"/>
    </row>
    <row r="19" spans="1:25" s="2080" customFormat="1" ht="18" customHeight="1">
      <c r="A19" s="803" t="s">
        <v>2154</v>
      </c>
      <c r="B19" s="784" t="s">
        <v>737</v>
      </c>
      <c r="C19" s="53" t="e">
        <f ca="1">ROUND(F19*(INDIRECT("'数据-取费表'!k"&amp;$G$1)+INDIRECT("'数据-取费表'!S"&amp;$G$1))/10000,0)</f>
        <v>#N/A</v>
      </c>
      <c r="D19" s="784" t="s">
        <v>738</v>
      </c>
      <c r="E19" s="784" t="s">
        <v>739</v>
      </c>
      <c r="F19" s="56">
        <f>'数据-取费表'!B35</f>
        <v>200</v>
      </c>
      <c r="G19" s="1606"/>
      <c r="H19" s="803" t="s">
        <v>2386</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2155</v>
      </c>
      <c r="B20" s="784" t="s">
        <v>743</v>
      </c>
      <c r="C20" s="53" t="e">
        <f ca="1">ROUND(C16*F20,0)</f>
        <v>#N/A</v>
      </c>
      <c r="D20" s="784" t="s">
        <v>732</v>
      </c>
      <c r="E20" s="784" t="s">
        <v>733</v>
      </c>
      <c r="F20" s="809">
        <f>'数据-取费表'!B36</f>
        <v>1.4999999999999999E-2</v>
      </c>
      <c r="G20" s="1606"/>
      <c r="H20" s="803" t="s">
        <v>2134</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2179</v>
      </c>
      <c r="B21" s="784" t="s">
        <v>746</v>
      </c>
      <c r="C21" s="53" t="e">
        <f ca="1">SUM(C16:C20)</f>
        <v>#N/A</v>
      </c>
      <c r="D21" s="263" t="s">
        <v>747</v>
      </c>
      <c r="E21" s="1997"/>
      <c r="F21" s="56"/>
      <c r="G21" s="1605"/>
      <c r="H21" s="1842" t="s">
        <v>2152</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2180</v>
      </c>
      <c r="B22" s="784" t="s">
        <v>750</v>
      </c>
      <c r="C22" s="53" t="e">
        <f ca="1">ROUND(C21*F22,0)</f>
        <v>#N/A</v>
      </c>
      <c r="D22" s="812" t="s">
        <v>751</v>
      </c>
      <c r="E22" s="784" t="s">
        <v>733</v>
      </c>
      <c r="F22" s="809">
        <f>'数据-取费表'!B37</f>
        <v>1.4999999999999999E-2</v>
      </c>
      <c r="G22" s="1606"/>
      <c r="H22" s="1844" t="s">
        <v>2153</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2181</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2182</v>
      </c>
      <c r="B24" s="784" t="s">
        <v>759</v>
      </c>
      <c r="C24" s="53"/>
      <c r="D24" s="2625" t="str">
        <f>IF(F25&lt;=1,"单利计息。","复利计息。")&amp;"建造成本、管理费用、销售费用产生的利息。"</f>
        <v>复利计息。建造成本、管理费用、销售费用产生的利息。</v>
      </c>
      <c r="E24" s="1997"/>
      <c r="F24" s="56"/>
      <c r="G24" s="1605"/>
      <c r="H24" s="1843" t="s">
        <v>2387</v>
      </c>
      <c r="I24" s="784" t="s">
        <v>760</v>
      </c>
      <c r="J24" s="53" t="e">
        <f ca="1">ROUND(J16*M24,0)</f>
        <v>#N/A</v>
      </c>
      <c r="K24" s="1992" t="s">
        <v>761</v>
      </c>
      <c r="L24" s="784" t="s">
        <v>733</v>
      </c>
      <c r="M24" s="817" t="e">
        <f ca="1">INDIRECT("'数据-取费表'!Ak"&amp;$G$1)</f>
        <v>#N/A</v>
      </c>
    </row>
    <row r="25" spans="1:25" s="2080" customFormat="1" ht="18" customHeight="1">
      <c r="A25" s="803" t="s">
        <v>2178</v>
      </c>
      <c r="B25" s="784" t="s">
        <v>2793</v>
      </c>
      <c r="C25" s="53" t="e">
        <f ca="1">ROUND(IF('数据-取费表'!B22&lt;=1,(C21+C22)*F26*F25/2,(C21+C22)*(POWER((1+F26),F25/2)-1)),0)</f>
        <v>#N/A</v>
      </c>
      <c r="D25" s="2624" t="str">
        <f>IF(F25&lt;=1,"(建造成本+管理费用)×利率×(建设周期÷2)","(建造成本+管理费用)×((1+利率)^(建设周期÷2)-1)")</f>
        <v>(建造成本+管理费用)×((1+利率)^(建设周期÷2)-1)</v>
      </c>
      <c r="E25" s="784" t="s">
        <v>762</v>
      </c>
      <c r="F25" s="640">
        <f>'数据-取费表'!B20</f>
        <v>1.5</v>
      </c>
      <c r="G25" s="1606"/>
      <c r="H25" s="803" t="s">
        <v>2181</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2152</v>
      </c>
      <c r="B26" s="784" t="s">
        <v>765</v>
      </c>
      <c r="C26" s="53">
        <f ca="1">ROUND(IF('数据-取费表'!B22&lt;=1,F23*F26*F25/2,F23*(POWER((1+F26),F25/2)-1)),4)</f>
        <v>5.0000000000000001E-4</v>
      </c>
      <c r="D26" s="2624" t="str">
        <f>IF(F25&lt;=1,"销售费用×利率×(建设周期÷2)","销售费用×((1+利率)^(建设周期÷2)-1)")</f>
        <v>销售费用×((1+利率)^(建设周期÷2)-1)</v>
      </c>
      <c r="E26" s="784" t="s">
        <v>766</v>
      </c>
      <c r="F26" s="819">
        <f ca="1">'数据-取费表'!B40</f>
        <v>4.7500000000000001E-2</v>
      </c>
      <c r="G26" s="1606"/>
      <c r="H26" s="803" t="s">
        <v>2182</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2184</v>
      </c>
      <c r="B27" s="784" t="s">
        <v>768</v>
      </c>
      <c r="C27" s="53"/>
      <c r="D27" s="263" t="s">
        <v>769</v>
      </c>
      <c r="E27" s="1997"/>
      <c r="F27" s="56"/>
      <c r="G27" s="1605"/>
      <c r="H27" s="797" t="s">
        <v>2131</v>
      </c>
      <c r="I27" s="3014" t="s">
        <v>3203</v>
      </c>
      <c r="J27" s="799" t="e">
        <f ca="1">J7-J18</f>
        <v>#N/A</v>
      </c>
      <c r="K27" s="1994" t="s">
        <v>785</v>
      </c>
      <c r="L27" s="1996"/>
      <c r="M27" s="820"/>
    </row>
    <row r="28" spans="1:25" ht="18" customHeight="1">
      <c r="A28" s="803" t="s">
        <v>2178</v>
      </c>
      <c r="B28" s="784" t="s">
        <v>2794</v>
      </c>
      <c r="C28" s="53" t="e">
        <f ca="1">ROUND((C21+C22)*F28,0)</f>
        <v>#N/A</v>
      </c>
      <c r="D28" s="812" t="s">
        <v>786</v>
      </c>
      <c r="E28" s="795" t="s">
        <v>787</v>
      </c>
      <c r="F28" s="794" t="e">
        <f ca="1">INDIRECT("'数据-取费表'!q"&amp;$G$1)</f>
        <v>#N/A</v>
      </c>
      <c r="G28" s="1605"/>
      <c r="H28" s="781" t="s">
        <v>2140</v>
      </c>
      <c r="I28" s="782" t="s">
        <v>788</v>
      </c>
      <c r="J28" s="783" t="e">
        <f ca="1">IF(J7&lt;&gt;0,ROUND(J27*(1-((1+M30)/(1+M28))^M29)/(M28-M30),0),0)</f>
        <v>#N/A</v>
      </c>
      <c r="K28" s="814" t="s">
        <v>789</v>
      </c>
      <c r="L28" s="784" t="s">
        <v>790</v>
      </c>
      <c r="M28" s="794" t="e">
        <f ca="1">INDIRECT("'数据-取费表'!I"&amp;$G$1)</f>
        <v>#N/A</v>
      </c>
    </row>
    <row r="29" spans="1:25" ht="18" customHeight="1">
      <c r="A29" s="803" t="s">
        <v>2152</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2185</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2186</v>
      </c>
      <c r="B31" s="2594" t="s">
        <v>3204</v>
      </c>
      <c r="C31" s="2597" t="e">
        <f ca="1">ROUND((C21+C22+C25+C28)/(1-F23-C26-C29-C30),0)</f>
        <v>#N/A</v>
      </c>
      <c r="D31" s="2598"/>
      <c r="E31" s="2599"/>
      <c r="F31" s="2600"/>
      <c r="G31" s="1606"/>
      <c r="H31" s="823" t="s">
        <v>2175</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2179</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2178</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2152</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2183</v>
      </c>
      <c r="B36" s="346" t="s">
        <v>752</v>
      </c>
      <c r="C36" s="54" t="e">
        <f ca="1">ROUND(F36*F37/10000,1)</f>
        <v>#N/A</v>
      </c>
      <c r="D36" s="814" t="s">
        <v>753</v>
      </c>
      <c r="E36" s="784" t="s">
        <v>754</v>
      </c>
      <c r="F36" s="640">
        <f>'数据-取费表'!B52</f>
        <v>10</v>
      </c>
      <c r="G36" s="2078"/>
      <c r="H36" s="2081"/>
      <c r="I36" s="3454"/>
      <c r="J36" s="2095"/>
      <c r="K36" s="2096"/>
      <c r="L36" s="2095"/>
      <c r="M36" s="2095"/>
    </row>
    <row r="37" spans="1:13" ht="18" customHeight="1">
      <c r="A37" s="815"/>
      <c r="B37" s="793"/>
      <c r="C37" s="69"/>
      <c r="D37" s="816"/>
      <c r="E37" s="784" t="s">
        <v>758</v>
      </c>
      <c r="F37" s="785" t="e">
        <f ca="1">INDIRECT("'数据-取费表'!r"&amp;$G$1)</f>
        <v>#N/A</v>
      </c>
      <c r="G37" s="2078"/>
      <c r="H37" s="2081"/>
      <c r="I37" s="3454"/>
      <c r="J37" s="2093"/>
      <c r="K37" s="2094"/>
      <c r="L37" s="2093"/>
      <c r="M37" s="2093"/>
    </row>
    <row r="38" spans="1:13" ht="18" customHeight="1">
      <c r="A38" s="803" t="s">
        <v>2180</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2181</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2182</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2179</v>
      </c>
      <c r="B42" s="835" t="s">
        <v>778</v>
      </c>
      <c r="C42" s="829" t="e">
        <f ca="1">C7-C32</f>
        <v>#N/A</v>
      </c>
      <c r="D42" s="1994" t="s">
        <v>779</v>
      </c>
      <c r="E42" s="1996"/>
      <c r="F42" s="820"/>
      <c r="G42" s="2078"/>
      <c r="H42" s="2078"/>
      <c r="I42" s="2078"/>
      <c r="J42" s="2078"/>
      <c r="K42" s="2099"/>
      <c r="L42" s="2078"/>
      <c r="M42" s="2078"/>
    </row>
    <row r="43" spans="1:13" ht="18" customHeight="1">
      <c r="A43" s="803" t="s">
        <v>2180</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2181</v>
      </c>
      <c r="B44" s="835" t="s">
        <v>799</v>
      </c>
      <c r="C44" s="1369" t="e">
        <f ca="1">C42-C43</f>
        <v>#N/A</v>
      </c>
      <c r="D44" s="468" t="s">
        <v>800</v>
      </c>
      <c r="E44" s="469"/>
      <c r="F44" s="470"/>
      <c r="G44" s="2078"/>
      <c r="H44" s="2078"/>
      <c r="I44" s="2078"/>
      <c r="J44" s="2078"/>
      <c r="K44" s="2099"/>
      <c r="L44" s="2078"/>
      <c r="M44" s="2078"/>
    </row>
    <row r="45" spans="1:13" ht="18" customHeight="1">
      <c r="A45" s="803" t="s">
        <v>2182</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F4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2026</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2027</v>
      </c>
      <c r="B2" s="775">
        <f ca="1">C40+J29+L46</f>
        <v>88392</v>
      </c>
      <c r="C2" s="2073"/>
      <c r="D2" s="2071"/>
      <c r="E2" s="2072"/>
      <c r="F2" s="2072"/>
      <c r="G2" s="1603"/>
      <c r="H2" s="2073"/>
      <c r="I2" s="2073"/>
      <c r="J2" s="2073"/>
      <c r="K2" s="2074"/>
      <c r="L2" s="2073"/>
      <c r="M2" s="2073"/>
    </row>
    <row r="3" spans="1:33" ht="18" customHeight="1" thickBot="1">
      <c r="A3" s="833" t="s">
        <v>2028</v>
      </c>
      <c r="B3" s="834">
        <f ca="1">IF(ISERROR(B2*10000/F43),0,ROUND(B2*10000/F43,0))</f>
        <v>11534</v>
      </c>
      <c r="C3" s="2073"/>
      <c r="D3" s="2071"/>
      <c r="E3" s="2072"/>
      <c r="F3" s="2072"/>
      <c r="G3" s="1603"/>
      <c r="H3" s="776" t="s">
        <v>780</v>
      </c>
      <c r="I3" s="1375"/>
      <c r="J3" s="1375"/>
      <c r="K3" s="1604"/>
      <c r="L3" s="1375"/>
      <c r="M3" s="1375"/>
    </row>
    <row r="4" spans="1:33" ht="18" customHeight="1">
      <c r="A4" s="777" t="s">
        <v>2029</v>
      </c>
      <c r="B4" s="778" t="s">
        <v>2030</v>
      </c>
      <c r="C4" s="778" t="s">
        <v>2031</v>
      </c>
      <c r="D4" s="778" t="s">
        <v>717</v>
      </c>
      <c r="E4" s="779" t="s">
        <v>2032</v>
      </c>
      <c r="F4" s="780"/>
      <c r="G4" s="1605"/>
      <c r="H4" s="777" t="s">
        <v>2033</v>
      </c>
      <c r="I4" s="778" t="s">
        <v>2034</v>
      </c>
      <c r="J4" s="778" t="s">
        <v>2035</v>
      </c>
      <c r="K4" s="778" t="s">
        <v>2036</v>
      </c>
      <c r="L4" s="779" t="s">
        <v>2037</v>
      </c>
      <c r="M4" s="780"/>
    </row>
    <row r="5" spans="1:33" ht="18" customHeight="1">
      <c r="A5" s="781">
        <v>1</v>
      </c>
      <c r="B5" s="782" t="s">
        <v>2814</v>
      </c>
      <c r="C5" s="55">
        <f ca="1">C6+C10+C12</f>
        <v>6303</v>
      </c>
      <c r="D5" s="2549" t="s">
        <v>2817</v>
      </c>
      <c r="E5" s="2543"/>
      <c r="F5" s="2544"/>
      <c r="G5" s="1605"/>
      <c r="H5" s="781">
        <v>1</v>
      </c>
      <c r="I5" s="782" t="s">
        <v>2814</v>
      </c>
      <c r="J5" s="55">
        <f ca="1">J6+J10+J12</f>
        <v>0</v>
      </c>
      <c r="K5" s="2549" t="s">
        <v>2817</v>
      </c>
      <c r="L5" s="2543"/>
      <c r="M5" s="2544"/>
    </row>
    <row r="6" spans="1:33" ht="18" customHeight="1">
      <c r="A6" s="1842" t="s">
        <v>2127</v>
      </c>
      <c r="B6" s="3455" t="s">
        <v>2819</v>
      </c>
      <c r="C6" s="783">
        <f ca="1">ROUND(F6*F8*F7*(1-F9)/10000,0)</f>
        <v>6294</v>
      </c>
      <c r="D6" s="2550" t="s">
        <v>2818</v>
      </c>
      <c r="E6" s="784" t="s">
        <v>2039</v>
      </c>
      <c r="F6" s="785">
        <f ca="1">INDIRECT("'数据-取费表'!u"&amp;$G$1)</f>
        <v>2.5</v>
      </c>
      <c r="G6" s="1605"/>
      <c r="H6" s="2557" t="s">
        <v>2826</v>
      </c>
      <c r="I6" s="3455" t="s">
        <v>2819</v>
      </c>
      <c r="J6" s="783">
        <f ca="1">ROUND(M6*M8*M7*(1-M9)/10000,0)</f>
        <v>0</v>
      </c>
      <c r="K6" s="346" t="s">
        <v>2038</v>
      </c>
      <c r="L6" s="784" t="s">
        <v>2039</v>
      </c>
      <c r="M6" s="785">
        <f ca="1">INDIRECT("'数据-取费表'!z"&amp;$G$1)</f>
        <v>0</v>
      </c>
    </row>
    <row r="7" spans="1:33" ht="18" customHeight="1">
      <c r="A7" s="2553"/>
      <c r="B7" s="3456"/>
      <c r="C7" s="788"/>
      <c r="D7" s="789"/>
      <c r="E7" s="784" t="s">
        <v>2040</v>
      </c>
      <c r="F7" s="785">
        <f ca="1">IF(INDIRECT("'数据-取费表'!ah"&amp;$G$1)="",INDIRECT("'数据-取费表'!k"&amp;$G$1),INDIRECT("'数据-取费表'!ah"&amp;$G$1))</f>
        <v>76634</v>
      </c>
      <c r="G7" s="1605"/>
      <c r="H7" s="2542"/>
      <c r="I7" s="3456"/>
      <c r="J7" s="788"/>
      <c r="K7" s="789"/>
      <c r="L7" s="784" t="s">
        <v>2040</v>
      </c>
      <c r="M7" s="785">
        <f ca="1">F7</f>
        <v>76634</v>
      </c>
    </row>
    <row r="8" spans="1:33" ht="18" customHeight="1">
      <c r="A8" s="2546"/>
      <c r="B8" s="3457"/>
      <c r="C8" s="788"/>
      <c r="D8" s="789"/>
      <c r="E8" s="784" t="s">
        <v>2041</v>
      </c>
      <c r="F8" s="785">
        <f ca="1">INDIRECT("'数据-取费表'!ai"&amp;$G$1)</f>
        <v>365</v>
      </c>
      <c r="G8" s="1605"/>
      <c r="H8" s="2542"/>
      <c r="I8" s="3457"/>
      <c r="J8" s="788"/>
      <c r="K8" s="789"/>
      <c r="L8" s="784" t="s">
        <v>2041</v>
      </c>
      <c r="M8" s="785">
        <f ca="1">INDIRECT("'数据-取费表'!ai"&amp;$G$1)</f>
        <v>365</v>
      </c>
    </row>
    <row r="9" spans="1:33" ht="18" customHeight="1">
      <c r="A9" s="786"/>
      <c r="B9" s="3458"/>
      <c r="C9" s="788"/>
      <c r="D9" s="789"/>
      <c r="E9" s="784" t="s">
        <v>2042</v>
      </c>
      <c r="F9" s="794">
        <f ca="1">INDIRECT("'数据-取费表'!w"&amp;$G$1)</f>
        <v>0.1</v>
      </c>
      <c r="G9" s="1605"/>
      <c r="H9" s="2558"/>
      <c r="I9" s="3457"/>
      <c r="J9" s="788"/>
      <c r="K9" s="789"/>
      <c r="L9" s="795" t="s">
        <v>2042</v>
      </c>
      <c r="M9" s="796">
        <f ca="1">INDIRECT("'数据-取费表'!ab"&amp;$G$1)</f>
        <v>0</v>
      </c>
    </row>
    <row r="10" spans="1:33" ht="18" customHeight="1">
      <c r="A10" s="1842" t="s">
        <v>2824</v>
      </c>
      <c r="B10" s="2547" t="s">
        <v>2815</v>
      </c>
      <c r="C10" s="799">
        <f ca="1">ROUND(IF(F10="押一",F6*F8*F7/12*F11,IF(F10="押二",F6*F8*F7/12*2*F11,IF(F10="押三",F6*F8*F7/12*3*F11,C11*F11)))/10000,0)</f>
        <v>9</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thickTop="1">
      <c r="A13" s="1841">
        <v>2</v>
      </c>
      <c r="B13" s="1839" t="s">
        <v>2043</v>
      </c>
      <c r="C13" s="792">
        <f ca="1">ROUND(C29*F13,0)</f>
        <v>0</v>
      </c>
      <c r="D13" s="1846" t="s">
        <v>2613</v>
      </c>
      <c r="E13" s="1846" t="s">
        <v>2045</v>
      </c>
      <c r="F13" s="2589">
        <f ca="1">INDIRECT("'数据-取费表'!y"&amp;$G$1)</f>
        <v>0</v>
      </c>
      <c r="G13" s="1605"/>
      <c r="H13" s="1841">
        <v>2</v>
      </c>
      <c r="I13" s="1839" t="s">
        <v>2043</v>
      </c>
      <c r="J13" s="1831">
        <f ca="1">ROUND(J14*J15,0)</f>
        <v>0</v>
      </c>
      <c r="K13" s="1833" t="s">
        <v>2044</v>
      </c>
      <c r="L13" s="2605"/>
      <c r="M13" s="2606"/>
    </row>
    <row r="14" spans="1:33" ht="18" customHeight="1">
      <c r="A14" s="1660" t="s">
        <v>2187</v>
      </c>
      <c r="B14" s="784" t="s">
        <v>729</v>
      </c>
      <c r="C14" s="804">
        <f ca="1">INDIRECT("'数据-取费表'!m"&amp;$G$1)+INDIRECT("'数据-取费表'!t"&amp;$G$1)</f>
        <v>19159</v>
      </c>
      <c r="D14" s="1994" t="s">
        <v>2046</v>
      </c>
      <c r="E14" s="1995"/>
      <c r="F14" s="805"/>
      <c r="G14" s="1605"/>
      <c r="H14" s="1661" t="s">
        <v>2133</v>
      </c>
      <c r="I14" s="2250" t="s">
        <v>3207</v>
      </c>
      <c r="J14" s="53">
        <f ca="1">C29</f>
        <v>26718</v>
      </c>
      <c r="K14" s="26"/>
      <c r="L14" s="801"/>
      <c r="M14" s="802"/>
    </row>
    <row r="15" spans="1:33" s="2080" customFormat="1" ht="18" customHeight="1" thickBot="1">
      <c r="A15" s="1660" t="s">
        <v>2188</v>
      </c>
      <c r="B15" s="784" t="s">
        <v>731</v>
      </c>
      <c r="C15" s="53">
        <f ca="1">ROUND(C14*F15,0)</f>
        <v>575</v>
      </c>
      <c r="D15" s="806" t="s">
        <v>2047</v>
      </c>
      <c r="E15" s="806" t="s">
        <v>2048</v>
      </c>
      <c r="F15" s="807">
        <f>'数据-取费表'!B33</f>
        <v>0.03</v>
      </c>
      <c r="G15" s="1606"/>
      <c r="H15" s="2604" t="s">
        <v>2192</v>
      </c>
      <c r="I15" s="2599" t="s">
        <v>2045</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2189</v>
      </c>
      <c r="B16" s="784" t="s">
        <v>734</v>
      </c>
      <c r="C16" s="53">
        <f ca="1">ROUND(INDIRECT("'数据-取费表'!m"&amp;$G$1)*F16,0)</f>
        <v>0</v>
      </c>
      <c r="D16" s="784" t="s">
        <v>2047</v>
      </c>
      <c r="E16" s="784" t="s">
        <v>2048</v>
      </c>
      <c r="F16" s="809">
        <f ca="1">IF(INDIRECT("'数据-取费表'!c"&amp;$G$1)="住宅",'数据-取费表'!B34,0)</f>
        <v>0</v>
      </c>
      <c r="G16" s="1605"/>
      <c r="H16" s="1841" t="s">
        <v>2049</v>
      </c>
      <c r="I16" s="1839" t="s">
        <v>2050</v>
      </c>
      <c r="J16" s="792">
        <f ca="1">ROUND(J17+J22+J23+J24,0)</f>
        <v>805</v>
      </c>
      <c r="K16" s="1833" t="s">
        <v>2051</v>
      </c>
      <c r="L16" s="2539"/>
      <c r="M16" s="2544"/>
    </row>
    <row r="17" spans="1:33" s="2080" customFormat="1" ht="18" customHeight="1">
      <c r="A17" s="1660" t="s">
        <v>2190</v>
      </c>
      <c r="B17" s="784" t="s">
        <v>737</v>
      </c>
      <c r="C17" s="53">
        <f ca="1">ROUND(F17*(F43+INDIRECT("'数据-取费表'!S"&amp;$G$1))/10000,0)</f>
        <v>1533</v>
      </c>
      <c r="D17" s="784" t="s">
        <v>2052</v>
      </c>
      <c r="E17" s="784" t="s">
        <v>2053</v>
      </c>
      <c r="F17" s="56">
        <f>'数据-取费表'!B35</f>
        <v>200</v>
      </c>
      <c r="G17" s="1606"/>
      <c r="H17" s="1661" t="s">
        <v>2133</v>
      </c>
      <c r="I17" s="784" t="s">
        <v>740</v>
      </c>
      <c r="J17" s="53">
        <f ca="1">ROUND(IF(项目基本情况!B11="自然人",J5*M17,J18+J19+J20),0)</f>
        <v>271</v>
      </c>
      <c r="K17" s="2538" t="s">
        <v>2054</v>
      </c>
      <c r="L17" s="2537" t="s">
        <v>2055</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2191</v>
      </c>
      <c r="B18" s="784" t="s">
        <v>743</v>
      </c>
      <c r="C18" s="53">
        <f ca="1">ROUND(C14*F18,0)</f>
        <v>287</v>
      </c>
      <c r="D18" s="784" t="s">
        <v>2047</v>
      </c>
      <c r="E18" s="784" t="s">
        <v>2048</v>
      </c>
      <c r="F18" s="809">
        <f>'数据-取费表'!B36</f>
        <v>1.4999999999999999E-2</v>
      </c>
      <c r="G18" s="1606"/>
      <c r="H18" s="1660" t="s">
        <v>2187</v>
      </c>
      <c r="I18" s="784" t="s">
        <v>2056</v>
      </c>
      <c r="J18" s="53">
        <f ca="1">ROUND(J5*M18/1.05,1)</f>
        <v>0</v>
      </c>
      <c r="K18" s="2537" t="s">
        <v>2057</v>
      </c>
      <c r="L18" s="784" t="s">
        <v>2048</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2133</v>
      </c>
      <c r="B19" s="784" t="s">
        <v>746</v>
      </c>
      <c r="C19" s="53">
        <f ca="1">SUM(C14:C18)</f>
        <v>21554</v>
      </c>
      <c r="D19" s="263" t="s">
        <v>2058</v>
      </c>
      <c r="E19" s="1997"/>
      <c r="F19" s="56"/>
      <c r="G19" s="1605"/>
      <c r="H19" s="1660" t="s">
        <v>2188</v>
      </c>
      <c r="I19" s="784" t="s">
        <v>2059</v>
      </c>
      <c r="J19" s="53">
        <f ca="1">IF(K19="按租金收入计税",ROUND(J5*M19,1),ROUND(C29*F33*0.7,1))</f>
        <v>224.4</v>
      </c>
      <c r="K19" s="811" t="s">
        <v>749</v>
      </c>
      <c r="L19" s="784" t="s">
        <v>2048</v>
      </c>
      <c r="M19" s="809">
        <f>IF(K19="按租金收入计税",'数据-取费表'!B51,'数据-取费表'!B50)</f>
        <v>1.2E-2</v>
      </c>
    </row>
    <row r="20" spans="1:33" s="2080" customFormat="1" ht="18" customHeight="1">
      <c r="A20" s="1661" t="s">
        <v>2192</v>
      </c>
      <c r="B20" s="784" t="s">
        <v>750</v>
      </c>
      <c r="C20" s="53">
        <f ca="1">ROUND(C19*F20,0)</f>
        <v>323</v>
      </c>
      <c r="D20" s="812" t="s">
        <v>2060</v>
      </c>
      <c r="E20" s="784" t="s">
        <v>2048</v>
      </c>
      <c r="F20" s="809">
        <f>'数据-取费表'!B37</f>
        <v>1.4999999999999999E-2</v>
      </c>
      <c r="G20" s="1606"/>
      <c r="H20" s="1663" t="s">
        <v>2183</v>
      </c>
      <c r="I20" s="346" t="s">
        <v>2061</v>
      </c>
      <c r="J20" s="54">
        <f ca="1">ROUND(M20*M21/10000,0)</f>
        <v>47</v>
      </c>
      <c r="K20" s="814" t="s">
        <v>2062</v>
      </c>
      <c r="L20" s="784" t="s">
        <v>2063</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2193</v>
      </c>
      <c r="B21" s="784" t="s">
        <v>2064</v>
      </c>
      <c r="C21" s="53" t="s">
        <v>2065</v>
      </c>
      <c r="D21" s="812" t="s">
        <v>2614</v>
      </c>
      <c r="E21" s="784" t="s">
        <v>2066</v>
      </c>
      <c r="F21" s="809">
        <f>'数据-取费表'!B38</f>
        <v>1.4999999999999999E-2</v>
      </c>
      <c r="G21" s="1606"/>
      <c r="H21" s="2559"/>
      <c r="I21" s="793"/>
      <c r="J21" s="69"/>
      <c r="K21" s="816"/>
      <c r="L21" s="784" t="s">
        <v>2067</v>
      </c>
      <c r="M21" s="785">
        <f ca="1">INDIRECT("'数据-取费表'!r"&amp;$G$1)</f>
        <v>46771</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2194</v>
      </c>
      <c r="B22" s="784" t="s">
        <v>2068</v>
      </c>
      <c r="C22" s="53"/>
      <c r="D22" s="2625" t="str">
        <f>IF(F23&lt;=1,"单利计息。","复利计息。")&amp;"建造成本、管理费用、销售费用产生的利息。"</f>
        <v>复利计息。建造成本、管理费用、销售费用产生的利息。</v>
      </c>
      <c r="E22" s="1997"/>
      <c r="F22" s="56"/>
      <c r="G22" s="1605"/>
      <c r="H22" s="1661" t="s">
        <v>2192</v>
      </c>
      <c r="I22" s="784" t="s">
        <v>2069</v>
      </c>
      <c r="J22" s="53">
        <f ca="1">ROUND(J14*M22,0)</f>
        <v>534</v>
      </c>
      <c r="K22" s="2537" t="s">
        <v>2070</v>
      </c>
      <c r="L22" s="784" t="s">
        <v>2048</v>
      </c>
      <c r="M22" s="817">
        <f ca="1">INDIRECT("'数据-取费表'!Ak"&amp;$G$1)</f>
        <v>0.02</v>
      </c>
    </row>
    <row r="23" spans="1:33" s="2080" customFormat="1" ht="18" customHeight="1">
      <c r="A23" s="1660" t="s">
        <v>2134</v>
      </c>
      <c r="B23" s="784" t="s">
        <v>2893</v>
      </c>
      <c r="C23" s="53">
        <f ca="1">ROUND(IF('数据-取费表'!B22&lt;=1,(C19+C20)*F24*F23/2,(C19+C20)*(POWER((1+F24),F23/2)-1)),0)</f>
        <v>775</v>
      </c>
      <c r="D23" s="2624" t="str">
        <f>IF(F23&lt;=1,"(建造成本+管理费用)×利率×(建设周期÷2)","(建造成本+管理费用)×((1+利率)^(建设周期÷2)-1)")</f>
        <v>(建造成本+管理费用)×((1+利率)^(建设周期÷2)-1)</v>
      </c>
      <c r="E23" s="784" t="s">
        <v>2071</v>
      </c>
      <c r="F23" s="640">
        <f>'数据-取费表'!B20</f>
        <v>1.5</v>
      </c>
      <c r="G23" s="1606"/>
      <c r="H23" s="1661" t="s">
        <v>2193</v>
      </c>
      <c r="I23" s="784" t="s">
        <v>763</v>
      </c>
      <c r="J23" s="53">
        <f ca="1">ROUND(J13*M23,0)</f>
        <v>0</v>
      </c>
      <c r="K23" s="2537" t="s">
        <v>2072</v>
      </c>
      <c r="L23" s="784" t="s">
        <v>2048</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2135</v>
      </c>
      <c r="B24" s="784" t="s">
        <v>2073</v>
      </c>
      <c r="C24" s="53">
        <f ca="1">ROUND(IF('数据-取费表'!B22&lt;=1,F21*F24*F23/2,F21*(POWER((1+F24),F23/2)-1)),4)</f>
        <v>5.0000000000000001E-4</v>
      </c>
      <c r="D24" s="2624" t="str">
        <f>IF(F23&lt;=1,"销售费用×利率×(建设周期÷2)","销售费用×((1+利率)^(建设周期÷2)-1)")</f>
        <v>销售费用×((1+利率)^(建设周期÷2)-1)</v>
      </c>
      <c r="E24" s="784" t="s">
        <v>2074</v>
      </c>
      <c r="F24" s="819">
        <f ca="1">'数据-取费表'!B40</f>
        <v>4.7500000000000001E-2</v>
      </c>
      <c r="G24" s="1606"/>
      <c r="H24" s="2604" t="s">
        <v>2194</v>
      </c>
      <c r="I24" s="2599" t="s">
        <v>750</v>
      </c>
      <c r="J24" s="2597">
        <f ca="1">ROUND(J5*M24,0)</f>
        <v>0</v>
      </c>
      <c r="K24" s="2598" t="s">
        <v>2075</v>
      </c>
      <c r="L24" s="2599" t="s">
        <v>2048</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2143</v>
      </c>
      <c r="B25" s="784" t="s">
        <v>768</v>
      </c>
      <c r="C25" s="53"/>
      <c r="D25" s="263" t="s">
        <v>2076</v>
      </c>
      <c r="E25" s="1997"/>
      <c r="F25" s="56"/>
      <c r="G25" s="1605"/>
      <c r="H25" s="1841" t="s">
        <v>2077</v>
      </c>
      <c r="I25" s="3013" t="s">
        <v>3203</v>
      </c>
      <c r="J25" s="792">
        <f ca="1">J5-J16</f>
        <v>-805</v>
      </c>
      <c r="K25" s="2601" t="s">
        <v>2078</v>
      </c>
      <c r="L25" s="2602"/>
      <c r="M25" s="2603"/>
    </row>
    <row r="26" spans="1:33" ht="18" customHeight="1">
      <c r="A26" s="1660" t="s">
        <v>2134</v>
      </c>
      <c r="B26" s="784" t="s">
        <v>2794</v>
      </c>
      <c r="C26" s="53">
        <f ca="1">ROUND((C19+C20)*F26,0)</f>
        <v>2188</v>
      </c>
      <c r="D26" s="812" t="s">
        <v>2079</v>
      </c>
      <c r="E26" s="795" t="s">
        <v>2080</v>
      </c>
      <c r="F26" s="794">
        <f ca="1">INDIRECT("'数据-取费表'!q"&amp;$G$1)</f>
        <v>0.1</v>
      </c>
      <c r="G26" s="1605"/>
      <c r="H26" s="2555" t="s">
        <v>2081</v>
      </c>
      <c r="I26" s="2251" t="s">
        <v>3208</v>
      </c>
      <c r="J26" s="783">
        <f ca="1">IF(J5&lt;&gt;0,ROUND(J25*(1-((1+M28)/(1+M26))^M27)/(M26-M28),0),0)</f>
        <v>0</v>
      </c>
      <c r="K26" s="814" t="s">
        <v>2082</v>
      </c>
      <c r="L26" s="784" t="s">
        <v>2766</v>
      </c>
      <c r="M26" s="794">
        <f ca="1">INDIRECT("'数据-取费表'!I"&amp;$G$1)</f>
        <v>5.5E-2</v>
      </c>
    </row>
    <row r="27" spans="1:33" ht="18" customHeight="1">
      <c r="A27" s="1660" t="s">
        <v>2135</v>
      </c>
      <c r="B27" s="784" t="s">
        <v>770</v>
      </c>
      <c r="C27" s="53">
        <f ca="1">ROUND(F21*F26,4)</f>
        <v>1.5E-3</v>
      </c>
      <c r="D27" s="812" t="s">
        <v>2083</v>
      </c>
      <c r="E27" s="806"/>
      <c r="F27" s="807"/>
      <c r="G27" s="1605"/>
      <c r="H27" s="2556"/>
      <c r="I27" s="787"/>
      <c r="J27" s="788"/>
      <c r="K27" s="821" t="s">
        <v>2084</v>
      </c>
      <c r="L27" s="784" t="s">
        <v>2085</v>
      </c>
      <c r="M27" s="822">
        <f ca="1">INDIRECT("'数据-取费表'!ag"&amp;$G$1)</f>
        <v>0</v>
      </c>
    </row>
    <row r="28" spans="1:33" s="2080" customFormat="1" ht="18" customHeight="1">
      <c r="A28" s="1662" t="s">
        <v>2144</v>
      </c>
      <c r="B28" s="784" t="s">
        <v>771</v>
      </c>
      <c r="C28" s="53">
        <f>ROUND(F28/(1+'数据-取费表'!B42),4)</f>
        <v>5.33E-2</v>
      </c>
      <c r="D28" s="812" t="s">
        <v>2615</v>
      </c>
      <c r="E28" s="784" t="s">
        <v>2086</v>
      </c>
      <c r="F28" s="809">
        <f>'数据-取费表'!B41</f>
        <v>5.6000000000000001E-2</v>
      </c>
      <c r="G28" s="1606"/>
      <c r="H28" s="1841"/>
      <c r="I28" s="791"/>
      <c r="J28" s="792"/>
      <c r="K28" s="816"/>
      <c r="L28" s="784" t="s">
        <v>2087</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2195</v>
      </c>
      <c r="B29" s="2594" t="s">
        <v>2616</v>
      </c>
      <c r="C29" s="2597">
        <f ca="1">ROUND((C19+C20+C23+C26)/(1-F21-C24-C27-C28),0)</f>
        <v>26718</v>
      </c>
      <c r="D29" s="2598"/>
      <c r="E29" s="2599"/>
      <c r="F29" s="2600"/>
      <c r="G29" s="1606"/>
      <c r="H29" s="823" t="s">
        <v>2088</v>
      </c>
      <c r="I29" s="824" t="s">
        <v>2089</v>
      </c>
      <c r="J29" s="825">
        <f ca="1">ROUND(J26/(1+F40)^F41,0)</f>
        <v>0</v>
      </c>
      <c r="K29" s="826" t="s">
        <v>2090</v>
      </c>
      <c r="L29" s="827"/>
      <c r="M29" s="828">
        <f ca="1">INDIRECT("'数据-取费表'!k"&amp;$G$1)</f>
        <v>76634</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2196</v>
      </c>
      <c r="B30" s="1839" t="s">
        <v>2091</v>
      </c>
      <c r="C30" s="792">
        <f ca="1">ROUND(C31+C36+C37+C38,0)</f>
        <v>1268</v>
      </c>
      <c r="D30" s="1833" t="s">
        <v>2092</v>
      </c>
      <c r="E30" s="2539"/>
      <c r="F30" s="2544"/>
      <c r="G30" s="2078"/>
      <c r="H30" s="2081"/>
      <c r="I30" s="2082"/>
      <c r="J30" s="2083"/>
      <c r="K30" s="2084"/>
      <c r="L30" s="2085"/>
      <c r="M30" s="2086"/>
    </row>
    <row r="31" spans="1:33" ht="18" customHeight="1">
      <c r="A31" s="1661" t="s">
        <v>2133</v>
      </c>
      <c r="B31" s="784" t="s">
        <v>740</v>
      </c>
      <c r="C31" s="53">
        <f ca="1">ROUND(IF(项目基本情况!B11="自然人",C5*F31,C32+C33+C34),1)</f>
        <v>607.4</v>
      </c>
      <c r="D31" s="1994" t="s">
        <v>2093</v>
      </c>
      <c r="E31" s="1992" t="s">
        <v>2094</v>
      </c>
      <c r="F31" s="810" t="str">
        <f ca="1">IF(项目基本情况!B11="企业","",IF(INDIRECT("'数据-取费表'!c"&amp;$G$1)="住宅",4.5%,IF(F6*F7*F8/12&gt;20000,11%,6%)))</f>
        <v/>
      </c>
      <c r="G31" s="2078"/>
      <c r="H31" s="2081"/>
      <c r="I31" s="2082"/>
      <c r="J31" s="2083"/>
      <c r="K31" s="2084"/>
      <c r="L31" s="2085"/>
      <c r="M31" s="2086"/>
    </row>
    <row r="32" spans="1:33" ht="18" customHeight="1">
      <c r="A32" s="1660" t="s">
        <v>2134</v>
      </c>
      <c r="B32" s="784" t="s">
        <v>2095</v>
      </c>
      <c r="C32" s="53">
        <f ca="1">ROUND(C5*F32/1.05,1)</f>
        <v>336.2</v>
      </c>
      <c r="D32" s="1992" t="s">
        <v>2096</v>
      </c>
      <c r="E32" s="784" t="s">
        <v>2097</v>
      </c>
      <c r="F32" s="809">
        <f>'数据-取费表'!B41</f>
        <v>5.6000000000000001E-2</v>
      </c>
      <c r="G32" s="2078"/>
      <c r="H32" s="2087"/>
      <c r="I32" s="2088"/>
      <c r="J32" s="2089"/>
      <c r="K32" s="2090"/>
      <c r="L32" s="2091"/>
      <c r="M32" s="2092"/>
    </row>
    <row r="33" spans="1:18" ht="18" customHeight="1">
      <c r="A33" s="1660" t="s">
        <v>2135</v>
      </c>
      <c r="B33" s="784" t="s">
        <v>2098</v>
      </c>
      <c r="C33" s="53">
        <f ca="1">IF(D33="按租金收入计税",ROUND(C5*F33,1),IF(D33="按房产原值计税",ROUND(C29*F33*0.7,1),INDIRECT("'数据-取费表'!Aj"&amp;$G$1)))</f>
        <v>224.4</v>
      </c>
      <c r="D33" s="811" t="s">
        <v>1978</v>
      </c>
      <c r="E33" s="784" t="s">
        <v>2097</v>
      </c>
      <c r="F33" s="809">
        <f>IF(D33="按租金收入计税",'数据-取费表'!B51,'数据-取费表'!B50)</f>
        <v>1.2E-2</v>
      </c>
      <c r="G33" s="2078"/>
      <c r="H33" s="2093"/>
      <c r="I33" s="2093"/>
      <c r="J33" s="2093"/>
      <c r="K33" s="2094"/>
      <c r="L33" s="2093"/>
      <c r="M33" s="2093"/>
    </row>
    <row r="34" spans="1:18" ht="18" customHeight="1">
      <c r="A34" s="1663" t="s">
        <v>2136</v>
      </c>
      <c r="B34" s="346" t="s">
        <v>2099</v>
      </c>
      <c r="C34" s="54">
        <f ca="1">ROUND(F34*F35/10000,1)</f>
        <v>46.8</v>
      </c>
      <c r="D34" s="814" t="s">
        <v>2100</v>
      </c>
      <c r="E34" s="784" t="s">
        <v>2101</v>
      </c>
      <c r="F34" s="640">
        <f>'数据-取费表'!B52</f>
        <v>10</v>
      </c>
      <c r="G34" s="2078"/>
      <c r="H34" s="2081"/>
      <c r="I34" s="835" t="s">
        <v>2115</v>
      </c>
      <c r="J34" s="836"/>
      <c r="K34" s="2096"/>
      <c r="L34" s="2095"/>
      <c r="M34" s="2095"/>
    </row>
    <row r="35" spans="1:18" ht="18" customHeight="1">
      <c r="A35" s="815"/>
      <c r="B35" s="793"/>
      <c r="C35" s="69"/>
      <c r="D35" s="816"/>
      <c r="E35" s="784" t="s">
        <v>2102</v>
      </c>
      <c r="F35" s="785">
        <f ca="1">INDIRECT("'数据-取费表'!r"&amp;$G$1)</f>
        <v>46771</v>
      </c>
      <c r="G35" s="2078"/>
      <c r="H35" s="2081"/>
      <c r="I35" s="837" t="s">
        <v>2116</v>
      </c>
      <c r="J35" s="838">
        <f ca="1">ROUND(C13*J36,0)</f>
        <v>0</v>
      </c>
      <c r="K35" s="2094"/>
      <c r="L35" s="2093"/>
      <c r="M35" s="2093"/>
    </row>
    <row r="36" spans="1:18" ht="18" customHeight="1">
      <c r="A36" s="1661" t="s">
        <v>2192</v>
      </c>
      <c r="B36" s="784" t="s">
        <v>2103</v>
      </c>
      <c r="C36" s="53">
        <f ca="1">ROUND(C29*F36,1)</f>
        <v>534.4</v>
      </c>
      <c r="D36" s="1992" t="s">
        <v>2104</v>
      </c>
      <c r="E36" s="784" t="s">
        <v>2097</v>
      </c>
      <c r="F36" s="817">
        <f ca="1">INDIRECT("'数据-取费表'!Ak"&amp;$G$1)</f>
        <v>0.02</v>
      </c>
      <c r="G36" s="2078"/>
      <c r="H36" s="2093"/>
      <c r="I36" s="839" t="s">
        <v>2117</v>
      </c>
      <c r="J36" s="840">
        <f ca="1">INDIRECT("'数据-取费表'!j"&amp;$G$1)</f>
        <v>8.5000000000000006E-2</v>
      </c>
      <c r="K36" s="2098"/>
      <c r="L36" s="2093"/>
      <c r="M36" s="2093"/>
    </row>
    <row r="37" spans="1:18" ht="18" customHeight="1">
      <c r="A37" s="1661" t="s">
        <v>2193</v>
      </c>
      <c r="B37" s="784" t="s">
        <v>763</v>
      </c>
      <c r="C37" s="53">
        <f ca="1">ROUND(C13*F37,1)</f>
        <v>0</v>
      </c>
      <c r="D37" s="1992" t="s">
        <v>2105</v>
      </c>
      <c r="E37" s="784" t="s">
        <v>2097</v>
      </c>
      <c r="F37" s="818">
        <f ca="1">INDIRECT("'数据-取费表'!Al"&amp;$G$1)</f>
        <v>3.0000000000000001E-3</v>
      </c>
      <c r="G37" s="2078"/>
      <c r="H37" s="2093"/>
      <c r="I37" s="841" t="s">
        <v>2118</v>
      </c>
      <c r="J37" s="842"/>
      <c r="K37" s="2098"/>
      <c r="L37" s="2093"/>
      <c r="M37" s="2093"/>
    </row>
    <row r="38" spans="1:18" ht="18" customHeight="1" thickBot="1">
      <c r="A38" s="2604" t="s">
        <v>2194</v>
      </c>
      <c r="B38" s="2599" t="s">
        <v>750</v>
      </c>
      <c r="C38" s="2597">
        <f ca="1">ROUND(C5*F38,1)</f>
        <v>126.1</v>
      </c>
      <c r="D38" s="2598" t="s">
        <v>2106</v>
      </c>
      <c r="E38" s="2599" t="s">
        <v>2097</v>
      </c>
      <c r="F38" s="2595">
        <f ca="1">INDIRECT("'数据-取费表'!Am"&amp;$G$1)</f>
        <v>0.02</v>
      </c>
      <c r="G38" s="2078"/>
      <c r="H38" s="2093"/>
      <c r="I38" s="843" t="s">
        <v>2119</v>
      </c>
      <c r="J38" s="844"/>
      <c r="K38" s="2099"/>
      <c r="L38" s="2093"/>
      <c r="M38" s="2093"/>
    </row>
    <row r="39" spans="1:18" ht="24.6" customHeight="1" thickTop="1">
      <c r="A39" s="1841" t="s">
        <v>2197</v>
      </c>
      <c r="B39" s="3013" t="s">
        <v>3203</v>
      </c>
      <c r="C39" s="792">
        <f ca="1">C5-C30</f>
        <v>5035</v>
      </c>
      <c r="D39" s="2601" t="s">
        <v>2107</v>
      </c>
      <c r="E39" s="2602"/>
      <c r="F39" s="2603"/>
      <c r="G39" s="2078"/>
      <c r="H39" s="2093"/>
      <c r="I39" s="837" t="s">
        <v>2120</v>
      </c>
      <c r="J39" s="845">
        <f ca="1">ROUND(J35/C39,3)</f>
        <v>0</v>
      </c>
      <c r="K39" s="2099"/>
      <c r="L39" s="2093"/>
      <c r="M39" s="2093"/>
    </row>
    <row r="40" spans="1:18" ht="18" customHeight="1">
      <c r="A40" s="781" t="s">
        <v>2198</v>
      </c>
      <c r="B40" s="2251" t="s">
        <v>2617</v>
      </c>
      <c r="C40" s="783">
        <f ca="1">ROUND(C39*(1-((1+F42)/(1+F40))^F41)/(F40-F42),0)</f>
        <v>86954</v>
      </c>
      <c r="D40" s="814" t="s">
        <v>2108</v>
      </c>
      <c r="E40" s="784" t="s">
        <v>2766</v>
      </c>
      <c r="F40" s="794">
        <f ca="1">INDIRECT("'数据-取费表'!I"&amp;$G$1)</f>
        <v>5.5E-2</v>
      </c>
      <c r="G40" s="2078"/>
      <c r="H40" s="2078"/>
      <c r="I40" s="837" t="s">
        <v>2121</v>
      </c>
      <c r="J40" s="845">
        <f ca="1">1-J39</f>
        <v>1</v>
      </c>
      <c r="K40" s="2099"/>
      <c r="L40" s="2078"/>
      <c r="M40" s="2078"/>
    </row>
    <row r="41" spans="1:18" ht="18" customHeight="1">
      <c r="A41" s="786"/>
      <c r="B41" s="787"/>
      <c r="C41" s="788"/>
      <c r="D41" s="821" t="s">
        <v>2109</v>
      </c>
      <c r="E41" s="784" t="s">
        <v>2110</v>
      </c>
      <c r="F41" s="822">
        <f ca="1">IF(INDIRECT("'数据-取费表'!af"&amp;$G$1)=0,INDIRECT("'数据-取费表'!ae"&amp;$G$1),INDIRECT("'数据-取费表'!af"&amp;$G$1))</f>
        <v>27.49</v>
      </c>
      <c r="G41" s="2078"/>
      <c r="H41" s="2003"/>
      <c r="I41" s="843" t="s">
        <v>2122</v>
      </c>
      <c r="J41" s="846"/>
      <c r="K41" s="2098"/>
      <c r="L41" s="2003"/>
      <c r="M41" s="2003"/>
    </row>
    <row r="42" spans="1:18" ht="18" customHeight="1">
      <c r="A42" s="790"/>
      <c r="B42" s="791"/>
      <c r="C42" s="792"/>
      <c r="D42" s="816"/>
      <c r="E42" s="784" t="s">
        <v>2111</v>
      </c>
      <c r="F42" s="794">
        <f ca="1">INDIRECT("'数据-取费表'!v"&amp;$G$1)</f>
        <v>0.02</v>
      </c>
      <c r="G42" s="2078"/>
      <c r="H42" s="2003"/>
      <c r="I42" s="847" t="s">
        <v>2123</v>
      </c>
      <c r="J42" s="845">
        <f ca="1">ROUND(C13/C40,3)</f>
        <v>0</v>
      </c>
      <c r="K42" s="2098"/>
      <c r="L42" s="2003"/>
      <c r="M42" s="2003"/>
    </row>
    <row r="43" spans="1:18" ht="18" customHeight="1" thickBot="1">
      <c r="A43" s="823" t="s">
        <v>2088</v>
      </c>
      <c r="B43" s="824" t="s">
        <v>2112</v>
      </c>
      <c r="C43" s="825">
        <f ca="1">ROUND(C40*10000/F43,0)</f>
        <v>11347</v>
      </c>
      <c r="D43" s="826" t="s">
        <v>2113</v>
      </c>
      <c r="E43" s="827" t="s">
        <v>2114</v>
      </c>
      <c r="F43" s="828">
        <f ca="1">INDIRECT("'数据-取费表'!k"&amp;$G$1)</f>
        <v>76634</v>
      </c>
      <c r="G43" s="2078"/>
      <c r="H43" s="2003"/>
      <c r="I43" s="847" t="s">
        <v>2124</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2611</v>
      </c>
      <c r="B46" s="2101"/>
      <c r="C46" s="2627">
        <f ca="1">C67-C40</f>
        <v>-98245</v>
      </c>
      <c r="D46" s="2101"/>
      <c r="E46" s="2101"/>
      <c r="F46" s="2101"/>
      <c r="I46" s="2403" t="s">
        <v>2685</v>
      </c>
      <c r="J46" s="2404"/>
      <c r="K46" s="2405"/>
      <c r="L46" s="2406">
        <f ca="1">IF(M47="住宅",0,IF(L48&gt;J51,L60,J60))</f>
        <v>1438</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2612</v>
      </c>
      <c r="F48" s="2402"/>
      <c r="G48" s="2106"/>
      <c r="I48" s="2408" t="s">
        <v>2687</v>
      </c>
      <c r="J48" s="2415" t="s">
        <v>2693</v>
      </c>
      <c r="K48" s="2416" t="s">
        <v>2694</v>
      </c>
      <c r="L48" s="2417">
        <f ca="1">INDIRECT("'数据-取费表'!f"&amp;$G$1)</f>
        <v>27.49</v>
      </c>
      <c r="O48" s="2451" t="s">
        <v>2725</v>
      </c>
      <c r="P48" s="2452" t="s">
        <v>2751</v>
      </c>
      <c r="Q48" s="2453">
        <f ca="1">C40+J29</f>
        <v>86954</v>
      </c>
      <c r="R48" s="2452" t="s">
        <v>2726</v>
      </c>
    </row>
    <row r="49" spans="1:18" s="2075" customFormat="1" ht="18" customHeight="1" thickBot="1">
      <c r="A49" s="786"/>
      <c r="B49" s="787"/>
      <c r="C49" s="788"/>
      <c r="D49" s="789"/>
      <c r="E49" s="784" t="s">
        <v>2040</v>
      </c>
      <c r="F49" s="785">
        <f ca="1">F7</f>
        <v>76634</v>
      </c>
      <c r="G49" s="2106"/>
      <c r="H49" s="2109"/>
      <c r="I49" s="2408" t="s">
        <v>2688</v>
      </c>
      <c r="J49" s="2418">
        <v>2019</v>
      </c>
      <c r="K49" s="2419" t="s">
        <v>2695</v>
      </c>
      <c r="L49" s="2420">
        <v>45000</v>
      </c>
      <c r="O49" s="2451" t="s">
        <v>2727</v>
      </c>
      <c r="P49" s="2452" t="s">
        <v>2752</v>
      </c>
      <c r="Q49" s="2453">
        <f ca="1">J60</f>
        <v>1438</v>
      </c>
      <c r="R49" s="2452" t="s">
        <v>2728</v>
      </c>
    </row>
    <row r="50" spans="1:18" s="2075" customFormat="1" ht="18" customHeight="1" thickBot="1">
      <c r="A50" s="786"/>
      <c r="B50" s="787"/>
      <c r="C50" s="788"/>
      <c r="D50" s="789"/>
      <c r="E50" s="784" t="s">
        <v>2041</v>
      </c>
      <c r="F50" s="785">
        <f ca="1">F8</f>
        <v>365</v>
      </c>
      <c r="G50" s="2114"/>
      <c r="H50" s="2109"/>
      <c r="I50" s="2408" t="s">
        <v>2689</v>
      </c>
      <c r="J50" s="2421">
        <f>SUMPRODUCT((I63:I65=J47)*(J62:L62=J48)*(J63:L65))</f>
        <v>60</v>
      </c>
      <c r="K50" s="2419" t="s">
        <v>2696</v>
      </c>
      <c r="L50" s="2420">
        <v>55000</v>
      </c>
      <c r="O50" s="2454" t="s">
        <v>2729</v>
      </c>
      <c r="P50" s="2452" t="s">
        <v>2753</v>
      </c>
      <c r="Q50" s="2453">
        <f ca="1">C29</f>
        <v>26718</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78525</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60"/>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88392</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2618</v>
      </c>
      <c r="C56" s="53">
        <f ca="1">C29</f>
        <v>26718</v>
      </c>
      <c r="D56" s="2694"/>
      <c r="E56" s="784"/>
      <c r="F56" s="809"/>
      <c r="I56" s="2430" t="s">
        <v>2701</v>
      </c>
      <c r="J56" s="2439" t="s">
        <v>1970</v>
      </c>
      <c r="K56" s="2408" t="s">
        <v>2706</v>
      </c>
      <c r="L56" s="2417" t="str">
        <f ca="1">IF(L48&lt;J51,"——",L48-J51)</f>
        <v>——</v>
      </c>
      <c r="O56" s="2448" t="s">
        <v>2721</v>
      </c>
      <c r="P56" s="2449" t="s">
        <v>2722</v>
      </c>
      <c r="Q56" s="2450" t="s">
        <v>2723</v>
      </c>
      <c r="R56" s="2449" t="s">
        <v>2724</v>
      </c>
    </row>
    <row r="57" spans="1:18" s="2075" customFormat="1" ht="28.5" customHeight="1" thickBot="1">
      <c r="A57" s="797" t="s">
        <v>2049</v>
      </c>
      <c r="B57" s="798" t="s">
        <v>735</v>
      </c>
      <c r="C57" s="799">
        <f ca="1">ROUND(C58+C63+C64+C65,0)</f>
        <v>806</v>
      </c>
      <c r="D57" s="26" t="s">
        <v>2051</v>
      </c>
      <c r="E57" s="2695"/>
      <c r="F57" s="56"/>
      <c r="I57" s="2431" t="s">
        <v>2702</v>
      </c>
      <c r="J57" s="2433">
        <f ca="1">IF(OR(M47="住宅",J51&lt;L48,J56="是"),"——",J51-L48)</f>
        <v>34.510000000000005</v>
      </c>
      <c r="K57" s="2408" t="s">
        <v>2707</v>
      </c>
      <c r="L57" s="2417" t="str">
        <f ca="1">IF(L48&lt;J51,"——",IF(L55="比较法",L49,IF(L55="基准地价",L50,L51)))</f>
        <v>——</v>
      </c>
      <c r="O57" s="2451" t="s">
        <v>2725</v>
      </c>
      <c r="P57" s="2452" t="s">
        <v>2755</v>
      </c>
      <c r="Q57" s="2453">
        <f ca="1">C40+J29</f>
        <v>86954</v>
      </c>
      <c r="R57" s="2452" t="s">
        <v>2726</v>
      </c>
    </row>
    <row r="58" spans="1:18" s="2075" customFormat="1" ht="28.5" customHeight="1" thickBot="1">
      <c r="A58" s="1661" t="s">
        <v>2127</v>
      </c>
      <c r="B58" s="784" t="s">
        <v>740</v>
      </c>
      <c r="C58" s="53">
        <f ca="1">ROUND(IF(项目基本情况!B11="自然人",C47*F58,C59+C60+C61),1)</f>
        <v>271.2</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2134</v>
      </c>
      <c r="B59" s="784" t="s">
        <v>744</v>
      </c>
      <c r="C59" s="53">
        <f ca="1">ROUND(C47*F59/1.05,1)</f>
        <v>0</v>
      </c>
      <c r="D59" s="2694" t="s">
        <v>2057</v>
      </c>
      <c r="E59" s="784" t="s">
        <v>2048</v>
      </c>
      <c r="F59" s="809">
        <f t="shared" ref="F59:F65" si="0">F32</f>
        <v>5.6000000000000001E-2</v>
      </c>
      <c r="I59" s="2431" t="s">
        <v>2704</v>
      </c>
      <c r="J59" s="2433">
        <f ca="1">IF(OR(M47="住宅",J51&lt;L48,J56="是"),"——",ROUND(C29*J58,0))</f>
        <v>15363</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2135</v>
      </c>
      <c r="B60" s="784" t="s">
        <v>2059</v>
      </c>
      <c r="C60" s="53">
        <f ca="1">IF(D60="按租金收入计税",ROUND(C47*F60,1),IF(D60="按房产原值计税",ROUND(C56*F60*0.7,1),INDIRECT("'数据-取费表'!Aj"&amp;$G$1)))</f>
        <v>224.4</v>
      </c>
      <c r="D60" s="2694" t="str">
        <f>D33</f>
        <v>按房产原值计税</v>
      </c>
      <c r="E60" s="784" t="s">
        <v>2048</v>
      </c>
      <c r="F60" s="809">
        <f t="shared" si="0"/>
        <v>1.2E-2</v>
      </c>
      <c r="I60" s="2432" t="s">
        <v>2705</v>
      </c>
      <c r="J60" s="2435">
        <f ca="1">IF(OR(M47="住宅",J51&lt;L48,J56="是"),"0",ROUND(J59/(1+J52)^J53,0))</f>
        <v>1438</v>
      </c>
      <c r="K60" s="2436" t="s">
        <v>2710</v>
      </c>
      <c r="L60" s="2435">
        <f ca="1">IF(OR(M47="住宅",L48&lt;J51),0,ROUND(L57*(L58/L59-1),0))</f>
        <v>0</v>
      </c>
      <c r="O60" s="2454" t="s">
        <v>2730</v>
      </c>
      <c r="P60" s="2452" t="s">
        <v>2739</v>
      </c>
      <c r="Q60" s="2455">
        <f>L52</f>
        <v>0.04</v>
      </c>
      <c r="R60" s="2456"/>
    </row>
    <row r="61" spans="1:18" s="2075" customFormat="1" ht="18" customHeight="1" thickBot="1">
      <c r="A61" s="1663" t="s">
        <v>2136</v>
      </c>
      <c r="B61" s="346" t="s">
        <v>752</v>
      </c>
      <c r="C61" s="54">
        <f ca="1">ROUND(F61*F62/10000,1)</f>
        <v>46.8</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46771</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2192</v>
      </c>
      <c r="B63" s="784" t="s">
        <v>760</v>
      </c>
      <c r="C63" s="53">
        <f ca="1">ROUND(C56*F63,1)</f>
        <v>534.4</v>
      </c>
      <c r="D63" s="2694" t="s">
        <v>2104</v>
      </c>
      <c r="E63" s="784" t="s">
        <v>2048</v>
      </c>
      <c r="F63" s="817">
        <f t="shared" ca="1" si="0"/>
        <v>0.02</v>
      </c>
      <c r="I63" s="2437" t="s">
        <v>2714</v>
      </c>
      <c r="J63" s="2438">
        <v>70</v>
      </c>
      <c r="K63" s="2438">
        <v>50</v>
      </c>
      <c r="L63" s="2438">
        <v>80</v>
      </c>
      <c r="O63" s="2451" t="s">
        <v>2737</v>
      </c>
      <c r="P63" s="2452" t="s">
        <v>2754</v>
      </c>
      <c r="Q63" s="2453">
        <f ca="1">Q57+Q58</f>
        <v>86954</v>
      </c>
      <c r="R63" s="2456" t="s">
        <v>2738</v>
      </c>
    </row>
    <row r="64" spans="1:18" s="2075" customFormat="1" ht="16.5" thickBot="1">
      <c r="A64" s="1661" t="s">
        <v>2193</v>
      </c>
      <c r="B64" s="784" t="s">
        <v>763</v>
      </c>
      <c r="C64" s="53">
        <f ca="1">ROUND(C55*F64,1)</f>
        <v>0</v>
      </c>
      <c r="D64" s="2694" t="s">
        <v>764</v>
      </c>
      <c r="E64" s="784" t="s">
        <v>2048</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2194</v>
      </c>
      <c r="B65" s="784" t="s">
        <v>750</v>
      </c>
      <c r="C65" s="53">
        <f ca="1">ROUND(C47*F65,1)</f>
        <v>0</v>
      </c>
      <c r="D65" s="2694" t="s">
        <v>767</v>
      </c>
      <c r="E65" s="784" t="s">
        <v>2048</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2077</v>
      </c>
      <c r="B66" s="3014" t="s">
        <v>3203</v>
      </c>
      <c r="C66" s="799">
        <f ca="1">C47-C57</f>
        <v>-806</v>
      </c>
      <c r="D66" s="2693" t="s">
        <v>785</v>
      </c>
      <c r="E66" s="2692"/>
      <c r="F66" s="820"/>
      <c r="K66" s="2102"/>
      <c r="O66" s="2451" t="s">
        <v>2725</v>
      </c>
      <c r="P66" s="2452" t="s">
        <v>2755</v>
      </c>
      <c r="Q66" s="2453">
        <f ca="1">C40+J29</f>
        <v>86954</v>
      </c>
      <c r="R66" s="2452" t="s">
        <v>2726</v>
      </c>
    </row>
    <row r="67" spans="1:18" s="2075" customFormat="1" ht="20.25" thickBot="1">
      <c r="A67" s="781" t="s">
        <v>2081</v>
      </c>
      <c r="B67" s="2251" t="s">
        <v>2617</v>
      </c>
      <c r="C67" s="783">
        <f ca="1">ROUND(C66*(1-((1+F69)/(1+F67))^F68)/(F67-F69),0)</f>
        <v>-11291</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2109</v>
      </c>
      <c r="E68" s="784" t="s">
        <v>2085</v>
      </c>
      <c r="F68" s="822">
        <f ca="1">F41</f>
        <v>27.49</v>
      </c>
      <c r="O68" s="2454" t="s">
        <v>2729</v>
      </c>
      <c r="P68" s="2452" t="s">
        <v>2759</v>
      </c>
      <c r="Q68" s="2458">
        <f ca="1">L51</f>
        <v>78525</v>
      </c>
      <c r="R68" s="2459" t="s">
        <v>2762</v>
      </c>
    </row>
    <row r="69" spans="1:18" ht="20.25" thickBot="1">
      <c r="A69" s="790"/>
      <c r="B69" s="791"/>
      <c r="C69" s="792"/>
      <c r="D69" s="816"/>
      <c r="E69" s="784" t="s">
        <v>795</v>
      </c>
      <c r="F69" s="2396"/>
      <c r="O69" s="2454" t="s">
        <v>2730</v>
      </c>
      <c r="P69" s="2460" t="s">
        <v>2744</v>
      </c>
      <c r="Q69" s="2453">
        <f ca="1">ROUND(Q70-Q71*Q72,0)</f>
        <v>5035</v>
      </c>
      <c r="R69" s="2456"/>
    </row>
    <row r="70" spans="1:18" ht="15.75" thickBot="1">
      <c r="A70" s="823" t="s">
        <v>2088</v>
      </c>
      <c r="B70" s="824" t="s">
        <v>2112</v>
      </c>
      <c r="C70" s="825">
        <f ca="1">ROUND(C67*10000/F70,0)</f>
        <v>-1473</v>
      </c>
      <c r="D70" s="826" t="s">
        <v>2113</v>
      </c>
      <c r="E70" s="827" t="s">
        <v>2114</v>
      </c>
      <c r="F70" s="828">
        <f ca="1">F43</f>
        <v>76634</v>
      </c>
      <c r="O70" s="2454" t="s">
        <v>2745</v>
      </c>
      <c r="P70" s="2460" t="s">
        <v>2746</v>
      </c>
      <c r="Q70" s="2453">
        <f ca="1">C39</f>
        <v>5035</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86954</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2829</v>
      </c>
      <c r="B1" s="3478"/>
      <c r="C1" s="3479"/>
      <c r="D1" s="3480">
        <f>SUM(I10,I15,I20,I21,I23)</f>
        <v>0</v>
      </c>
      <c r="E1" s="3480"/>
      <c r="F1" s="3480"/>
      <c r="G1" s="3480"/>
      <c r="H1" s="3480"/>
      <c r="I1" s="3481"/>
    </row>
    <row r="2" spans="1:9">
      <c r="A2" s="3467" t="s">
        <v>2830</v>
      </c>
      <c r="B2" s="3468" t="s">
        <v>2831</v>
      </c>
      <c r="C2" s="3468"/>
      <c r="D2" s="2560" t="s">
        <v>2832</v>
      </c>
      <c r="E2" s="2560" t="s">
        <v>2833</v>
      </c>
      <c r="F2" s="2560" t="s">
        <v>2834</v>
      </c>
      <c r="G2" s="2560" t="s">
        <v>2835</v>
      </c>
      <c r="H2" s="2560" t="s">
        <v>2836</v>
      </c>
      <c r="I2" s="2561" t="s">
        <v>2837</v>
      </c>
    </row>
    <row r="3" spans="1:9">
      <c r="A3" s="3467"/>
      <c r="B3" s="3468" t="s">
        <v>2838</v>
      </c>
      <c r="C3" s="3468"/>
      <c r="D3" s="2562"/>
      <c r="E3" s="2560"/>
      <c r="F3" s="2563"/>
      <c r="G3" s="2563"/>
      <c r="H3" s="2564"/>
      <c r="I3" s="2565">
        <f>ROUND(D3*E3*F3*G3*H3/10000,0)</f>
        <v>0</v>
      </c>
    </row>
    <row r="4" spans="1:9">
      <c r="A4" s="3467"/>
      <c r="B4" s="3468" t="s">
        <v>2839</v>
      </c>
      <c r="C4" s="3468"/>
      <c r="D4" s="2562"/>
      <c r="E4" s="2560"/>
      <c r="F4" s="2563"/>
      <c r="G4" s="2563"/>
      <c r="H4" s="2564"/>
      <c r="I4" s="2565">
        <f t="shared" ref="I4:I9" si="0">ROUND(D4*E4*F4*G4*H4/10000,0)</f>
        <v>0</v>
      </c>
    </row>
    <row r="5" spans="1:9">
      <c r="A5" s="3467"/>
      <c r="B5" s="3468" t="s">
        <v>2840</v>
      </c>
      <c r="C5" s="3468"/>
      <c r="D5" s="2562"/>
      <c r="E5" s="2560"/>
      <c r="F5" s="2563"/>
      <c r="G5" s="2563"/>
      <c r="H5" s="2564"/>
      <c r="I5" s="2565">
        <f t="shared" si="0"/>
        <v>0</v>
      </c>
    </row>
    <row r="6" spans="1:9">
      <c r="A6" s="3467"/>
      <c r="B6" s="3468" t="s">
        <v>2841</v>
      </c>
      <c r="C6" s="3468"/>
      <c r="D6" s="2562"/>
      <c r="E6" s="2560"/>
      <c r="F6" s="2563"/>
      <c r="G6" s="2563"/>
      <c r="H6" s="2564"/>
      <c r="I6" s="2565">
        <f t="shared" si="0"/>
        <v>0</v>
      </c>
    </row>
    <row r="7" spans="1:9">
      <c r="A7" s="3467"/>
      <c r="B7" s="3468" t="s">
        <v>2842</v>
      </c>
      <c r="C7" s="3468"/>
      <c r="D7" s="2562"/>
      <c r="E7" s="2560"/>
      <c r="F7" s="2563"/>
      <c r="G7" s="2563"/>
      <c r="H7" s="2564"/>
      <c r="I7" s="2565">
        <f t="shared" si="0"/>
        <v>0</v>
      </c>
    </row>
    <row r="8" spans="1:9">
      <c r="A8" s="3467"/>
      <c r="B8" s="3468" t="s">
        <v>2843</v>
      </c>
      <c r="C8" s="3468"/>
      <c r="D8" s="2562"/>
      <c r="E8" s="2560"/>
      <c r="F8" s="2563"/>
      <c r="G8" s="2563"/>
      <c r="H8" s="2564"/>
      <c r="I8" s="2565">
        <f t="shared" si="0"/>
        <v>0</v>
      </c>
    </row>
    <row r="9" spans="1:9">
      <c r="A9" s="3467"/>
      <c r="B9" s="3468" t="s">
        <v>2844</v>
      </c>
      <c r="C9" s="3468"/>
      <c r="D9" s="2562"/>
      <c r="E9" s="2560"/>
      <c r="F9" s="2563"/>
      <c r="G9" s="2563"/>
      <c r="H9" s="2564"/>
      <c r="I9" s="2565">
        <f t="shared" si="0"/>
        <v>0</v>
      </c>
    </row>
    <row r="10" spans="1:9">
      <c r="A10" s="3467"/>
      <c r="B10" s="3469" t="s">
        <v>2845</v>
      </c>
      <c r="C10" s="3469"/>
      <c r="D10" s="2566">
        <v>527</v>
      </c>
      <c r="E10" s="2566" t="e">
        <f>ROUND(D1*10000/D10/H9,0)</f>
        <v>#DIV/0!</v>
      </c>
      <c r="F10" s="2567"/>
      <c r="G10" s="2567"/>
      <c r="H10" s="2568"/>
      <c r="I10" s="2569">
        <f>SUM(I3:I9)</f>
        <v>0</v>
      </c>
    </row>
    <row r="11" spans="1:9" ht="14.25">
      <c r="A11" s="3467" t="s">
        <v>2846</v>
      </c>
      <c r="B11" s="3468" t="s">
        <v>2847</v>
      </c>
      <c r="C11" s="3468"/>
      <c r="D11" s="2562" t="s">
        <v>2848</v>
      </c>
      <c r="E11" s="2562" t="s">
        <v>2849</v>
      </c>
      <c r="F11" s="2563" t="s">
        <v>2850</v>
      </c>
      <c r="G11" s="2563" t="s">
        <v>2851</v>
      </c>
      <c r="H11" s="2570" t="s">
        <v>2852</v>
      </c>
      <c r="I11" s="2561" t="s">
        <v>2853</v>
      </c>
    </row>
    <row r="12" spans="1:9">
      <c r="A12" s="3467"/>
      <c r="B12" s="3468" t="s">
        <v>2854</v>
      </c>
      <c r="C12" s="3468"/>
      <c r="D12" s="2562"/>
      <c r="E12" s="2562"/>
      <c r="F12" s="2563"/>
      <c r="G12" s="2564"/>
      <c r="H12" s="2571"/>
      <c r="I12" s="2561">
        <f>ROUND(D12*E12*F12*G12/10000,0)</f>
        <v>0</v>
      </c>
    </row>
    <row r="13" spans="1:9">
      <c r="A13" s="3467"/>
      <c r="B13" s="3468" t="s">
        <v>2855</v>
      </c>
      <c r="C13" s="3468"/>
      <c r="D13" s="2562"/>
      <c r="E13" s="2562"/>
      <c r="F13" s="2563"/>
      <c r="G13" s="2564"/>
      <c r="H13" s="2571"/>
      <c r="I13" s="2561">
        <f>ROUND(D13*E13*F13*G13/10000,0)</f>
        <v>0</v>
      </c>
    </row>
    <row r="14" spans="1:9">
      <c r="A14" s="3467"/>
      <c r="B14" s="3468" t="s">
        <v>2856</v>
      </c>
      <c r="C14" s="3468"/>
      <c r="D14" s="2562"/>
      <c r="E14" s="2562"/>
      <c r="F14" s="2563"/>
      <c r="G14" s="2564"/>
      <c r="H14" s="2571"/>
      <c r="I14" s="2561">
        <f>ROUND(D14*E14*F14*G14/10000,0)</f>
        <v>0</v>
      </c>
    </row>
    <row r="15" spans="1:9">
      <c r="A15" s="3467"/>
      <c r="B15" s="3469" t="s">
        <v>2845</v>
      </c>
      <c r="C15" s="3469"/>
      <c r="D15" s="2566"/>
      <c r="E15" s="2566">
        <f>SUM(E12:E14)</f>
        <v>0</v>
      </c>
      <c r="F15" s="2567"/>
      <c r="G15" s="2564"/>
      <c r="H15" s="2571"/>
      <c r="I15" s="2572">
        <f>SUM(I12:I14)</f>
        <v>0</v>
      </c>
    </row>
    <row r="16" spans="1:9" ht="24">
      <c r="A16" s="3467" t="s">
        <v>2857</v>
      </c>
      <c r="B16" s="3468" t="s">
        <v>2858</v>
      </c>
      <c r="C16" s="3468"/>
      <c r="D16" s="2562" t="s">
        <v>2859</v>
      </c>
      <c r="E16" s="2573" t="s">
        <v>2860</v>
      </c>
      <c r="F16" s="2563" t="s">
        <v>2861</v>
      </c>
      <c r="G16" s="2564" t="s">
        <v>2851</v>
      </c>
      <c r="H16" s="2570" t="s">
        <v>2852</v>
      </c>
      <c r="I16" s="2561" t="s">
        <v>2853</v>
      </c>
    </row>
    <row r="17" spans="1:9" ht="14.25">
      <c r="A17" s="3467"/>
      <c r="B17" s="3468" t="s">
        <v>2862</v>
      </c>
      <c r="C17" s="3468"/>
      <c r="D17" s="2562"/>
      <c r="E17" s="2562"/>
      <c r="F17" s="2563"/>
      <c r="G17" s="2564"/>
      <c r="H17" s="2574"/>
      <c r="I17" s="2575">
        <f>ROUND(D17*E17*F17*G17/10000,0)</f>
        <v>0</v>
      </c>
    </row>
    <row r="18" spans="1:9" ht="14.25">
      <c r="A18" s="3467"/>
      <c r="B18" s="3468" t="s">
        <v>2863</v>
      </c>
      <c r="C18" s="3468"/>
      <c r="D18" s="2562"/>
      <c r="E18" s="2562"/>
      <c r="F18" s="2563"/>
      <c r="G18" s="2564"/>
      <c r="H18" s="2574"/>
      <c r="I18" s="2575">
        <f>ROUND(D18*E18*F18*G18/10000,0)</f>
        <v>0</v>
      </c>
    </row>
    <row r="19" spans="1:9" ht="14.25">
      <c r="A19" s="3467"/>
      <c r="B19" s="3468" t="s">
        <v>2864</v>
      </c>
      <c r="C19" s="3468"/>
      <c r="D19" s="2562"/>
      <c r="E19" s="2562"/>
      <c r="F19" s="2563"/>
      <c r="G19" s="2564"/>
      <c r="H19" s="2574"/>
      <c r="I19" s="2575">
        <f>ROUND(D19*E19*F19*G19/10000,0)</f>
        <v>0</v>
      </c>
    </row>
    <row r="20" spans="1:9">
      <c r="A20" s="3467"/>
      <c r="B20" s="3469" t="s">
        <v>2845</v>
      </c>
      <c r="C20" s="3469"/>
      <c r="D20" s="2566">
        <f>SUM(D17:D19)</f>
        <v>0</v>
      </c>
      <c r="E20" s="2566"/>
      <c r="F20" s="2567"/>
      <c r="G20" s="2564"/>
      <c r="H20" s="2571"/>
      <c r="I20" s="2572">
        <f>SUM(I17:I19)</f>
        <v>0</v>
      </c>
    </row>
    <row r="21" spans="1:9">
      <c r="A21" s="3467" t="s">
        <v>2865</v>
      </c>
      <c r="B21" s="3470"/>
      <c r="C21" s="3470"/>
      <c r="D21" s="3470"/>
      <c r="E21" s="3470"/>
      <c r="F21" s="3470"/>
      <c r="G21" s="3470"/>
      <c r="H21" s="2576">
        <v>0.1</v>
      </c>
      <c r="I21" s="2569">
        <f>ROUND(I10*H21,0)</f>
        <v>0</v>
      </c>
    </row>
    <row r="22" spans="1:9" ht="14.25">
      <c r="A22" s="3471" t="s">
        <v>2866</v>
      </c>
      <c r="B22" s="3472"/>
      <c r="C22" s="3473"/>
      <c r="D22" s="2577" t="s">
        <v>2867</v>
      </c>
      <c r="E22" s="2577" t="s">
        <v>2868</v>
      </c>
      <c r="F22" s="2578" t="s">
        <v>2869</v>
      </c>
      <c r="G22" s="2578" t="s">
        <v>2870</v>
      </c>
      <c r="H22" s="2570" t="s">
        <v>2871</v>
      </c>
      <c r="I22" s="2561" t="s">
        <v>2872</v>
      </c>
    </row>
    <row r="23" spans="1:9" ht="14.25" thickBot="1">
      <c r="A23" s="3474"/>
      <c r="B23" s="3475"/>
      <c r="C23" s="3476"/>
      <c r="D23" s="2579"/>
      <c r="E23" s="2579"/>
      <c r="F23" s="2579"/>
      <c r="G23" s="2580"/>
      <c r="H23" s="2581"/>
      <c r="I23" s="2582">
        <f>ROUND(E23*D23*F23*(1-G23)/10000,0)</f>
        <v>0</v>
      </c>
    </row>
    <row r="26" spans="1:9">
      <c r="A26" s="2583" t="s">
        <v>2873</v>
      </c>
      <c r="B26" s="2583"/>
      <c r="C26" s="2583"/>
      <c r="D26" s="2583"/>
      <c r="E26" s="3464">
        <f>C27-C30-C31-C32</f>
        <v>0</v>
      </c>
      <c r="F26" s="3464"/>
      <c r="G26" s="3464"/>
      <c r="H26" s="3042" t="s">
        <v>3227</v>
      </c>
    </row>
    <row r="27" spans="1:9">
      <c r="A27" s="2584">
        <v>1</v>
      </c>
      <c r="B27" s="2585" t="s">
        <v>2874</v>
      </c>
      <c r="C27" s="2585"/>
      <c r="D27" s="2585"/>
      <c r="E27" s="3465"/>
      <c r="F27" s="3465"/>
      <c r="G27" s="3465"/>
    </row>
    <row r="28" spans="1:9">
      <c r="A28" s="2586" t="s">
        <v>2875</v>
      </c>
      <c r="B28" s="2585" t="s">
        <v>2876</v>
      </c>
      <c r="C28" s="2585"/>
      <c r="D28" s="2585"/>
      <c r="E28" s="3465"/>
      <c r="F28" s="3465"/>
      <c r="G28" s="3465"/>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66"/>
      <c r="F32" s="3466"/>
      <c r="G32" s="3466"/>
    </row>
    <row r="33" spans="1:7" hidden="1">
      <c r="A33" s="3461" t="s">
        <v>2884</v>
      </c>
      <c r="B33" s="3462"/>
      <c r="C33" s="3462"/>
      <c r="D33" s="3463"/>
      <c r="E33" s="3464"/>
      <c r="F33" s="3464"/>
      <c r="G33" s="3464"/>
    </row>
    <row r="34" spans="1:7" hidden="1">
      <c r="A34" s="2588">
        <v>1</v>
      </c>
      <c r="B34" s="2585" t="s">
        <v>2885</v>
      </c>
      <c r="C34" s="2585"/>
      <c r="D34" s="2585"/>
      <c r="E34" s="3465"/>
      <c r="F34" s="3465"/>
      <c r="G34" s="3465"/>
    </row>
    <row r="35" spans="1:7" hidden="1">
      <c r="A35" s="2588">
        <v>2</v>
      </c>
      <c r="B35" s="2585" t="s">
        <v>2886</v>
      </c>
      <c r="C35" s="2585"/>
      <c r="D35" s="2585"/>
      <c r="E35" s="3465"/>
      <c r="F35" s="3465"/>
      <c r="G35" s="3465"/>
    </row>
    <row r="36" spans="1:7" hidden="1">
      <c r="A36" s="2588">
        <v>3</v>
      </c>
      <c r="B36" s="2585" t="s">
        <v>2887</v>
      </c>
      <c r="C36" s="2585"/>
      <c r="D36" s="2585"/>
      <c r="E36" s="3465"/>
      <c r="F36" s="3465"/>
      <c r="G36" s="3465"/>
    </row>
    <row r="37" spans="1:7" hidden="1">
      <c r="A37" s="2588">
        <v>4</v>
      </c>
      <c r="B37" s="2585" t="s">
        <v>2888</v>
      </c>
      <c r="C37" s="2585"/>
      <c r="D37" s="2585"/>
      <c r="E37" s="3465"/>
      <c r="F37" s="3465"/>
      <c r="G37" s="3465"/>
    </row>
    <row r="38" spans="1:7" hidden="1">
      <c r="A38" s="3461" t="s">
        <v>2889</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1983</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2684</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76634</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0</v>
      </c>
      <c r="D12" s="758">
        <f>'数据-汇总表'!E5</f>
        <v>0</v>
      </c>
      <c r="E12" s="757">
        <f>'数据-取费表'!B27</f>
        <v>290</v>
      </c>
      <c r="F12" s="755"/>
      <c r="G12" s="759"/>
    </row>
    <row r="13" spans="1:25" s="2202" customFormat="1" ht="13.5" customHeight="1">
      <c r="A13" s="2529" t="s">
        <v>2802</v>
      </c>
      <c r="B13" s="756" t="s">
        <v>696</v>
      </c>
      <c r="C13" s="757">
        <f>ROUND(D13*E13/10000,0)</f>
        <v>2222</v>
      </c>
      <c r="D13" s="758">
        <f>'数据-汇总表'!E6</f>
        <v>76634</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1" sqref="C1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0</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10338</v>
      </c>
      <c r="C3" s="852" t="s">
        <v>808</v>
      </c>
      <c r="D3" s="851">
        <f>SUMIF('数据-汇总表'!$C19:$C33,D1,'数据-汇总表'!$E19:$E33)</f>
        <v>0</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45" t="s">
        <v>551</v>
      </c>
      <c r="D4" s="3246"/>
      <c r="E4" s="3416" t="s">
        <v>552</v>
      </c>
      <c r="F4" s="3417"/>
      <c r="G4" s="3245" t="s">
        <v>553</v>
      </c>
      <c r="H4" s="3246"/>
      <c r="I4" s="3245" t="s">
        <v>554</v>
      </c>
      <c r="J4" s="3246"/>
      <c r="K4" s="853" t="s">
        <v>555</v>
      </c>
      <c r="L4" s="2152"/>
      <c r="M4" s="2153"/>
      <c r="N4" s="2153"/>
      <c r="O4" s="2153"/>
      <c r="P4" s="3247" t="s">
        <v>556</v>
      </c>
      <c r="Q4" s="3248"/>
      <c r="R4" s="3253" t="s">
        <v>552</v>
      </c>
      <c r="S4" s="3254"/>
      <c r="T4" s="3253" t="s">
        <v>553</v>
      </c>
      <c r="U4" s="3254"/>
      <c r="V4" s="3265" t="s">
        <v>554</v>
      </c>
      <c r="W4" s="3265"/>
      <c r="X4" s="1580"/>
      <c r="Y4" s="3253" t="s">
        <v>556</v>
      </c>
      <c r="Z4" s="3254"/>
      <c r="AA4" s="3242" t="s">
        <v>552</v>
      </c>
      <c r="AB4" s="3242" t="s">
        <v>553</v>
      </c>
      <c r="AC4" s="3242" t="s">
        <v>554</v>
      </c>
    </row>
    <row r="5" spans="1:29" ht="15">
      <c r="A5" s="518"/>
      <c r="B5" s="519"/>
      <c r="C5" s="3257" t="s">
        <v>3342</v>
      </c>
      <c r="D5" s="3258"/>
      <c r="E5" s="3482" t="s">
        <v>3344</v>
      </c>
      <c r="F5" s="3419"/>
      <c r="G5" s="3257" t="s">
        <v>3349</v>
      </c>
      <c r="H5" s="3258"/>
      <c r="I5" s="3257" t="s">
        <v>3353</v>
      </c>
      <c r="J5" s="3258"/>
      <c r="K5" s="854"/>
      <c r="L5" s="2152"/>
      <c r="M5" s="2153"/>
      <c r="N5" s="2153"/>
      <c r="O5" s="2153"/>
      <c r="P5" s="3249"/>
      <c r="Q5" s="3250"/>
      <c r="R5" s="3255"/>
      <c r="S5" s="3256"/>
      <c r="T5" s="3255"/>
      <c r="U5" s="3256"/>
      <c r="V5" s="3265"/>
      <c r="W5" s="3265"/>
      <c r="X5" s="1580"/>
      <c r="Y5" s="3255"/>
      <c r="Z5" s="3256"/>
      <c r="AA5" s="3243"/>
      <c r="AB5" s="3243"/>
      <c r="AC5" s="3243"/>
    </row>
    <row r="6" spans="1:29" ht="34.5" customHeight="1" thickBot="1">
      <c r="A6" s="520"/>
      <c r="B6" s="521"/>
      <c r="C6" s="3261"/>
      <c r="D6" s="3262"/>
      <c r="E6" s="3483" t="s">
        <v>3345</v>
      </c>
      <c r="F6" s="3423"/>
      <c r="G6" s="3261" t="s">
        <v>3348</v>
      </c>
      <c r="H6" s="3262"/>
      <c r="I6" s="3261" t="s">
        <v>3354</v>
      </c>
      <c r="J6" s="3262"/>
      <c r="K6" s="854" t="s">
        <v>562</v>
      </c>
      <c r="L6" s="2152"/>
      <c r="M6" s="2153"/>
      <c r="N6" s="2153"/>
      <c r="O6" s="2153"/>
      <c r="P6" s="3251"/>
      <c r="Q6" s="3252"/>
      <c r="R6" s="3255"/>
      <c r="S6" s="3256"/>
      <c r="T6" s="3263"/>
      <c r="U6" s="3264"/>
      <c r="V6" s="3265"/>
      <c r="W6" s="3265"/>
      <c r="X6" s="1580"/>
      <c r="Y6" s="3263"/>
      <c r="Z6" s="3264"/>
      <c r="AA6" s="3244"/>
      <c r="AB6" s="3244"/>
      <c r="AC6" s="3244"/>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42849</v>
      </c>
      <c r="J7" s="523">
        <f>SUMIF(58:58,YEAR(I7)&amp;"-"&amp;MONTH(I7),59:59)</f>
        <v>96</v>
      </c>
      <c r="K7" s="855"/>
      <c r="L7" s="2154"/>
      <c r="M7" s="2155"/>
      <c r="N7" s="2155"/>
      <c r="O7" s="2155"/>
      <c r="P7" s="3266" t="s">
        <v>564</v>
      </c>
      <c r="Q7" s="3267"/>
      <c r="R7" s="1581" t="s">
        <v>13</v>
      </c>
      <c r="S7" s="1582">
        <f t="shared" ref="S7:S15" si="0">F7</f>
        <v>100</v>
      </c>
      <c r="T7" s="1581" t="s">
        <v>13</v>
      </c>
      <c r="U7" s="1582">
        <f t="shared" ref="U7:U15" si="1">H7</f>
        <v>100</v>
      </c>
      <c r="V7" s="1581" t="s">
        <v>13</v>
      </c>
      <c r="W7" s="1582">
        <f t="shared" ref="W7:W15" si="2">J7</f>
        <v>96</v>
      </c>
      <c r="X7" s="1583"/>
      <c r="Y7" s="3266" t="s">
        <v>564</v>
      </c>
      <c r="Z7" s="3268"/>
      <c r="AA7" s="1584">
        <f>D7/F7</f>
        <v>1</v>
      </c>
      <c r="AB7" s="1584">
        <f>D7/H7</f>
        <v>1</v>
      </c>
      <c r="AC7" s="1584">
        <f>D7/J7</f>
        <v>1.0416666666666667</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66" t="s">
        <v>567</v>
      </c>
      <c r="Q8" s="3268"/>
      <c r="R8" s="1581" t="s">
        <v>13</v>
      </c>
      <c r="S8" s="1582">
        <f t="shared" si="0"/>
        <v>100</v>
      </c>
      <c r="T8" s="1581" t="s">
        <v>13</v>
      </c>
      <c r="U8" s="1582">
        <f t="shared" si="1"/>
        <v>100</v>
      </c>
      <c r="V8" s="1581" t="s">
        <v>13</v>
      </c>
      <c r="W8" s="1582">
        <f t="shared" si="2"/>
        <v>100</v>
      </c>
      <c r="X8" s="1583"/>
      <c r="Y8" s="3266" t="s">
        <v>567</v>
      </c>
      <c r="Z8" s="3268"/>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69" t="s">
        <v>569</v>
      </c>
      <c r="Q9" s="1150" t="str">
        <f t="shared" ref="Q9:Q15" si="6">B9</f>
        <v>用途</v>
      </c>
      <c r="R9" s="1581" t="s">
        <v>8</v>
      </c>
      <c r="S9" s="1582">
        <f t="shared" si="0"/>
        <v>100</v>
      </c>
      <c r="T9" s="1581" t="s">
        <v>8</v>
      </c>
      <c r="U9" s="1582">
        <f t="shared" si="1"/>
        <v>100</v>
      </c>
      <c r="V9" s="1581" t="s">
        <v>8</v>
      </c>
      <c r="W9" s="1582">
        <f t="shared" si="2"/>
        <v>100</v>
      </c>
      <c r="X9" s="1583"/>
      <c r="Y9" s="3270" t="s">
        <v>570</v>
      </c>
      <c r="Z9" s="1149" t="str">
        <f t="shared" ref="Z9:Z15" si="7">Q9</f>
        <v>用途</v>
      </c>
      <c r="AA9" s="1584">
        <f t="shared" si="3"/>
        <v>1</v>
      </c>
      <c r="AB9" s="1584">
        <f t="shared" si="4"/>
        <v>1</v>
      </c>
      <c r="AC9" s="1584">
        <f t="shared" si="5"/>
        <v>1</v>
      </c>
    </row>
    <row r="10" spans="1:29" s="1349" customFormat="1" ht="27">
      <c r="A10" s="2917"/>
      <c r="B10" s="2922" t="s">
        <v>3135</v>
      </c>
      <c r="C10" s="861" t="s">
        <v>3343</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69"/>
      <c r="Q10" s="1150" t="str">
        <f t="shared" si="6"/>
        <v>土地使用年限（年）</v>
      </c>
      <c r="R10" s="1581" t="s">
        <v>8</v>
      </c>
      <c r="S10" s="1582">
        <f t="shared" si="0"/>
        <v>102</v>
      </c>
      <c r="T10" s="1581" t="s">
        <v>8</v>
      </c>
      <c r="U10" s="1582">
        <f t="shared" si="1"/>
        <v>102</v>
      </c>
      <c r="V10" s="1581" t="s">
        <v>8</v>
      </c>
      <c r="W10" s="1582">
        <f t="shared" si="2"/>
        <v>102</v>
      </c>
      <c r="X10" s="1583"/>
      <c r="Y10" s="3270"/>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'数据-汇总表'!I4</f>
        <v>1.64</v>
      </c>
      <c r="D11" s="257">
        <v>100</v>
      </c>
      <c r="E11" s="536">
        <v>1.5</v>
      </c>
      <c r="F11" s="863">
        <f>LOOKUP(E11,68:68,69:69)-LOOKUP(C11,68:68,69:69)+100</f>
        <v>100</v>
      </c>
      <c r="G11" s="535">
        <v>3.47</v>
      </c>
      <c r="H11" s="257">
        <f>LOOKUP(G11,68:68,69:69)-LOOKUP(C11,68:68,69:69)+100</f>
        <v>99</v>
      </c>
      <c r="I11" s="535">
        <v>1.5</v>
      </c>
      <c r="J11" s="257">
        <f>LOOKUP(I11,68:68,69:69)-LOOKUP(C11,68:68,69:69)+100</f>
        <v>100</v>
      </c>
      <c r="K11" s="864">
        <v>1</v>
      </c>
      <c r="L11" s="2159"/>
      <c r="M11" s="2153"/>
      <c r="N11" s="2153"/>
      <c r="O11" s="2160"/>
      <c r="P11" s="3269"/>
      <c r="Q11" s="1150" t="str">
        <f t="shared" si="6"/>
        <v>容积率</v>
      </c>
      <c r="R11" s="1581" t="s">
        <v>11</v>
      </c>
      <c r="S11" s="1582">
        <f t="shared" si="0"/>
        <v>100</v>
      </c>
      <c r="T11" s="1581" t="s">
        <v>11</v>
      </c>
      <c r="U11" s="1582">
        <f t="shared" si="1"/>
        <v>99</v>
      </c>
      <c r="V11" s="1581" t="s">
        <v>11</v>
      </c>
      <c r="W11" s="1582">
        <f t="shared" si="2"/>
        <v>100</v>
      </c>
      <c r="X11" s="1583"/>
      <c r="Y11" s="3270"/>
      <c r="Z11" s="1149" t="str">
        <f t="shared" si="7"/>
        <v>容积率</v>
      </c>
      <c r="AA11" s="1584">
        <f t="shared" si="3"/>
        <v>1</v>
      </c>
      <c r="AB11" s="1584">
        <f t="shared" si="4"/>
        <v>1.0101010101010102</v>
      </c>
      <c r="AC11" s="1584">
        <f t="shared" si="5"/>
        <v>1</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69"/>
      <c r="Q12" s="1150">
        <f t="shared" si="6"/>
        <v>111</v>
      </c>
      <c r="R12" s="1581" t="s">
        <v>11</v>
      </c>
      <c r="S12" s="1582">
        <f t="shared" si="0"/>
        <v>100</v>
      </c>
      <c r="T12" s="1581" t="s">
        <v>11</v>
      </c>
      <c r="U12" s="1582">
        <f t="shared" si="1"/>
        <v>100</v>
      </c>
      <c r="V12" s="1581" t="s">
        <v>11</v>
      </c>
      <c r="W12" s="1582">
        <f t="shared" si="2"/>
        <v>100</v>
      </c>
      <c r="X12" s="1583"/>
      <c r="Y12" s="3270"/>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69"/>
      <c r="Q13" s="1150">
        <f t="shared" si="6"/>
        <v>111</v>
      </c>
      <c r="R13" s="1581" t="s">
        <v>11</v>
      </c>
      <c r="S13" s="1582">
        <f t="shared" si="0"/>
        <v>100</v>
      </c>
      <c r="T13" s="1581" t="s">
        <v>11</v>
      </c>
      <c r="U13" s="1582">
        <f t="shared" si="1"/>
        <v>100</v>
      </c>
      <c r="V13" s="1581" t="s">
        <v>11</v>
      </c>
      <c r="W13" s="1582">
        <f t="shared" si="2"/>
        <v>100</v>
      </c>
      <c r="X13" s="1583"/>
      <c r="Y13" s="3270"/>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69"/>
      <c r="Q14" s="1150">
        <f t="shared" si="6"/>
        <v>111</v>
      </c>
      <c r="R14" s="1581" t="s">
        <v>11</v>
      </c>
      <c r="S14" s="1582">
        <f t="shared" si="0"/>
        <v>100</v>
      </c>
      <c r="T14" s="1581" t="s">
        <v>11</v>
      </c>
      <c r="U14" s="1582">
        <f t="shared" si="1"/>
        <v>100</v>
      </c>
      <c r="V14" s="1581" t="s">
        <v>11</v>
      </c>
      <c r="W14" s="1582">
        <f t="shared" si="2"/>
        <v>100</v>
      </c>
      <c r="X14" s="1583"/>
      <c r="Y14" s="3270"/>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2</v>
      </c>
      <c r="L15" s="2161"/>
      <c r="M15" s="2153"/>
      <c r="N15" s="2153"/>
      <c r="O15" s="2160"/>
      <c r="P15" s="3271" t="s">
        <v>575</v>
      </c>
      <c r="Q15" s="1585" t="str">
        <f t="shared" si="6"/>
        <v>居住社区成熟度</v>
      </c>
      <c r="R15" s="1586" t="s">
        <v>11</v>
      </c>
      <c r="S15" s="1587">
        <f t="shared" si="0"/>
        <v>100</v>
      </c>
      <c r="T15" s="1586" t="s">
        <v>11</v>
      </c>
      <c r="U15" s="1587">
        <f t="shared" si="1"/>
        <v>100</v>
      </c>
      <c r="V15" s="1586" t="s">
        <v>11</v>
      </c>
      <c r="W15" s="1587">
        <f t="shared" si="2"/>
        <v>100</v>
      </c>
      <c r="X15" s="1580"/>
      <c r="Y15" s="3271"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72"/>
      <c r="Q16" s="1585"/>
      <c r="R16" s="1586"/>
      <c r="S16" s="1587"/>
      <c r="T16" s="1586"/>
      <c r="U16" s="1587"/>
      <c r="V16" s="1586"/>
      <c r="W16" s="1587"/>
      <c r="X16" s="1580"/>
      <c r="Y16" s="3272"/>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72"/>
      <c r="Q17" s="1585" t="str">
        <f>B17</f>
        <v>交通便捷度</v>
      </c>
      <c r="R17" s="1586" t="s">
        <v>11</v>
      </c>
      <c r="S17" s="1587">
        <f>F17</f>
        <v>102</v>
      </c>
      <c r="T17" s="1586" t="s">
        <v>11</v>
      </c>
      <c r="U17" s="1587">
        <f>H17</f>
        <v>102</v>
      </c>
      <c r="V17" s="1586" t="s">
        <v>11</v>
      </c>
      <c r="W17" s="1587">
        <f>J17</f>
        <v>100</v>
      </c>
      <c r="X17" s="1580"/>
      <c r="Y17" s="3272"/>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72"/>
      <c r="Q18" s="1585"/>
      <c r="R18" s="1586"/>
      <c r="S18" s="1587"/>
      <c r="T18" s="1586"/>
      <c r="U18" s="1587"/>
      <c r="V18" s="1586"/>
      <c r="W18" s="1587"/>
      <c r="X18" s="1580"/>
      <c r="Y18" s="3272"/>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2</v>
      </c>
      <c r="L19" s="2161"/>
      <c r="M19" s="2153"/>
      <c r="N19" s="2153"/>
      <c r="O19" s="2160"/>
      <c r="P19" s="3272"/>
      <c r="Q19" s="1585" t="str">
        <f>B19</f>
        <v>公共配套设施</v>
      </c>
      <c r="R19" s="1586" t="s">
        <v>11</v>
      </c>
      <c r="S19" s="1587">
        <f>F19</f>
        <v>100</v>
      </c>
      <c r="T19" s="1586" t="s">
        <v>11</v>
      </c>
      <c r="U19" s="1587">
        <f>H19</f>
        <v>100</v>
      </c>
      <c r="V19" s="1586" t="s">
        <v>11</v>
      </c>
      <c r="W19" s="1587">
        <f>J19</f>
        <v>100</v>
      </c>
      <c r="X19" s="1580"/>
      <c r="Y19" s="3272"/>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72"/>
      <c r="Q20" s="1585"/>
      <c r="R20" s="1586"/>
      <c r="S20" s="1587"/>
      <c r="T20" s="1586"/>
      <c r="U20" s="1587"/>
      <c r="V20" s="1586"/>
      <c r="W20" s="1587"/>
      <c r="X20" s="1580"/>
      <c r="Y20" s="3272"/>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72"/>
      <c r="Q21" s="2632" t="str">
        <f>B21</f>
        <v>基础设施水平</v>
      </c>
      <c r="R21" s="1586" t="s">
        <v>11</v>
      </c>
      <c r="S21" s="1587">
        <f>F21</f>
        <v>100</v>
      </c>
      <c r="T21" s="1586" t="s">
        <v>11</v>
      </c>
      <c r="U21" s="1587">
        <f>H21</f>
        <v>100</v>
      </c>
      <c r="V21" s="1586" t="s">
        <v>11</v>
      </c>
      <c r="W21" s="1587">
        <f>J21</f>
        <v>100</v>
      </c>
      <c r="X21" s="2634"/>
      <c r="Y21" s="3272"/>
      <c r="Z21" s="2633" t="str">
        <f>Q21</f>
        <v>基础设施水平</v>
      </c>
      <c r="AA21" s="1589">
        <f t="shared" ref="AA21" si="8">D21/F21</f>
        <v>1</v>
      </c>
      <c r="AB21" s="1589">
        <f t="shared" ref="AB21" si="9">D21/H21</f>
        <v>1</v>
      </c>
      <c r="AC21" s="1589">
        <f t="shared" ref="AC21" si="10">D21/J21</f>
        <v>1</v>
      </c>
    </row>
    <row r="22" spans="1:29" ht="15">
      <c r="A22" s="534"/>
      <c r="B22" s="922"/>
      <c r="C22" s="873" t="s">
        <v>2677</v>
      </c>
      <c r="D22" s="557"/>
      <c r="E22" s="578" t="s">
        <v>2677</v>
      </c>
      <c r="F22" s="559"/>
      <c r="G22" s="578" t="s">
        <v>2677</v>
      </c>
      <c r="H22" s="557"/>
      <c r="I22" s="578" t="s">
        <v>2677</v>
      </c>
      <c r="J22" s="557"/>
      <c r="K22" s="2653"/>
      <c r="L22" s="2161"/>
      <c r="M22" s="2153"/>
      <c r="N22" s="2153"/>
      <c r="O22" s="2160"/>
      <c r="P22" s="3272"/>
      <c r="Q22" s="2632"/>
      <c r="R22" s="1586"/>
      <c r="S22" s="1587"/>
      <c r="T22" s="1586"/>
      <c r="U22" s="1587"/>
      <c r="V22" s="1586"/>
      <c r="W22" s="1587"/>
      <c r="X22" s="2634"/>
      <c r="Y22" s="3272"/>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68">
        <v>2</v>
      </c>
      <c r="L23" s="2161"/>
      <c r="M23" s="2153"/>
      <c r="N23" s="2153"/>
      <c r="O23" s="2160"/>
      <c r="P23" s="3272"/>
      <c r="Q23" s="1585" t="str">
        <f>B23</f>
        <v>自然及人文环境</v>
      </c>
      <c r="R23" s="1586" t="s">
        <v>11</v>
      </c>
      <c r="S23" s="1587">
        <f>F23</f>
        <v>102</v>
      </c>
      <c r="T23" s="1586" t="s">
        <v>11</v>
      </c>
      <c r="U23" s="1587">
        <f>H23</f>
        <v>100</v>
      </c>
      <c r="V23" s="1586" t="s">
        <v>11</v>
      </c>
      <c r="W23" s="1587">
        <f>J23</f>
        <v>100</v>
      </c>
      <c r="X23" s="1580"/>
      <c r="Y23" s="3272"/>
      <c r="Z23" s="1588" t="str">
        <f>Q23</f>
        <v>自然及人文环境</v>
      </c>
      <c r="AA23" s="1589">
        <f t="shared" si="3"/>
        <v>0.98039215686274506</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72"/>
      <c r="Q24" s="1585"/>
      <c r="R24" s="1586"/>
      <c r="S24" s="1587"/>
      <c r="T24" s="1586"/>
      <c r="U24" s="1587"/>
      <c r="V24" s="1586"/>
      <c r="W24" s="1587"/>
      <c r="X24" s="1580"/>
      <c r="Y24" s="3272"/>
      <c r="Z24" s="1588"/>
      <c r="AA24" s="1589">
        <v>1</v>
      </c>
      <c r="AB24" s="1589">
        <v>1</v>
      </c>
      <c r="AC24" s="1589">
        <v>1</v>
      </c>
    </row>
    <row r="25" spans="1:29" ht="15" hidden="1">
      <c r="A25" s="534"/>
      <c r="B25" s="1907" t="s">
        <v>2572</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72"/>
      <c r="Q25" s="1585" t="str">
        <f t="shared" ref="Q25:Q46" si="11">B25</f>
        <v>楼层-1</v>
      </c>
      <c r="R25" s="1586" t="s">
        <v>11</v>
      </c>
      <c r="S25" s="1587">
        <f>F25</f>
        <v>100</v>
      </c>
      <c r="T25" s="1586" t="s">
        <v>11</v>
      </c>
      <c r="U25" s="1587">
        <f>H25</f>
        <v>100</v>
      </c>
      <c r="V25" s="1586" t="s">
        <v>11</v>
      </c>
      <c r="W25" s="1587">
        <f>J25</f>
        <v>100</v>
      </c>
      <c r="X25" s="1580"/>
      <c r="Y25" s="3272"/>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72"/>
      <c r="Q26" s="1585" t="str">
        <f t="shared" si="11"/>
        <v>朝向</v>
      </c>
      <c r="R26" s="1586" t="s">
        <v>11</v>
      </c>
      <c r="S26" s="1587">
        <f>F26</f>
        <v>100</v>
      </c>
      <c r="T26" s="1586" t="s">
        <v>11</v>
      </c>
      <c r="U26" s="1587">
        <f>H26</f>
        <v>100</v>
      </c>
      <c r="V26" s="1586" t="s">
        <v>11</v>
      </c>
      <c r="W26" s="1587">
        <f>J26</f>
        <v>100</v>
      </c>
      <c r="X26" s="1580"/>
      <c r="Y26" s="3272"/>
      <c r="Z26" s="1588" t="str">
        <f>Q26</f>
        <v>朝向</v>
      </c>
      <c r="AA26" s="1589">
        <f t="shared" si="3"/>
        <v>1</v>
      </c>
      <c r="AB26" s="1589">
        <f t="shared" si="4"/>
        <v>1</v>
      </c>
      <c r="AC26" s="1589">
        <f t="shared" si="5"/>
        <v>1</v>
      </c>
    </row>
    <row r="27" spans="1:29" s="1219" customFormat="1" ht="15.75" thickBot="1">
      <c r="A27" s="538"/>
      <c r="B27" s="539" t="s">
        <v>814</v>
      </c>
      <c r="C27" s="3183" t="s">
        <v>3346</v>
      </c>
      <c r="D27" s="875">
        <v>100</v>
      </c>
      <c r="E27" s="3184" t="s">
        <v>3347</v>
      </c>
      <c r="F27" s="876">
        <f>SUMIF(90:90,E27,91:91)-SUMIF(90:90,C27,91:91)+100</f>
        <v>100</v>
      </c>
      <c r="G27" s="3184" t="s">
        <v>3350</v>
      </c>
      <c r="H27" s="875">
        <f>SUMIF(90:90,G27,91:91)-SUMIF(90:90,C27,91:91)+100</f>
        <v>100</v>
      </c>
      <c r="I27" s="532" t="s">
        <v>815</v>
      </c>
      <c r="J27" s="875">
        <f>SUMIF(90:90,I27,91:91)-SUMIF(90:90,C27,91:91)+100</f>
        <v>101</v>
      </c>
      <c r="K27" s="865"/>
      <c r="L27" s="2154"/>
      <c r="M27" s="2155"/>
      <c r="N27" s="2155"/>
      <c r="O27" s="2156"/>
      <c r="P27" s="3272"/>
      <c r="Q27" s="1150" t="str">
        <f t="shared" si="11"/>
        <v>道路级别</v>
      </c>
      <c r="R27" s="1581" t="s">
        <v>11</v>
      </c>
      <c r="S27" s="1582">
        <f>F27</f>
        <v>100</v>
      </c>
      <c r="T27" s="1581" t="s">
        <v>11</v>
      </c>
      <c r="U27" s="1582">
        <f>H27</f>
        <v>100</v>
      </c>
      <c r="V27" s="1581" t="s">
        <v>11</v>
      </c>
      <c r="W27" s="1582">
        <f>J27</f>
        <v>101</v>
      </c>
      <c r="X27" s="1583"/>
      <c r="Y27" s="3272"/>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72"/>
      <c r="Q28" s="1585">
        <f t="shared" si="11"/>
        <v>111</v>
      </c>
      <c r="R28" s="1586" t="s">
        <v>11</v>
      </c>
      <c r="S28" s="1587">
        <f t="shared" ref="S28:S46" si="12">F28</f>
        <v>100</v>
      </c>
      <c r="T28" s="1586" t="s">
        <v>11</v>
      </c>
      <c r="U28" s="1587">
        <f t="shared" ref="U28:U46" si="13">H28</f>
        <v>100</v>
      </c>
      <c r="V28" s="1586" t="s">
        <v>11</v>
      </c>
      <c r="W28" s="1587">
        <f t="shared" ref="W28:W46" si="14">J28</f>
        <v>100</v>
      </c>
      <c r="X28" s="1580"/>
      <c r="Y28" s="3272"/>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72"/>
      <c r="Q29" s="1585">
        <f t="shared" si="11"/>
        <v>111</v>
      </c>
      <c r="R29" s="1586" t="s">
        <v>11</v>
      </c>
      <c r="S29" s="1587">
        <f t="shared" si="12"/>
        <v>100</v>
      </c>
      <c r="T29" s="1586" t="s">
        <v>11</v>
      </c>
      <c r="U29" s="1587">
        <f t="shared" si="13"/>
        <v>100</v>
      </c>
      <c r="V29" s="1586" t="s">
        <v>11</v>
      </c>
      <c r="W29" s="1587">
        <f t="shared" si="14"/>
        <v>100</v>
      </c>
      <c r="X29" s="1580"/>
      <c r="Y29" s="3272"/>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72"/>
      <c r="Q30" s="1585">
        <f t="shared" si="11"/>
        <v>111</v>
      </c>
      <c r="R30" s="1586" t="s">
        <v>11</v>
      </c>
      <c r="S30" s="1587">
        <f t="shared" si="12"/>
        <v>100</v>
      </c>
      <c r="T30" s="1586" t="s">
        <v>11</v>
      </c>
      <c r="U30" s="1587">
        <f t="shared" si="13"/>
        <v>100</v>
      </c>
      <c r="V30" s="1586" t="s">
        <v>11</v>
      </c>
      <c r="W30" s="1587">
        <f t="shared" si="14"/>
        <v>100</v>
      </c>
      <c r="X30" s="1580"/>
      <c r="Y30" s="3272"/>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72"/>
      <c r="Q31" s="1585">
        <f t="shared" si="11"/>
        <v>111</v>
      </c>
      <c r="R31" s="1586" t="s">
        <v>11</v>
      </c>
      <c r="S31" s="1587">
        <f t="shared" si="12"/>
        <v>100</v>
      </c>
      <c r="T31" s="1586" t="s">
        <v>11</v>
      </c>
      <c r="U31" s="1587">
        <f t="shared" si="13"/>
        <v>100</v>
      </c>
      <c r="V31" s="1586" t="s">
        <v>11</v>
      </c>
      <c r="W31" s="1587">
        <f t="shared" si="14"/>
        <v>100</v>
      </c>
      <c r="X31" s="1580"/>
      <c r="Y31" s="3272"/>
      <c r="Z31" s="1588">
        <f t="shared" si="15"/>
        <v>111</v>
      </c>
      <c r="AA31" s="1589">
        <f t="shared" si="3"/>
        <v>1</v>
      </c>
      <c r="AB31" s="1589">
        <f t="shared" si="4"/>
        <v>1</v>
      </c>
      <c r="AC31" s="1589">
        <f t="shared" si="5"/>
        <v>1</v>
      </c>
    </row>
    <row r="32" spans="1:29" ht="15">
      <c r="A32" s="2909" t="s">
        <v>3133</v>
      </c>
      <c r="B32" s="172" t="s">
        <v>818</v>
      </c>
      <c r="C32" s="878" t="s">
        <v>3351</v>
      </c>
      <c r="D32" s="597">
        <v>100</v>
      </c>
      <c r="E32" s="879" t="s">
        <v>3351</v>
      </c>
      <c r="F32" s="577">
        <f>SUMIF(100:100,E32,101:101)-SUMIF(100:100,C32,101:101)+100</f>
        <v>100</v>
      </c>
      <c r="G32" s="878" t="s">
        <v>3351</v>
      </c>
      <c r="H32" s="597">
        <f>SUMIF(100:100,G32,101:101)-SUMIF(100:100,C32,101:101)+100</f>
        <v>100</v>
      </c>
      <c r="I32" s="879" t="s">
        <v>3351</v>
      </c>
      <c r="J32" s="542">
        <f>SUMIF(100:100,I32,101:101)-SUMIF(100:100,C32,101:101)+100</f>
        <v>100</v>
      </c>
      <c r="K32" s="864">
        <v>2</v>
      </c>
      <c r="L32" s="2161"/>
      <c r="M32" s="2153"/>
      <c r="N32" s="2153"/>
      <c r="O32" s="2160"/>
      <c r="P32" s="3277" t="s">
        <v>591</v>
      </c>
      <c r="Q32" s="1585" t="str">
        <f t="shared" si="11"/>
        <v>建筑类型</v>
      </c>
      <c r="R32" s="1586" t="s">
        <v>11</v>
      </c>
      <c r="S32" s="1587">
        <f t="shared" si="12"/>
        <v>100</v>
      </c>
      <c r="T32" s="1586" t="s">
        <v>11</v>
      </c>
      <c r="U32" s="1587">
        <f t="shared" si="13"/>
        <v>100</v>
      </c>
      <c r="V32" s="1586" t="s">
        <v>11</v>
      </c>
      <c r="W32" s="1587">
        <f t="shared" si="14"/>
        <v>100</v>
      </c>
      <c r="X32" s="1580"/>
      <c r="Y32" s="3278" t="s">
        <v>591</v>
      </c>
      <c r="Z32" s="1588" t="str">
        <f t="shared" si="15"/>
        <v>建筑类型</v>
      </c>
      <c r="AA32" s="1589">
        <f t="shared" si="3"/>
        <v>1</v>
      </c>
      <c r="AB32" s="1589">
        <f t="shared" si="4"/>
        <v>1</v>
      </c>
      <c r="AC32" s="1589">
        <f t="shared" si="5"/>
        <v>1</v>
      </c>
    </row>
    <row r="33" spans="1:29" s="1350" customFormat="1" ht="15">
      <c r="A33" s="603"/>
      <c r="B33" s="530" t="s">
        <v>819</v>
      </c>
      <c r="C33" s="880">
        <f>'数据-汇总表'!E3</f>
        <v>76634</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78"/>
      <c r="Q33" s="1618" t="str">
        <f t="shared" si="11"/>
        <v>项目建筑规模</v>
      </c>
      <c r="R33" s="1590" t="s">
        <v>11</v>
      </c>
      <c r="S33" s="1591">
        <f t="shared" si="12"/>
        <v>102</v>
      </c>
      <c r="T33" s="1590" t="s">
        <v>11</v>
      </c>
      <c r="U33" s="1591">
        <f t="shared" si="13"/>
        <v>100</v>
      </c>
      <c r="V33" s="1590" t="s">
        <v>11</v>
      </c>
      <c r="W33" s="1591">
        <f t="shared" si="14"/>
        <v>100</v>
      </c>
      <c r="X33" s="1592"/>
      <c r="Y33" s="3278"/>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78"/>
      <c r="Q34" s="1585" t="str">
        <f t="shared" si="11"/>
        <v>建筑结构</v>
      </c>
      <c r="R34" s="1586" t="s">
        <v>11</v>
      </c>
      <c r="S34" s="1587">
        <f t="shared" si="12"/>
        <v>100</v>
      </c>
      <c r="T34" s="1586" t="s">
        <v>11</v>
      </c>
      <c r="U34" s="1587">
        <f t="shared" si="13"/>
        <v>100</v>
      </c>
      <c r="V34" s="1586" t="s">
        <v>11</v>
      </c>
      <c r="W34" s="1587">
        <f t="shared" si="14"/>
        <v>100</v>
      </c>
      <c r="X34" s="1580"/>
      <c r="Y34" s="3278"/>
      <c r="Z34" s="1588" t="str">
        <f t="shared" si="15"/>
        <v>建筑结构</v>
      </c>
      <c r="AA34" s="1589">
        <f t="shared" si="3"/>
        <v>1</v>
      </c>
      <c r="AB34" s="1589">
        <f t="shared" si="4"/>
        <v>1</v>
      </c>
      <c r="AC34" s="1589">
        <f t="shared" si="5"/>
        <v>1</v>
      </c>
    </row>
    <row r="35" spans="1:29" ht="15">
      <c r="A35" s="594"/>
      <c r="B35" s="530" t="s">
        <v>822</v>
      </c>
      <c r="C35" s="599" t="s">
        <v>2682</v>
      </c>
      <c r="D35" s="542">
        <v>100</v>
      </c>
      <c r="E35" s="874" t="s">
        <v>2682</v>
      </c>
      <c r="F35" s="577">
        <f>SUMIF(107:107,E35,108:108)-SUMIF(107:107,C35,108:108)+100</f>
        <v>100</v>
      </c>
      <c r="G35" s="599" t="s">
        <v>2682</v>
      </c>
      <c r="H35" s="542">
        <f>SUMIF(107:107,G35,108:108)-SUMIF(107:107,C35,108:108)+100</f>
        <v>100</v>
      </c>
      <c r="I35" s="874" t="s">
        <v>2682</v>
      </c>
      <c r="J35" s="542">
        <f>SUMIF(107:107,I35,108:108)-SUMIF(107:107,C35,108:108)+100</f>
        <v>100</v>
      </c>
      <c r="K35" s="864">
        <v>5</v>
      </c>
      <c r="L35" s="2161"/>
      <c r="M35" s="2153"/>
      <c r="N35" s="2153"/>
      <c r="O35" s="2160"/>
      <c r="P35" s="3278"/>
      <c r="Q35" s="1585" t="str">
        <f t="shared" si="11"/>
        <v>建筑品质</v>
      </c>
      <c r="R35" s="1586" t="s">
        <v>11</v>
      </c>
      <c r="S35" s="1587">
        <f t="shared" si="12"/>
        <v>100</v>
      </c>
      <c r="T35" s="1586" t="s">
        <v>11</v>
      </c>
      <c r="U35" s="1587">
        <f t="shared" si="13"/>
        <v>100</v>
      </c>
      <c r="V35" s="1586" t="s">
        <v>11</v>
      </c>
      <c r="W35" s="1587">
        <f t="shared" si="14"/>
        <v>100</v>
      </c>
      <c r="X35" s="1580"/>
      <c r="Y35" s="3278"/>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824</v>
      </c>
      <c r="J36" s="542">
        <f>SUMIF(109:109,I36,110:110)-SUMIF(109:109,C36,110:110)+100</f>
        <v>100</v>
      </c>
      <c r="K36" s="864">
        <v>2</v>
      </c>
      <c r="L36" s="2161"/>
      <c r="M36" s="2153"/>
      <c r="N36" s="2153"/>
      <c r="O36" s="2160"/>
      <c r="P36" s="3278"/>
      <c r="Q36" s="1585" t="str">
        <f t="shared" si="11"/>
        <v>公共部分装修</v>
      </c>
      <c r="R36" s="1586" t="s">
        <v>11</v>
      </c>
      <c r="S36" s="1587">
        <f t="shared" si="12"/>
        <v>100</v>
      </c>
      <c r="T36" s="1586" t="s">
        <v>11</v>
      </c>
      <c r="U36" s="1587">
        <f t="shared" si="13"/>
        <v>98</v>
      </c>
      <c r="V36" s="1586" t="s">
        <v>11</v>
      </c>
      <c r="W36" s="1587">
        <f t="shared" si="14"/>
        <v>100</v>
      </c>
      <c r="X36" s="1580"/>
      <c r="Y36" s="3278"/>
      <c r="Z36" s="1588" t="str">
        <f t="shared" si="15"/>
        <v>公共部分装修</v>
      </c>
      <c r="AA36" s="1589">
        <f t="shared" si="3"/>
        <v>1</v>
      </c>
      <c r="AB36" s="1589">
        <f t="shared" si="4"/>
        <v>1.0204081632653061</v>
      </c>
      <c r="AC36" s="1589">
        <f t="shared" si="5"/>
        <v>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78"/>
      <c r="Q37" s="1150" t="str">
        <f t="shared" si="11"/>
        <v>成新度</v>
      </c>
      <c r="R37" s="1581" t="s">
        <v>11</v>
      </c>
      <c r="S37" s="1582">
        <f t="shared" si="12"/>
        <v>100</v>
      </c>
      <c r="T37" s="1581" t="s">
        <v>11</v>
      </c>
      <c r="U37" s="1582">
        <f t="shared" si="13"/>
        <v>100</v>
      </c>
      <c r="V37" s="1581" t="s">
        <v>11</v>
      </c>
      <c r="W37" s="1582">
        <f t="shared" si="14"/>
        <v>100</v>
      </c>
      <c r="X37" s="1583"/>
      <c r="Y37" s="3278"/>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78" t="s">
        <v>591</v>
      </c>
      <c r="Q38" s="1585" t="str">
        <f t="shared" si="11"/>
        <v>物业管理</v>
      </c>
      <c r="R38" s="1586" t="s">
        <v>11</v>
      </c>
      <c r="S38" s="1587">
        <f t="shared" si="12"/>
        <v>100</v>
      </c>
      <c r="T38" s="1586" t="s">
        <v>11</v>
      </c>
      <c r="U38" s="1587">
        <f t="shared" si="13"/>
        <v>100</v>
      </c>
      <c r="V38" s="1586" t="s">
        <v>11</v>
      </c>
      <c r="W38" s="1587">
        <f t="shared" si="14"/>
        <v>100</v>
      </c>
      <c r="X38" s="1580"/>
      <c r="Y38" s="3278" t="s">
        <v>591</v>
      </c>
      <c r="Z38" s="1588" t="str">
        <f t="shared" si="15"/>
        <v>物业管理</v>
      </c>
      <c r="AA38" s="1589">
        <f t="shared" si="3"/>
        <v>1</v>
      </c>
      <c r="AB38" s="1589">
        <f t="shared" si="4"/>
        <v>1</v>
      </c>
      <c r="AC38" s="1589">
        <f t="shared" si="5"/>
        <v>1</v>
      </c>
    </row>
    <row r="39" spans="1:29" ht="15">
      <c r="A39" s="594"/>
      <c r="B39" s="1907" t="s">
        <v>2926</v>
      </c>
      <c r="C39" s="599" t="s">
        <v>2677</v>
      </c>
      <c r="D39" s="542">
        <v>100</v>
      </c>
      <c r="E39" s="874" t="s">
        <v>2677</v>
      </c>
      <c r="F39" s="577">
        <f>SUMIF(116:116,E39,117:117)-SUMIF(116:116,C39,117:117)+100</f>
        <v>100</v>
      </c>
      <c r="G39" s="599" t="s">
        <v>2677</v>
      </c>
      <c r="H39" s="542">
        <f>SUMIF(116:116,G39,117:117)-SUMIF(116:116,C39,117:117)+100</f>
        <v>100</v>
      </c>
      <c r="I39" s="874" t="s">
        <v>2677</v>
      </c>
      <c r="J39" s="542">
        <f>SUMIF(116:116,I39,117:117)-SUMIF(116:116,C39,117:117)+100</f>
        <v>100</v>
      </c>
      <c r="K39" s="864">
        <v>1</v>
      </c>
      <c r="L39" s="2161"/>
      <c r="M39" s="2153"/>
      <c r="N39" s="2153"/>
      <c r="O39" s="2160"/>
      <c r="P39" s="3278"/>
      <c r="Q39" s="1585" t="str">
        <f t="shared" si="11"/>
        <v>市政基础设施</v>
      </c>
      <c r="R39" s="1586" t="s">
        <v>11</v>
      </c>
      <c r="S39" s="1587">
        <f t="shared" si="12"/>
        <v>100</v>
      </c>
      <c r="T39" s="1586" t="s">
        <v>11</v>
      </c>
      <c r="U39" s="1587">
        <f t="shared" si="13"/>
        <v>100</v>
      </c>
      <c r="V39" s="1586" t="s">
        <v>11</v>
      </c>
      <c r="W39" s="1587">
        <f t="shared" si="14"/>
        <v>100</v>
      </c>
      <c r="X39" s="1580"/>
      <c r="Y39" s="3278"/>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78"/>
      <c r="Q40" s="1585" t="str">
        <f t="shared" si="11"/>
        <v>房型</v>
      </c>
      <c r="R40" s="1586" t="s">
        <v>11</v>
      </c>
      <c r="S40" s="1587">
        <f t="shared" si="12"/>
        <v>100</v>
      </c>
      <c r="T40" s="1586" t="s">
        <v>11</v>
      </c>
      <c r="U40" s="1587">
        <f t="shared" si="13"/>
        <v>100</v>
      </c>
      <c r="V40" s="1586" t="s">
        <v>11</v>
      </c>
      <c r="W40" s="1587">
        <f t="shared" si="14"/>
        <v>100</v>
      </c>
      <c r="X40" s="1580"/>
      <c r="Y40" s="3278"/>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78"/>
      <c r="Q41" s="1618" t="str">
        <f t="shared" si="11"/>
        <v>单套/主力户型建筑面积</v>
      </c>
      <c r="R41" s="1590" t="s">
        <v>11</v>
      </c>
      <c r="S41" s="1591">
        <f t="shared" si="12"/>
        <v>100</v>
      </c>
      <c r="T41" s="1590" t="s">
        <v>11</v>
      </c>
      <c r="U41" s="1591">
        <f t="shared" si="13"/>
        <v>100</v>
      </c>
      <c r="V41" s="1590" t="s">
        <v>11</v>
      </c>
      <c r="W41" s="1591">
        <f t="shared" si="14"/>
        <v>100</v>
      </c>
      <c r="X41" s="1592"/>
      <c r="Y41" s="3278"/>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78"/>
      <c r="Q42" s="1585" t="str">
        <f t="shared" si="11"/>
        <v>内部装修</v>
      </c>
      <c r="R42" s="1586" t="s">
        <v>11</v>
      </c>
      <c r="S42" s="1587">
        <f t="shared" si="12"/>
        <v>100</v>
      </c>
      <c r="T42" s="1586" t="s">
        <v>11</v>
      </c>
      <c r="U42" s="1587">
        <f t="shared" si="13"/>
        <v>100</v>
      </c>
      <c r="V42" s="1586" t="s">
        <v>11</v>
      </c>
      <c r="W42" s="1587">
        <f t="shared" si="14"/>
        <v>100</v>
      </c>
      <c r="X42" s="1580"/>
      <c r="Y42" s="3278"/>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78"/>
      <c r="Q43" s="1585" t="str">
        <f t="shared" si="11"/>
        <v>内部装修维护情况</v>
      </c>
      <c r="R43" s="1586" t="s">
        <v>11</v>
      </c>
      <c r="S43" s="1587">
        <f t="shared" si="12"/>
        <v>100</v>
      </c>
      <c r="T43" s="1586" t="s">
        <v>11</v>
      </c>
      <c r="U43" s="1587">
        <f t="shared" si="13"/>
        <v>100</v>
      </c>
      <c r="V43" s="1586" t="s">
        <v>11</v>
      </c>
      <c r="W43" s="1587">
        <f t="shared" si="14"/>
        <v>100</v>
      </c>
      <c r="X43" s="1580"/>
      <c r="Y43" s="3278"/>
      <c r="Z43" s="1588" t="str">
        <f t="shared" si="15"/>
        <v>内部装修维护情况</v>
      </c>
      <c r="AA43" s="1589">
        <f t="shared" si="3"/>
        <v>1</v>
      </c>
      <c r="AB43" s="1589">
        <f t="shared" si="4"/>
        <v>1</v>
      </c>
      <c r="AC43" s="1589">
        <f t="shared" si="5"/>
        <v>1</v>
      </c>
    </row>
    <row r="44" spans="1:29" s="1219" customFormat="1" ht="15">
      <c r="A44" s="600"/>
      <c r="B44" s="3185" t="s">
        <v>3355</v>
      </c>
      <c r="C44" s="880" t="s">
        <v>835</v>
      </c>
      <c r="D44" s="257">
        <v>100</v>
      </c>
      <c r="E44" s="880" t="s">
        <v>835</v>
      </c>
      <c r="F44" s="863">
        <f>SUMIF(126:126,E44,127:127)-SUMIF(126:126,C44,127:127)+100</f>
        <v>100</v>
      </c>
      <c r="G44" s="3186" t="s">
        <v>3356</v>
      </c>
      <c r="H44" s="257">
        <f>SUMIF(126:126,G44,127:127)-SUMIF(126:126,C44,127:127)+100</f>
        <v>95</v>
      </c>
      <c r="I44" s="3186" t="s">
        <v>3357</v>
      </c>
      <c r="J44" s="257">
        <f>SUMIF(126:126,I44,127:127)-SUMIF(126:126,C44,127:127)+100</f>
        <v>95</v>
      </c>
      <c r="K44" s="865"/>
      <c r="L44" s="2154"/>
      <c r="M44" s="2155"/>
      <c r="N44" s="2155"/>
      <c r="O44" s="2156"/>
      <c r="P44" s="3278"/>
      <c r="Q44" s="1150" t="str">
        <f t="shared" si="11"/>
        <v>是否尾盘</v>
      </c>
      <c r="R44" s="1581" t="s">
        <v>11</v>
      </c>
      <c r="S44" s="1582">
        <f t="shared" si="12"/>
        <v>100</v>
      </c>
      <c r="T44" s="1581" t="s">
        <v>11</v>
      </c>
      <c r="U44" s="1582">
        <f t="shared" si="13"/>
        <v>95</v>
      </c>
      <c r="V44" s="1581" t="s">
        <v>11</v>
      </c>
      <c r="W44" s="1582">
        <f t="shared" si="14"/>
        <v>95</v>
      </c>
      <c r="X44" s="1583"/>
      <c r="Y44" s="3278"/>
      <c r="Z44" s="1149" t="str">
        <f t="shared" si="15"/>
        <v>是否尾盘</v>
      </c>
      <c r="AA44" s="1584">
        <f t="shared" si="3"/>
        <v>1</v>
      </c>
      <c r="AB44" s="1584">
        <f t="shared" si="4"/>
        <v>1.0526315789473684</v>
      </c>
      <c r="AC44" s="1584">
        <f t="shared" si="5"/>
        <v>1.0526315789473684</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78"/>
      <c r="Q45" s="1585">
        <f t="shared" si="11"/>
        <v>111</v>
      </c>
      <c r="R45" s="1586" t="s">
        <v>11</v>
      </c>
      <c r="S45" s="1587">
        <f t="shared" si="12"/>
        <v>100</v>
      </c>
      <c r="T45" s="1586" t="s">
        <v>11</v>
      </c>
      <c r="U45" s="1587">
        <f t="shared" si="13"/>
        <v>100</v>
      </c>
      <c r="V45" s="1586" t="s">
        <v>11</v>
      </c>
      <c r="W45" s="1587">
        <f t="shared" si="14"/>
        <v>100</v>
      </c>
      <c r="X45" s="1580"/>
      <c r="Y45" s="3278"/>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86"/>
      <c r="Q46" s="1585">
        <f t="shared" si="11"/>
        <v>111</v>
      </c>
      <c r="R46" s="1586" t="s">
        <v>10</v>
      </c>
      <c r="S46" s="1587">
        <f t="shared" si="12"/>
        <v>100</v>
      </c>
      <c r="T46" s="1586" t="s">
        <v>10</v>
      </c>
      <c r="U46" s="1587">
        <f t="shared" si="13"/>
        <v>100</v>
      </c>
      <c r="V46" s="1586" t="s">
        <v>10</v>
      </c>
      <c r="W46" s="1587">
        <f t="shared" si="14"/>
        <v>100</v>
      </c>
      <c r="X46" s="1580"/>
      <c r="Y46" s="3486"/>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69" t="str">
        <f>A47</f>
        <v>成交单价（元/平方米）</v>
      </c>
      <c r="Q47" s="3269"/>
      <c r="R47" s="3485">
        <f>E47</f>
        <v>11475</v>
      </c>
      <c r="S47" s="3485"/>
      <c r="T47" s="3485">
        <f>G47</f>
        <v>10030</v>
      </c>
      <c r="U47" s="3485"/>
      <c r="V47" s="3485">
        <f>I47</f>
        <v>9350</v>
      </c>
      <c r="W47" s="3485"/>
      <c r="X47" s="1572"/>
      <c r="Y47" s="1594"/>
      <c r="Z47" s="1572"/>
      <c r="AA47" s="1572"/>
      <c r="AB47" s="1572"/>
      <c r="AC47" s="1572"/>
    </row>
    <row r="48" spans="1:29" ht="42.75" thickBot="1">
      <c r="A48" s="3083" t="s">
        <v>3138</v>
      </c>
      <c r="B48" s="3088"/>
      <c r="C48" s="2687">
        <f>R49</f>
        <v>10338</v>
      </c>
      <c r="D48" s="2688"/>
      <c r="E48" s="2689">
        <f>R48</f>
        <v>10601</v>
      </c>
      <c r="F48" s="2689"/>
      <c r="G48" s="2687">
        <f>T48</f>
        <v>10460</v>
      </c>
      <c r="H48" s="2688"/>
      <c r="I48" s="2689">
        <f>V48</f>
        <v>9952</v>
      </c>
      <c r="J48" s="2688"/>
      <c r="K48" s="1620"/>
      <c r="L48" s="2163"/>
      <c r="M48" s="2164"/>
      <c r="N48" s="2164"/>
      <c r="O48" s="2164"/>
      <c r="P48" s="3269" t="str">
        <f>A48</f>
        <v>比较价格（元/平方米）</v>
      </c>
      <c r="Q48" s="3269"/>
      <c r="R48" s="3485">
        <f>IF(F1="售价",ROUND(PRODUCT(R47,AA7:AA46),0),ROUND(PRODUCT(R47,AA7:AA46),1))</f>
        <v>10601</v>
      </c>
      <c r="S48" s="3485"/>
      <c r="T48" s="3485">
        <f>IF(F1="售价",ROUND(PRODUCT(T47,AB7:AB46),0),ROUND(PRODUCT(T47,AB7:AB46),1))</f>
        <v>10460</v>
      </c>
      <c r="U48" s="3485"/>
      <c r="V48" s="3485">
        <f>IF(F1="售价",ROUND(PRODUCT(V47,AC7:AC46),0),ROUND(PRODUCT(V47,AC7:AC46),1))</f>
        <v>9952</v>
      </c>
      <c r="W48" s="3485"/>
      <c r="X48" s="1572"/>
      <c r="Y48" s="1572"/>
      <c r="Z48" s="1572"/>
      <c r="AA48" s="1572"/>
      <c r="AB48" s="1572"/>
      <c r="AC48" s="1572"/>
    </row>
    <row r="49" spans="1:29" ht="84.75" thickBot="1">
      <c r="A49" s="3085" t="s">
        <v>3139</v>
      </c>
      <c r="B49" s="3086"/>
      <c r="C49" s="2690">
        <f>R49</f>
        <v>10338</v>
      </c>
      <c r="D49" s="2690"/>
      <c r="E49" s="2690"/>
      <c r="F49" s="2690"/>
      <c r="G49" s="2690"/>
      <c r="H49" s="2690"/>
      <c r="I49" s="2690"/>
      <c r="J49" s="2690"/>
      <c r="K49" s="1621"/>
      <c r="L49" s="2163"/>
      <c r="M49" s="2164"/>
      <c r="N49" s="2164"/>
      <c r="O49" s="2164"/>
      <c r="P49" s="3274" t="str">
        <f>A49</f>
        <v>估价对象XX用房的比较价格（楼面单价，元/平方米）</v>
      </c>
      <c r="Q49" s="3275"/>
      <c r="R49" s="3484">
        <f>IF(F1="售价",ROUND(AVERAGE(R48:V48),0),ROUND(AVERAGE(R48:V48),1))</f>
        <v>10338</v>
      </c>
      <c r="S49" s="3484"/>
      <c r="T49" s="3484"/>
      <c r="U49" s="3484"/>
      <c r="V49" s="3484"/>
      <c r="W49" s="348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8.2445052353551596E-2</v>
      </c>
      <c r="F52" s="627" t="str">
        <f>IF(OR(E52&gt;=0.3,E52&lt;=-0.3),"超过30%","")</f>
        <v/>
      </c>
      <c r="G52" s="626">
        <f>IF(G47&lt;G48,G48/G47-1,G47/G48-1)</f>
        <v>4.287138584247252E-2</v>
      </c>
      <c r="H52" s="627" t="str">
        <f>IF(OR(G52&gt;=0.3,G52&lt;=-0.3),"超过30%","")</f>
        <v/>
      </c>
      <c r="I52" s="626">
        <f>IF(I47&lt;I48,I48/I47-1,I47/I48-1)</f>
        <v>6.4385026737967976E-2</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1.3479923518164405E-2</v>
      </c>
      <c r="F53" s="627" t="str">
        <f>IF(OR(E53&gt;=0.2,E53&lt;=-0.2),"超过20%","")</f>
        <v/>
      </c>
      <c r="G53" s="626">
        <f>IF(G48&lt;I48,I48/G48-1,G48/I48-1)</f>
        <v>5.1045016077170491E-2</v>
      </c>
      <c r="H53" s="627" t="str">
        <f>IF(OR(G53&gt;=0.2,G53&lt;=-0.2),"超过20%","")</f>
        <v/>
      </c>
      <c r="I53" s="626">
        <f>IF(I48&lt;E48,E48/I48-1,I48/E48-1)</f>
        <v>6.521302250803851E-2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0（含）-1.5</v>
      </c>
      <c r="D67" s="682" t="str">
        <f t="shared" ref="D67:L67" si="18">D68&amp;"（含）"&amp;"-"&amp;E68</f>
        <v>1.5（含）-3</v>
      </c>
      <c r="E67" s="682" t="str">
        <f t="shared" si="18"/>
        <v>3（含）-4.5</v>
      </c>
      <c r="F67" s="682" t="str">
        <f t="shared" si="18"/>
        <v>4.5（含）-6</v>
      </c>
      <c r="G67" s="682" t="str">
        <f t="shared" si="18"/>
        <v>6（含）-</v>
      </c>
      <c r="H67" s="682" t="str">
        <f t="shared" si="18"/>
        <v>（含）-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1.5</v>
      </c>
      <c r="E68" s="543">
        <v>3</v>
      </c>
      <c r="F68" s="543">
        <v>4.5</v>
      </c>
      <c r="G68" s="543">
        <v>6</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v>
      </c>
      <c r="E85" s="679">
        <f>D85-$K23</f>
        <v>96</v>
      </c>
      <c r="F85" s="679">
        <f>E85-$K23</f>
        <v>94</v>
      </c>
      <c r="G85" s="679">
        <f>F85-$K23</f>
        <v>92</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2573</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3352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95</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2574</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2575</v>
      </c>
      <c r="C137" s="1931"/>
      <c r="D137" s="1931"/>
      <c r="E137" s="1931"/>
      <c r="F137" s="1931"/>
      <c r="G137" s="1932"/>
      <c r="H137" s="1933"/>
      <c r="I137" s="1934" t="s">
        <v>2576</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2577</v>
      </c>
      <c r="D138" s="1937" t="s">
        <v>2578</v>
      </c>
      <c r="E138" s="1938" t="s">
        <v>2579</v>
      </c>
      <c r="F138" s="1939" t="s">
        <v>2580</v>
      </c>
      <c r="G138" s="1937" t="s">
        <v>2581</v>
      </c>
      <c r="H138" s="1940" t="s">
        <v>2582</v>
      </c>
      <c r="I138" s="1941"/>
      <c r="J138" s="1937" t="s">
        <v>2583</v>
      </c>
      <c r="K138" s="1940" t="s">
        <v>2584</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2585</v>
      </c>
      <c r="E139" s="1911">
        <v>100</v>
      </c>
      <c r="F139" s="1912">
        <v>102.5</v>
      </c>
      <c r="G139" s="1942" t="s">
        <v>2586</v>
      </c>
      <c r="H139" s="1913">
        <v>105</v>
      </c>
      <c r="I139" s="1943" t="s">
        <v>2587</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2588</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2589</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2590</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2591</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2592</v>
      </c>
      <c r="E144" s="1917">
        <v>102</v>
      </c>
      <c r="F144" s="1923">
        <v>100</v>
      </c>
      <c r="G144" s="1946" t="s">
        <v>2592</v>
      </c>
      <c r="H144" s="1919">
        <v>105</v>
      </c>
      <c r="I144" s="1945" t="s">
        <v>2591</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2593</v>
      </c>
      <c r="C145" s="1924">
        <f>ROUND(MAX(C139:C144)/MIN(C139:C144)-1,3)</f>
        <v>7.2999999999999995E-2</v>
      </c>
      <c r="D145" s="1948"/>
      <c r="E145" s="1948"/>
      <c r="F145" s="1949" t="s">
        <v>2594</v>
      </c>
      <c r="G145" s="1950"/>
      <c r="H145" s="1951"/>
      <c r="I145" s="1952" t="s">
        <v>2591</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2603</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2604</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2683</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45" t="s">
        <v>551</v>
      </c>
      <c r="D4" s="3246"/>
      <c r="E4" s="3416" t="s">
        <v>552</v>
      </c>
      <c r="F4" s="3417"/>
      <c r="G4" s="3245" t="s">
        <v>553</v>
      </c>
      <c r="H4" s="3246"/>
      <c r="I4" s="3245" t="s">
        <v>554</v>
      </c>
      <c r="J4" s="3246"/>
      <c r="K4" s="517" t="s">
        <v>555</v>
      </c>
      <c r="L4" s="2152"/>
      <c r="M4" s="2153"/>
      <c r="N4" s="2153"/>
      <c r="O4" s="2153"/>
      <c r="P4" s="3247" t="s">
        <v>556</v>
      </c>
      <c r="Q4" s="3248"/>
      <c r="R4" s="3253" t="s">
        <v>552</v>
      </c>
      <c r="S4" s="3254"/>
      <c r="T4" s="3253" t="s">
        <v>553</v>
      </c>
      <c r="U4" s="3254"/>
      <c r="V4" s="3265" t="s">
        <v>554</v>
      </c>
      <c r="W4" s="3265"/>
      <c r="X4" s="1580"/>
      <c r="Y4" s="3253" t="s">
        <v>556</v>
      </c>
      <c r="Z4" s="3254"/>
      <c r="AA4" s="3242" t="s">
        <v>552</v>
      </c>
      <c r="AB4" s="3265" t="s">
        <v>553</v>
      </c>
      <c r="AC4" s="3242" t="s">
        <v>554</v>
      </c>
    </row>
    <row r="5" spans="1:29" ht="15">
      <c r="A5" s="518"/>
      <c r="B5" s="519"/>
      <c r="C5" s="3420" t="s">
        <v>557</v>
      </c>
      <c r="D5" s="3258"/>
      <c r="E5" s="3418" t="s">
        <v>558</v>
      </c>
      <c r="F5" s="3419"/>
      <c r="G5" s="3420" t="s">
        <v>559</v>
      </c>
      <c r="H5" s="3258"/>
      <c r="I5" s="3420" t="s">
        <v>560</v>
      </c>
      <c r="J5" s="3258"/>
      <c r="K5" s="517"/>
      <c r="L5" s="2152"/>
      <c r="M5" s="2153"/>
      <c r="N5" s="2153"/>
      <c r="O5" s="2153"/>
      <c r="P5" s="3249"/>
      <c r="Q5" s="3250"/>
      <c r="R5" s="3255"/>
      <c r="S5" s="3256"/>
      <c r="T5" s="3255"/>
      <c r="U5" s="3256"/>
      <c r="V5" s="3265"/>
      <c r="W5" s="3265"/>
      <c r="X5" s="1580"/>
      <c r="Y5" s="3255"/>
      <c r="Z5" s="3256"/>
      <c r="AA5" s="3243"/>
      <c r="AB5" s="3265"/>
      <c r="AC5" s="3243"/>
    </row>
    <row r="6" spans="1:29" ht="15.75" thickBot="1">
      <c r="A6" s="520"/>
      <c r="B6" s="521"/>
      <c r="C6" s="3421" t="s">
        <v>561</v>
      </c>
      <c r="D6" s="3262"/>
      <c r="E6" s="3422" t="s">
        <v>561</v>
      </c>
      <c r="F6" s="3423"/>
      <c r="G6" s="3421" t="s">
        <v>561</v>
      </c>
      <c r="H6" s="3262"/>
      <c r="I6" s="3421" t="s">
        <v>561</v>
      </c>
      <c r="J6" s="3262"/>
      <c r="K6" s="517" t="s">
        <v>562</v>
      </c>
      <c r="L6" s="2152"/>
      <c r="M6" s="2153"/>
      <c r="N6" s="2153"/>
      <c r="O6" s="2153"/>
      <c r="P6" s="3251"/>
      <c r="Q6" s="3252"/>
      <c r="R6" s="3255"/>
      <c r="S6" s="3256"/>
      <c r="T6" s="3263"/>
      <c r="U6" s="3264"/>
      <c r="V6" s="3265"/>
      <c r="W6" s="3265"/>
      <c r="X6" s="1580"/>
      <c r="Y6" s="3263"/>
      <c r="Z6" s="3264"/>
      <c r="AA6" s="3244"/>
      <c r="AB6" s="3265"/>
      <c r="AC6" s="3244"/>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66" t="s">
        <v>564</v>
      </c>
      <c r="Q7" s="3267"/>
      <c r="R7" s="1581" t="s">
        <v>8</v>
      </c>
      <c r="S7" s="1582">
        <f t="shared" ref="S7:S15" si="0">F7</f>
        <v>0</v>
      </c>
      <c r="T7" s="1581" t="s">
        <v>8</v>
      </c>
      <c r="U7" s="1582">
        <f t="shared" ref="U7:U15" si="1">H7</f>
        <v>0</v>
      </c>
      <c r="V7" s="1581" t="s">
        <v>8</v>
      </c>
      <c r="W7" s="1582">
        <f t="shared" ref="W7:W15" si="2">J7</f>
        <v>0</v>
      </c>
      <c r="X7" s="1583"/>
      <c r="Y7" s="3266" t="s">
        <v>564</v>
      </c>
      <c r="Z7" s="3268"/>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66" t="s">
        <v>567</v>
      </c>
      <c r="Q8" s="3268"/>
      <c r="R8" s="1581" t="s">
        <v>8</v>
      </c>
      <c r="S8" s="1582">
        <f t="shared" si="0"/>
        <v>102</v>
      </c>
      <c r="T8" s="1581" t="s">
        <v>8</v>
      </c>
      <c r="U8" s="1582">
        <f t="shared" si="1"/>
        <v>100</v>
      </c>
      <c r="V8" s="1581" t="s">
        <v>8</v>
      </c>
      <c r="W8" s="1582">
        <f t="shared" si="2"/>
        <v>100</v>
      </c>
      <c r="X8" s="1583"/>
      <c r="Y8" s="3266" t="s">
        <v>567</v>
      </c>
      <c r="Z8" s="3268"/>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69" t="s">
        <v>569</v>
      </c>
      <c r="Q9" s="1150" t="str">
        <f t="shared" ref="Q9:Q15" si="6">B9</f>
        <v>用途</v>
      </c>
      <c r="R9" s="1581" t="s">
        <v>8</v>
      </c>
      <c r="S9" s="1582">
        <f t="shared" si="0"/>
        <v>100</v>
      </c>
      <c r="T9" s="1581" t="s">
        <v>8</v>
      </c>
      <c r="U9" s="1582">
        <f t="shared" si="1"/>
        <v>95</v>
      </c>
      <c r="V9" s="1581" t="s">
        <v>8</v>
      </c>
      <c r="W9" s="1582">
        <f t="shared" si="2"/>
        <v>100</v>
      </c>
      <c r="X9" s="1583"/>
      <c r="Y9" s="3270"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69"/>
      <c r="Q10" s="1150" t="str">
        <f t="shared" si="6"/>
        <v>土地使用年限（年）</v>
      </c>
      <c r="R10" s="1581" t="s">
        <v>8</v>
      </c>
      <c r="S10" s="1582">
        <f t="shared" si="0"/>
        <v>99</v>
      </c>
      <c r="T10" s="1581" t="s">
        <v>8</v>
      </c>
      <c r="U10" s="1582">
        <f t="shared" si="1"/>
        <v>98</v>
      </c>
      <c r="V10" s="1581" t="s">
        <v>8</v>
      </c>
      <c r="W10" s="1582">
        <f t="shared" si="2"/>
        <v>97</v>
      </c>
      <c r="X10" s="1583"/>
      <c r="Y10" s="3270"/>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69"/>
      <c r="Q11" s="1150" t="str">
        <f t="shared" si="6"/>
        <v>容积率</v>
      </c>
      <c r="R11" s="1581" t="s">
        <v>8</v>
      </c>
      <c r="S11" s="1582">
        <f t="shared" si="0"/>
        <v>98</v>
      </c>
      <c r="T11" s="1581" t="s">
        <v>8</v>
      </c>
      <c r="U11" s="1582">
        <f t="shared" si="1"/>
        <v>96</v>
      </c>
      <c r="V11" s="1581" t="s">
        <v>8</v>
      </c>
      <c r="W11" s="1582">
        <f t="shared" si="2"/>
        <v>94</v>
      </c>
      <c r="X11" s="1583"/>
      <c r="Y11" s="3270"/>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69"/>
      <c r="Q12" s="1150">
        <f t="shared" si="6"/>
        <v>111</v>
      </c>
      <c r="R12" s="1581" t="s">
        <v>8</v>
      </c>
      <c r="S12" s="1582">
        <f t="shared" si="0"/>
        <v>99</v>
      </c>
      <c r="T12" s="1581" t="s">
        <v>8</v>
      </c>
      <c r="U12" s="1582">
        <f t="shared" si="1"/>
        <v>98</v>
      </c>
      <c r="V12" s="1581" t="s">
        <v>8</v>
      </c>
      <c r="W12" s="1582">
        <f t="shared" si="2"/>
        <v>97</v>
      </c>
      <c r="X12" s="1583"/>
      <c r="Y12" s="3270"/>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69"/>
      <c r="Q13" s="1150">
        <f t="shared" si="6"/>
        <v>111</v>
      </c>
      <c r="R13" s="1581" t="s">
        <v>8</v>
      </c>
      <c r="S13" s="1582">
        <f t="shared" si="0"/>
        <v>99</v>
      </c>
      <c r="T13" s="1581" t="s">
        <v>8</v>
      </c>
      <c r="U13" s="1582">
        <f t="shared" si="1"/>
        <v>98</v>
      </c>
      <c r="V13" s="1581" t="s">
        <v>8</v>
      </c>
      <c r="W13" s="1582">
        <f t="shared" si="2"/>
        <v>97</v>
      </c>
      <c r="X13" s="1583"/>
      <c r="Y13" s="3270"/>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69"/>
      <c r="Q14" s="1150">
        <f t="shared" si="6"/>
        <v>111</v>
      </c>
      <c r="R14" s="1581" t="s">
        <v>8</v>
      </c>
      <c r="S14" s="1582">
        <f t="shared" si="0"/>
        <v>98</v>
      </c>
      <c r="T14" s="1581" t="s">
        <v>8</v>
      </c>
      <c r="U14" s="1582">
        <f t="shared" si="1"/>
        <v>96</v>
      </c>
      <c r="V14" s="1581" t="s">
        <v>8</v>
      </c>
      <c r="W14" s="1582">
        <f t="shared" si="2"/>
        <v>94</v>
      </c>
      <c r="X14" s="1583"/>
      <c r="Y14" s="3270"/>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71" t="s">
        <v>575</v>
      </c>
      <c r="Q15" s="1585" t="str">
        <f t="shared" si="6"/>
        <v>商业繁华度</v>
      </c>
      <c r="R15" s="1586" t="s">
        <v>8</v>
      </c>
      <c r="S15" s="1587">
        <f t="shared" si="0"/>
        <v>100</v>
      </c>
      <c r="T15" s="1586" t="s">
        <v>8</v>
      </c>
      <c r="U15" s="1587">
        <f t="shared" si="1"/>
        <v>100</v>
      </c>
      <c r="V15" s="1586" t="s">
        <v>8</v>
      </c>
      <c r="W15" s="1587">
        <f t="shared" si="2"/>
        <v>100</v>
      </c>
      <c r="X15" s="1580"/>
      <c r="Y15" s="3271"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72"/>
      <c r="Q16" s="1585"/>
      <c r="R16" s="1586"/>
      <c r="S16" s="1587"/>
      <c r="T16" s="1586"/>
      <c r="U16" s="1587"/>
      <c r="V16" s="1586"/>
      <c r="W16" s="1587"/>
      <c r="X16" s="1580"/>
      <c r="Y16" s="3272"/>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72"/>
      <c r="Q17" s="1585" t="str">
        <f>B17</f>
        <v>交通便捷度</v>
      </c>
      <c r="R17" s="1586" t="s">
        <v>8</v>
      </c>
      <c r="S17" s="1587">
        <f>F17</f>
        <v>97</v>
      </c>
      <c r="T17" s="1586" t="s">
        <v>8</v>
      </c>
      <c r="U17" s="1587">
        <f>H17</f>
        <v>94</v>
      </c>
      <c r="V17" s="1586" t="s">
        <v>8</v>
      </c>
      <c r="W17" s="1587">
        <f>J17</f>
        <v>106</v>
      </c>
      <c r="X17" s="1580"/>
      <c r="Y17" s="3272"/>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72"/>
      <c r="Q18" s="1585"/>
      <c r="R18" s="1586"/>
      <c r="S18" s="1587"/>
      <c r="T18" s="1586"/>
      <c r="U18" s="1587"/>
      <c r="V18" s="1586"/>
      <c r="W18" s="1587"/>
      <c r="X18" s="1580"/>
      <c r="Y18" s="3272"/>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72"/>
      <c r="Q19" s="1585" t="str">
        <f>B19</f>
        <v>公共配套设施</v>
      </c>
      <c r="R19" s="1586" t="s">
        <v>8</v>
      </c>
      <c r="S19" s="1587">
        <f>F19</f>
        <v>98</v>
      </c>
      <c r="T19" s="1586" t="s">
        <v>8</v>
      </c>
      <c r="U19" s="1587">
        <f>H19</f>
        <v>96</v>
      </c>
      <c r="V19" s="1586" t="s">
        <v>8</v>
      </c>
      <c r="W19" s="1587">
        <f>J19</f>
        <v>100</v>
      </c>
      <c r="X19" s="1580"/>
      <c r="Y19" s="3272"/>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72"/>
      <c r="Q20" s="1585"/>
      <c r="R20" s="1586"/>
      <c r="S20" s="1587"/>
      <c r="T20" s="1586"/>
      <c r="U20" s="1587"/>
      <c r="V20" s="1586"/>
      <c r="W20" s="1587"/>
      <c r="X20" s="1580"/>
      <c r="Y20" s="3272"/>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72"/>
      <c r="Q21" s="2632" t="str">
        <f>B21</f>
        <v>基础设施水平</v>
      </c>
      <c r="R21" s="1586" t="s">
        <v>8</v>
      </c>
      <c r="S21" s="1587">
        <f>F21</f>
        <v>99</v>
      </c>
      <c r="T21" s="1586" t="s">
        <v>8</v>
      </c>
      <c r="U21" s="1587">
        <f>H21</f>
        <v>98</v>
      </c>
      <c r="V21" s="1586" t="s">
        <v>8</v>
      </c>
      <c r="W21" s="1587">
        <f>J21</f>
        <v>97</v>
      </c>
      <c r="X21" s="2634"/>
      <c r="Y21" s="3272"/>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2677</v>
      </c>
      <c r="F22" s="559"/>
      <c r="G22" s="578" t="s">
        <v>2678</v>
      </c>
      <c r="H22" s="557"/>
      <c r="I22" s="578" t="s">
        <v>2902</v>
      </c>
      <c r="J22" s="557"/>
      <c r="K22" s="2656"/>
      <c r="L22" s="2161"/>
      <c r="M22" s="2153"/>
      <c r="N22" s="2153"/>
      <c r="O22" s="2160"/>
      <c r="P22" s="3272"/>
      <c r="Q22" s="2632"/>
      <c r="R22" s="1586"/>
      <c r="S22" s="1587"/>
      <c r="T22" s="1586"/>
      <c r="U22" s="1587"/>
      <c r="V22" s="1586"/>
      <c r="W22" s="1587"/>
      <c r="X22" s="2634"/>
      <c r="Y22" s="3272"/>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72"/>
      <c r="Q23" s="1585" t="str">
        <f>B23</f>
        <v>自然及人文环境</v>
      </c>
      <c r="R23" s="1586" t="s">
        <v>8</v>
      </c>
      <c r="S23" s="1587">
        <f>F23</f>
        <v>98.5</v>
      </c>
      <c r="T23" s="1586" t="s">
        <v>8</v>
      </c>
      <c r="U23" s="1587">
        <f>H23</f>
        <v>103</v>
      </c>
      <c r="V23" s="1586" t="s">
        <v>8</v>
      </c>
      <c r="W23" s="1587">
        <f>J23</f>
        <v>101.5</v>
      </c>
      <c r="X23" s="1580"/>
      <c r="Y23" s="3272"/>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72"/>
      <c r="Q24" s="1585"/>
      <c r="R24" s="1586"/>
      <c r="S24" s="1587"/>
      <c r="T24" s="1586"/>
      <c r="U24" s="1587"/>
      <c r="V24" s="1586"/>
      <c r="W24" s="1587"/>
      <c r="X24" s="1580"/>
      <c r="Y24" s="3272"/>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72"/>
      <c r="Q25" s="1585" t="str">
        <f t="shared" ref="Q25:Q46" si="11">B25</f>
        <v>临街状况</v>
      </c>
      <c r="R25" s="1586" t="s">
        <v>8</v>
      </c>
      <c r="S25" s="1587">
        <f>F25</f>
        <v>104</v>
      </c>
      <c r="T25" s="1586" t="s">
        <v>8</v>
      </c>
      <c r="U25" s="1587">
        <f>H25</f>
        <v>102</v>
      </c>
      <c r="V25" s="1586" t="s">
        <v>8</v>
      </c>
      <c r="W25" s="1587">
        <f>J25</f>
        <v>98</v>
      </c>
      <c r="X25" s="1580"/>
      <c r="Y25" s="3272"/>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72"/>
      <c r="Q26" s="1585" t="str">
        <f t="shared" si="11"/>
        <v>平面位置/可视性</v>
      </c>
      <c r="R26" s="1586" t="s">
        <v>8</v>
      </c>
      <c r="S26" s="1587">
        <f>F26</f>
        <v>98</v>
      </c>
      <c r="T26" s="1586" t="s">
        <v>8</v>
      </c>
      <c r="U26" s="1587">
        <f>H26</f>
        <v>96</v>
      </c>
      <c r="V26" s="1586" t="s">
        <v>8</v>
      </c>
      <c r="W26" s="1587">
        <f>J26</f>
        <v>92</v>
      </c>
      <c r="X26" s="1580"/>
      <c r="Y26" s="3272"/>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72"/>
      <c r="Q27" s="1150" t="str">
        <f t="shared" si="11"/>
        <v>人流量</v>
      </c>
      <c r="R27" s="1581" t="s">
        <v>8</v>
      </c>
      <c r="S27" s="1582">
        <f>F27</f>
        <v>97</v>
      </c>
      <c r="T27" s="1581" t="s">
        <v>8</v>
      </c>
      <c r="U27" s="1582">
        <f>H27</f>
        <v>94</v>
      </c>
      <c r="V27" s="1581" t="s">
        <v>8</v>
      </c>
      <c r="W27" s="1582">
        <f>J27</f>
        <v>91</v>
      </c>
      <c r="X27" s="1583"/>
      <c r="Y27" s="3272"/>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72"/>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72"/>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72"/>
      <c r="Q29" s="1585">
        <f t="shared" si="11"/>
        <v>111</v>
      </c>
      <c r="R29" s="1586" t="s">
        <v>8</v>
      </c>
      <c r="S29" s="1587">
        <f t="shared" si="12"/>
        <v>99</v>
      </c>
      <c r="T29" s="1586" t="s">
        <v>8</v>
      </c>
      <c r="U29" s="1587">
        <f t="shared" si="13"/>
        <v>98</v>
      </c>
      <c r="V29" s="1586" t="s">
        <v>8</v>
      </c>
      <c r="W29" s="1587">
        <f t="shared" si="14"/>
        <v>97</v>
      </c>
      <c r="X29" s="1580"/>
      <c r="Y29" s="3272"/>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72"/>
      <c r="Q30" s="1585">
        <f t="shared" si="11"/>
        <v>111</v>
      </c>
      <c r="R30" s="1586" t="s">
        <v>8</v>
      </c>
      <c r="S30" s="1587">
        <f t="shared" si="12"/>
        <v>99</v>
      </c>
      <c r="T30" s="1586" t="s">
        <v>8</v>
      </c>
      <c r="U30" s="1587">
        <f t="shared" si="13"/>
        <v>98</v>
      </c>
      <c r="V30" s="1586" t="s">
        <v>8</v>
      </c>
      <c r="W30" s="1587">
        <f t="shared" si="14"/>
        <v>97</v>
      </c>
      <c r="X30" s="1580"/>
      <c r="Y30" s="3272"/>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72"/>
      <c r="Q31" s="1585">
        <f t="shared" si="11"/>
        <v>111</v>
      </c>
      <c r="R31" s="1586" t="s">
        <v>8</v>
      </c>
      <c r="S31" s="1587">
        <f t="shared" si="12"/>
        <v>98</v>
      </c>
      <c r="T31" s="1586" t="s">
        <v>8</v>
      </c>
      <c r="U31" s="1587">
        <f t="shared" si="13"/>
        <v>96</v>
      </c>
      <c r="V31" s="1586" t="s">
        <v>8</v>
      </c>
      <c r="W31" s="1587">
        <f t="shared" si="14"/>
        <v>94</v>
      </c>
      <c r="X31" s="1580"/>
      <c r="Y31" s="3272"/>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77" t="s">
        <v>591</v>
      </c>
      <c r="Q32" s="1585" t="str">
        <f t="shared" si="11"/>
        <v>商业类型</v>
      </c>
      <c r="R32" s="1586" t="s">
        <v>8</v>
      </c>
      <c r="S32" s="1587">
        <f t="shared" si="12"/>
        <v>102</v>
      </c>
      <c r="T32" s="1586" t="s">
        <v>8</v>
      </c>
      <c r="U32" s="1587">
        <f t="shared" si="13"/>
        <v>104</v>
      </c>
      <c r="V32" s="1586" t="s">
        <v>8</v>
      </c>
      <c r="W32" s="1587">
        <f t="shared" si="14"/>
        <v>100</v>
      </c>
      <c r="X32" s="1580"/>
      <c r="Y32" s="3278"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78"/>
      <c r="Q33" s="1618" t="str">
        <f t="shared" si="11"/>
        <v>项目建筑规模</v>
      </c>
      <c r="R33" s="1590" t="s">
        <v>8</v>
      </c>
      <c r="S33" s="1591">
        <f t="shared" si="12"/>
        <v>92</v>
      </c>
      <c r="T33" s="1590" t="s">
        <v>8</v>
      </c>
      <c r="U33" s="1591">
        <f t="shared" si="13"/>
        <v>94</v>
      </c>
      <c r="V33" s="1590" t="s">
        <v>8</v>
      </c>
      <c r="W33" s="1591">
        <f t="shared" si="14"/>
        <v>96</v>
      </c>
      <c r="X33" s="1592"/>
      <c r="Y33" s="3278"/>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78"/>
      <c r="Q34" s="1585" t="str">
        <f t="shared" si="11"/>
        <v>建筑结构</v>
      </c>
      <c r="R34" s="1586" t="s">
        <v>8</v>
      </c>
      <c r="S34" s="1587">
        <f t="shared" si="12"/>
        <v>100</v>
      </c>
      <c r="T34" s="1586" t="s">
        <v>8</v>
      </c>
      <c r="U34" s="1587">
        <f t="shared" si="13"/>
        <v>101</v>
      </c>
      <c r="V34" s="1586" t="s">
        <v>8</v>
      </c>
      <c r="W34" s="1587">
        <f t="shared" si="14"/>
        <v>99</v>
      </c>
      <c r="X34" s="1580"/>
      <c r="Y34" s="3278"/>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78"/>
      <c r="Q35" s="1585" t="str">
        <f t="shared" si="11"/>
        <v>公共部分装修</v>
      </c>
      <c r="R35" s="1586" t="s">
        <v>8</v>
      </c>
      <c r="S35" s="1587">
        <f t="shared" si="12"/>
        <v>97</v>
      </c>
      <c r="T35" s="1586" t="s">
        <v>8</v>
      </c>
      <c r="U35" s="1587">
        <f t="shared" si="13"/>
        <v>103</v>
      </c>
      <c r="V35" s="1586" t="s">
        <v>8</v>
      </c>
      <c r="W35" s="1587">
        <f t="shared" si="14"/>
        <v>94</v>
      </c>
      <c r="X35" s="1580"/>
      <c r="Y35" s="3278"/>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78"/>
      <c r="Q36" s="1585" t="str">
        <f t="shared" si="11"/>
        <v>成新度</v>
      </c>
      <c r="R36" s="1586" t="s">
        <v>8</v>
      </c>
      <c r="S36" s="1587">
        <f t="shared" si="12"/>
        <v>98</v>
      </c>
      <c r="T36" s="1586" t="s">
        <v>8</v>
      </c>
      <c r="U36" s="1587">
        <f t="shared" si="13"/>
        <v>100</v>
      </c>
      <c r="V36" s="1586" t="s">
        <v>8</v>
      </c>
      <c r="W36" s="1587">
        <f t="shared" si="14"/>
        <v>100</v>
      </c>
      <c r="X36" s="1580"/>
      <c r="Y36" s="3278"/>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78"/>
      <c r="Q37" s="1150" t="str">
        <f t="shared" si="11"/>
        <v>市政基础设施</v>
      </c>
      <c r="R37" s="1581" t="s">
        <v>8</v>
      </c>
      <c r="S37" s="1582">
        <f t="shared" si="12"/>
        <v>99</v>
      </c>
      <c r="T37" s="1581" t="s">
        <v>8</v>
      </c>
      <c r="U37" s="1582">
        <f t="shared" si="13"/>
        <v>98</v>
      </c>
      <c r="V37" s="1581" t="s">
        <v>8</v>
      </c>
      <c r="W37" s="1582">
        <f t="shared" si="14"/>
        <v>97</v>
      </c>
      <c r="X37" s="1583"/>
      <c r="Y37" s="3278"/>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78" t="s">
        <v>929</v>
      </c>
      <c r="Q38" s="1585" t="str">
        <f t="shared" si="11"/>
        <v>业态</v>
      </c>
      <c r="R38" s="1586" t="s">
        <v>8</v>
      </c>
      <c r="S38" s="1587">
        <f t="shared" si="12"/>
        <v>100</v>
      </c>
      <c r="T38" s="1586" t="s">
        <v>8</v>
      </c>
      <c r="U38" s="1587">
        <f t="shared" si="13"/>
        <v>95</v>
      </c>
      <c r="V38" s="1586" t="s">
        <v>8</v>
      </c>
      <c r="W38" s="1587">
        <f t="shared" si="14"/>
        <v>100</v>
      </c>
      <c r="X38" s="1580"/>
      <c r="Y38" s="3278"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78"/>
      <c r="Q39" s="1585" t="str">
        <f t="shared" si="11"/>
        <v>层高</v>
      </c>
      <c r="R39" s="1586" t="s">
        <v>8</v>
      </c>
      <c r="S39" s="1587">
        <f t="shared" si="12"/>
        <v>102</v>
      </c>
      <c r="T39" s="1586" t="s">
        <v>8</v>
      </c>
      <c r="U39" s="1587">
        <f t="shared" si="13"/>
        <v>100</v>
      </c>
      <c r="V39" s="1586" t="s">
        <v>8</v>
      </c>
      <c r="W39" s="1587">
        <f t="shared" si="14"/>
        <v>100</v>
      </c>
      <c r="X39" s="1580"/>
      <c r="Y39" s="3278"/>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78"/>
      <c r="Q40" s="1585" t="str">
        <f t="shared" si="11"/>
        <v>单套建筑面积</v>
      </c>
      <c r="R40" s="1586" t="s">
        <v>8</v>
      </c>
      <c r="S40" s="1587">
        <f t="shared" si="12"/>
        <v>102</v>
      </c>
      <c r="T40" s="1586" t="s">
        <v>8</v>
      </c>
      <c r="U40" s="1587">
        <f t="shared" si="13"/>
        <v>105</v>
      </c>
      <c r="V40" s="1586" t="s">
        <v>8</v>
      </c>
      <c r="W40" s="1587">
        <f t="shared" si="14"/>
        <v>102</v>
      </c>
      <c r="X40" s="1580"/>
      <c r="Y40" s="3278"/>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78"/>
      <c r="Q41" s="1618" t="str">
        <f t="shared" si="11"/>
        <v>进深比</v>
      </c>
      <c r="R41" s="1590" t="s">
        <v>8</v>
      </c>
      <c r="S41" s="1591">
        <f t="shared" si="12"/>
        <v>98</v>
      </c>
      <c r="T41" s="1590" t="s">
        <v>8</v>
      </c>
      <c r="U41" s="1591">
        <f t="shared" si="13"/>
        <v>96</v>
      </c>
      <c r="V41" s="1590" t="s">
        <v>8</v>
      </c>
      <c r="W41" s="1591">
        <f t="shared" si="14"/>
        <v>100</v>
      </c>
      <c r="X41" s="1592"/>
      <c r="Y41" s="3278"/>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78"/>
      <c r="Q42" s="1585" t="str">
        <f t="shared" si="11"/>
        <v>内部装修</v>
      </c>
      <c r="R42" s="1586" t="s">
        <v>8</v>
      </c>
      <c r="S42" s="1587">
        <f t="shared" si="12"/>
        <v>98.5</v>
      </c>
      <c r="T42" s="1586" t="s">
        <v>8</v>
      </c>
      <c r="U42" s="1587">
        <f t="shared" si="13"/>
        <v>97</v>
      </c>
      <c r="V42" s="1586" t="s">
        <v>8</v>
      </c>
      <c r="W42" s="1587">
        <f t="shared" si="14"/>
        <v>100</v>
      </c>
      <c r="X42" s="1580"/>
      <c r="Y42" s="3278"/>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78"/>
      <c r="Q43" s="1585" t="str">
        <f t="shared" si="11"/>
        <v>内部装修维护情况</v>
      </c>
      <c r="R43" s="1586" t="s">
        <v>8</v>
      </c>
      <c r="S43" s="1587">
        <f t="shared" si="12"/>
        <v>98</v>
      </c>
      <c r="T43" s="1586" t="s">
        <v>8</v>
      </c>
      <c r="U43" s="1587">
        <f t="shared" si="13"/>
        <v>102</v>
      </c>
      <c r="V43" s="1586" t="s">
        <v>8</v>
      </c>
      <c r="W43" s="1587">
        <f t="shared" si="14"/>
        <v>94</v>
      </c>
      <c r="X43" s="1580"/>
      <c r="Y43" s="3278"/>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78"/>
      <c r="Q44" s="1150">
        <f t="shared" si="11"/>
        <v>111</v>
      </c>
      <c r="R44" s="1581" t="s">
        <v>8</v>
      </c>
      <c r="S44" s="1582">
        <f t="shared" si="12"/>
        <v>99</v>
      </c>
      <c r="T44" s="1581" t="s">
        <v>8</v>
      </c>
      <c r="U44" s="1582">
        <f t="shared" si="13"/>
        <v>98</v>
      </c>
      <c r="V44" s="1581" t="s">
        <v>8</v>
      </c>
      <c r="W44" s="1582">
        <f t="shared" si="14"/>
        <v>97</v>
      </c>
      <c r="X44" s="1583"/>
      <c r="Y44" s="3278"/>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78"/>
      <c r="Q45" s="1585">
        <f t="shared" si="11"/>
        <v>111</v>
      </c>
      <c r="R45" s="1586" t="s">
        <v>8</v>
      </c>
      <c r="S45" s="1587">
        <f t="shared" si="12"/>
        <v>98</v>
      </c>
      <c r="T45" s="1586" t="s">
        <v>8</v>
      </c>
      <c r="U45" s="1587">
        <f t="shared" si="13"/>
        <v>97</v>
      </c>
      <c r="V45" s="1586" t="s">
        <v>8</v>
      </c>
      <c r="W45" s="1587">
        <f t="shared" si="14"/>
        <v>96</v>
      </c>
      <c r="X45" s="1580"/>
      <c r="Y45" s="3278"/>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86"/>
      <c r="Q46" s="1585">
        <f t="shared" si="11"/>
        <v>111</v>
      </c>
      <c r="R46" s="1586" t="s">
        <v>8</v>
      </c>
      <c r="S46" s="1587">
        <f t="shared" si="12"/>
        <v>97</v>
      </c>
      <c r="T46" s="1586" t="s">
        <v>8</v>
      </c>
      <c r="U46" s="1587">
        <f t="shared" si="13"/>
        <v>94</v>
      </c>
      <c r="V46" s="1586" t="s">
        <v>8</v>
      </c>
      <c r="W46" s="1587">
        <f t="shared" si="14"/>
        <v>91</v>
      </c>
      <c r="X46" s="1580"/>
      <c r="Y46" s="3486"/>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69" t="str">
        <f>A47</f>
        <v>成交单价（元/平方米）</v>
      </c>
      <c r="Q47" s="3269"/>
      <c r="R47" s="3485">
        <f>E47</f>
        <v>30000</v>
      </c>
      <c r="S47" s="3485"/>
      <c r="T47" s="3485">
        <f>G47</f>
        <v>35000</v>
      </c>
      <c r="U47" s="3485"/>
      <c r="V47" s="3485">
        <f>I47</f>
        <v>32000</v>
      </c>
      <c r="W47" s="3485"/>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69" t="str">
        <f>A48</f>
        <v>比较价格（元/平方米）</v>
      </c>
      <c r="Q48" s="3269"/>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74" t="str">
        <f>A49</f>
        <v>估价对象XX用房的比较价格（楼面单价，元/平方米）</v>
      </c>
      <c r="Q49" s="3275"/>
      <c r="R49" s="3484" t="e">
        <f>IF(F1="售价",ROUND(AVERAGE(R48:V48),0),ROUND(AVERAGE(R48:V48),1))</f>
        <v>#DIV/0!</v>
      </c>
      <c r="S49" s="3484"/>
      <c r="T49" s="3484"/>
      <c r="U49" s="3484"/>
      <c r="V49" s="3484"/>
      <c r="W49" s="348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 sqref="C12"/>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96635</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12610</v>
      </c>
      <c r="C3" s="852" t="s">
        <v>808</v>
      </c>
      <c r="D3" s="851">
        <f>SUMIF('数据-汇总表'!$C19:$C33,D1,'数据-汇总表'!$E19:$E33)</f>
        <v>76634</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45" t="s">
        <v>551</v>
      </c>
      <c r="D4" s="3246"/>
      <c r="E4" s="3416" t="s">
        <v>552</v>
      </c>
      <c r="F4" s="3417"/>
      <c r="G4" s="3245" t="s">
        <v>553</v>
      </c>
      <c r="H4" s="3246"/>
      <c r="I4" s="3245" t="s">
        <v>554</v>
      </c>
      <c r="J4" s="3246"/>
      <c r="K4" s="517" t="s">
        <v>555</v>
      </c>
      <c r="L4" s="2152"/>
      <c r="M4" s="2153"/>
      <c r="N4" s="2153"/>
      <c r="O4" s="2153"/>
      <c r="P4" s="3487" t="s">
        <v>556</v>
      </c>
      <c r="Q4" s="3248"/>
      <c r="R4" s="3253" t="s">
        <v>552</v>
      </c>
      <c r="S4" s="3254"/>
      <c r="T4" s="3253" t="s">
        <v>553</v>
      </c>
      <c r="U4" s="3254"/>
      <c r="V4" s="3265" t="s">
        <v>554</v>
      </c>
      <c r="W4" s="3265"/>
      <c r="X4" s="1580"/>
      <c r="Y4" s="3253" t="s">
        <v>556</v>
      </c>
      <c r="Z4" s="3254"/>
      <c r="AA4" s="3242" t="s">
        <v>552</v>
      </c>
      <c r="AB4" s="3242" t="s">
        <v>553</v>
      </c>
      <c r="AC4" s="3242" t="s">
        <v>554</v>
      </c>
    </row>
    <row r="5" spans="1:29" ht="15">
      <c r="A5" s="518"/>
      <c r="B5" s="519"/>
      <c r="C5" s="3420" t="s">
        <v>557</v>
      </c>
      <c r="D5" s="3258"/>
      <c r="E5" s="3482" t="s">
        <v>3726</v>
      </c>
      <c r="F5" s="3419"/>
      <c r="G5" s="3257" t="s">
        <v>3723</v>
      </c>
      <c r="H5" s="3258"/>
      <c r="I5" s="3257" t="s">
        <v>3725</v>
      </c>
      <c r="J5" s="3258"/>
      <c r="K5" s="517"/>
      <c r="L5" s="2152"/>
      <c r="M5" s="2153"/>
      <c r="N5" s="2153"/>
      <c r="O5" s="2153"/>
      <c r="P5" s="3488"/>
      <c r="Q5" s="3250"/>
      <c r="R5" s="3255"/>
      <c r="S5" s="3256"/>
      <c r="T5" s="3255"/>
      <c r="U5" s="3256"/>
      <c r="V5" s="3265"/>
      <c r="W5" s="3265"/>
      <c r="X5" s="1580"/>
      <c r="Y5" s="3255"/>
      <c r="Z5" s="3256"/>
      <c r="AA5" s="3243"/>
      <c r="AB5" s="3243"/>
      <c r="AC5" s="3243"/>
    </row>
    <row r="6" spans="1:29" ht="35.25" customHeight="1" thickBot="1">
      <c r="A6" s="520"/>
      <c r="B6" s="521"/>
      <c r="C6" s="3421" t="s">
        <v>561</v>
      </c>
      <c r="D6" s="3262"/>
      <c r="E6" s="3483" t="s">
        <v>3720</v>
      </c>
      <c r="F6" s="3423"/>
      <c r="G6" s="3261" t="s">
        <v>3719</v>
      </c>
      <c r="H6" s="3262"/>
      <c r="I6" s="3261" t="s">
        <v>3724</v>
      </c>
      <c r="J6" s="3262"/>
      <c r="K6" s="517" t="s">
        <v>562</v>
      </c>
      <c r="L6" s="2152"/>
      <c r="M6" s="2153"/>
      <c r="N6" s="2153"/>
      <c r="O6" s="2153"/>
      <c r="P6" s="3489"/>
      <c r="Q6" s="3252"/>
      <c r="R6" s="3255"/>
      <c r="S6" s="3256"/>
      <c r="T6" s="3263"/>
      <c r="U6" s="3264"/>
      <c r="V6" s="3265"/>
      <c r="W6" s="3265"/>
      <c r="X6" s="1580"/>
      <c r="Y6" s="3263"/>
      <c r="Z6" s="3264"/>
      <c r="AA6" s="3244"/>
      <c r="AB6" s="3244"/>
      <c r="AC6" s="3244"/>
    </row>
    <row r="7" spans="1:29" s="1219" customFormat="1" ht="15.75" thickBot="1">
      <c r="A7" s="2914"/>
      <c r="B7" s="2921" t="s">
        <v>563</v>
      </c>
      <c r="C7" s="522">
        <f>'数据-取费表'!B2</f>
        <v>42907</v>
      </c>
      <c r="D7" s="523">
        <v>100</v>
      </c>
      <c r="E7" s="524">
        <v>42868</v>
      </c>
      <c r="F7" s="525">
        <f>SUMIF(59:59,YEAR(E7)&amp;"-"&amp;MONTH(E7),60:60)</f>
        <v>98</v>
      </c>
      <c r="G7" s="524">
        <v>42889</v>
      </c>
      <c r="H7" s="523">
        <f>SUMIF(59:59,YEAR(G7)&amp;"-"&amp;MONTH(G7),60:60)</f>
        <v>100</v>
      </c>
      <c r="I7" s="524">
        <v>42905</v>
      </c>
      <c r="J7" s="523">
        <f>SUMIF(59:59,YEAR(I7)&amp;"-"&amp;MONTH(I7),60:60)</f>
        <v>100</v>
      </c>
      <c r="K7" s="527"/>
      <c r="L7" s="2154"/>
      <c r="M7" s="2155"/>
      <c r="N7" s="2155"/>
      <c r="O7" s="2155"/>
      <c r="P7" s="3267" t="s">
        <v>564</v>
      </c>
      <c r="Q7" s="3267"/>
      <c r="R7" s="1581" t="s">
        <v>8</v>
      </c>
      <c r="S7" s="1582">
        <f t="shared" ref="S7:S15" si="0">F7</f>
        <v>98</v>
      </c>
      <c r="T7" s="1581" t="s">
        <v>8</v>
      </c>
      <c r="U7" s="1582">
        <f t="shared" ref="U7:U15" si="1">H7</f>
        <v>100</v>
      </c>
      <c r="V7" s="1581" t="s">
        <v>8</v>
      </c>
      <c r="W7" s="1582">
        <f t="shared" ref="W7:W15" si="2">J7</f>
        <v>100</v>
      </c>
      <c r="X7" s="1583"/>
      <c r="Y7" s="3266" t="s">
        <v>564</v>
      </c>
      <c r="Z7" s="3268"/>
      <c r="AA7" s="1584">
        <f>D7/F7</f>
        <v>1.0204081632653061</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67" t="s">
        <v>567</v>
      </c>
      <c r="Q8" s="3268"/>
      <c r="R8" s="1581" t="s">
        <v>8</v>
      </c>
      <c r="S8" s="1582">
        <f t="shared" si="0"/>
        <v>100</v>
      </c>
      <c r="T8" s="1581" t="s">
        <v>8</v>
      </c>
      <c r="U8" s="1582">
        <f t="shared" si="1"/>
        <v>100</v>
      </c>
      <c r="V8" s="1581" t="s">
        <v>8</v>
      </c>
      <c r="W8" s="1582">
        <f t="shared" si="2"/>
        <v>100</v>
      </c>
      <c r="X8" s="1583"/>
      <c r="Y8" s="3266" t="s">
        <v>567</v>
      </c>
      <c r="Z8" s="3268"/>
      <c r="AA8" s="1584">
        <f t="shared" ref="AA8:AA47" si="3">D8/F8</f>
        <v>1</v>
      </c>
      <c r="AB8" s="1584">
        <f t="shared" ref="AB8:AB47" si="4">D8/H8</f>
        <v>1</v>
      </c>
      <c r="AC8" s="1584">
        <f t="shared" ref="AC8:AC47" si="5">D8/J8</f>
        <v>1</v>
      </c>
    </row>
    <row r="9" spans="1:29" s="1219" customFormat="1" ht="15">
      <c r="A9" s="2916"/>
      <c r="B9" s="2923" t="s">
        <v>3134</v>
      </c>
      <c r="C9" s="3193" t="s">
        <v>3710</v>
      </c>
      <c r="D9" s="256">
        <v>100</v>
      </c>
      <c r="E9" s="860" t="s">
        <v>1972</v>
      </c>
      <c r="F9" s="256">
        <f>SUMIF(64:64,E9,65:65)-SUMIF(64:64,C9,65:65)+100</f>
        <v>102</v>
      </c>
      <c r="G9" s="858" t="s">
        <v>3709</v>
      </c>
      <c r="H9" s="256">
        <f>SUMIF(64:64,G9,65:65)-SUMIF(64:64,C9,65:65)+100</f>
        <v>100</v>
      </c>
      <c r="I9" s="858" t="s">
        <v>3709</v>
      </c>
      <c r="J9" s="256">
        <f>SUMIF(64:64,I9,65:65)-SUMIF(64:64,C9,65:65)+100</f>
        <v>100</v>
      </c>
      <c r="K9" s="527"/>
      <c r="L9" s="2154"/>
      <c r="M9" s="2155"/>
      <c r="N9" s="2155"/>
      <c r="O9" s="2155"/>
      <c r="P9" s="3269" t="s">
        <v>569</v>
      </c>
      <c r="Q9" s="1150" t="str">
        <f t="shared" ref="Q9:Q15" si="6">B9</f>
        <v>用途</v>
      </c>
      <c r="R9" s="1581" t="s">
        <v>8</v>
      </c>
      <c r="S9" s="1582">
        <f t="shared" si="0"/>
        <v>102</v>
      </c>
      <c r="T9" s="1581" t="s">
        <v>8</v>
      </c>
      <c r="U9" s="1582">
        <f t="shared" si="1"/>
        <v>100</v>
      </c>
      <c r="V9" s="1581" t="s">
        <v>8</v>
      </c>
      <c r="W9" s="1582">
        <f t="shared" si="2"/>
        <v>100</v>
      </c>
      <c r="X9" s="1583"/>
      <c r="Y9" s="3270"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3343</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69"/>
      <c r="Q10" s="1150" t="str">
        <f t="shared" si="6"/>
        <v>土地使用年限（年）</v>
      </c>
      <c r="R10" s="1581" t="s">
        <v>8</v>
      </c>
      <c r="S10" s="1582">
        <f t="shared" si="0"/>
        <v>102</v>
      </c>
      <c r="T10" s="1581" t="s">
        <v>8</v>
      </c>
      <c r="U10" s="1582">
        <f t="shared" si="1"/>
        <v>101</v>
      </c>
      <c r="V10" s="1581" t="s">
        <v>8</v>
      </c>
      <c r="W10" s="1582">
        <f t="shared" si="2"/>
        <v>101</v>
      </c>
      <c r="X10" s="1583"/>
      <c r="Y10" s="3270"/>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f>'数据-汇总表'!I6</f>
        <v>1.64</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69"/>
      <c r="Q11" s="1150" t="str">
        <f t="shared" si="6"/>
        <v>容积率</v>
      </c>
      <c r="R11" s="1581" t="s">
        <v>8</v>
      </c>
      <c r="S11" s="1582">
        <f t="shared" si="0"/>
        <v>99</v>
      </c>
      <c r="T11" s="1581" t="s">
        <v>8</v>
      </c>
      <c r="U11" s="1582">
        <f t="shared" si="1"/>
        <v>98</v>
      </c>
      <c r="V11" s="1581" t="s">
        <v>8</v>
      </c>
      <c r="W11" s="1582">
        <f t="shared" si="2"/>
        <v>98</v>
      </c>
      <c r="X11" s="1583"/>
      <c r="Y11" s="3270"/>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69"/>
      <c r="Q12" s="1150">
        <f t="shared" si="6"/>
        <v>111</v>
      </c>
      <c r="R12" s="1581" t="s">
        <v>8</v>
      </c>
      <c r="S12" s="1582">
        <f t="shared" si="0"/>
        <v>100</v>
      </c>
      <c r="T12" s="1581" t="s">
        <v>8</v>
      </c>
      <c r="U12" s="1582">
        <f t="shared" si="1"/>
        <v>100</v>
      </c>
      <c r="V12" s="1581" t="s">
        <v>8</v>
      </c>
      <c r="W12" s="1582">
        <f t="shared" si="2"/>
        <v>100</v>
      </c>
      <c r="X12" s="1583"/>
      <c r="Y12" s="3270"/>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69"/>
      <c r="Q13" s="1150">
        <f t="shared" si="6"/>
        <v>111</v>
      </c>
      <c r="R13" s="1581" t="s">
        <v>8</v>
      </c>
      <c r="S13" s="1582">
        <f t="shared" si="0"/>
        <v>100</v>
      </c>
      <c r="T13" s="1581" t="s">
        <v>8</v>
      </c>
      <c r="U13" s="1582">
        <f t="shared" si="1"/>
        <v>100</v>
      </c>
      <c r="V13" s="1581" t="s">
        <v>8</v>
      </c>
      <c r="W13" s="1582">
        <f t="shared" si="2"/>
        <v>100</v>
      </c>
      <c r="X13" s="1583"/>
      <c r="Y13" s="3270"/>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69"/>
      <c r="Q14" s="1150">
        <f t="shared" si="6"/>
        <v>111</v>
      </c>
      <c r="R14" s="1581" t="s">
        <v>8</v>
      </c>
      <c r="S14" s="1582">
        <f t="shared" si="0"/>
        <v>100</v>
      </c>
      <c r="T14" s="1581" t="s">
        <v>8</v>
      </c>
      <c r="U14" s="1582">
        <f t="shared" si="1"/>
        <v>100</v>
      </c>
      <c r="V14" s="1581" t="s">
        <v>8</v>
      </c>
      <c r="W14" s="1582">
        <f t="shared" si="2"/>
        <v>100</v>
      </c>
      <c r="X14" s="1583"/>
      <c r="Y14" s="3270"/>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101.5</v>
      </c>
      <c r="I15" s="552"/>
      <c r="J15" s="551">
        <f>SUMIF(77:77,I16,78:78)-SUMIF(77:77,C16,78:78)+100</f>
        <v>100</v>
      </c>
      <c r="K15" s="898">
        <v>1.5</v>
      </c>
      <c r="L15" s="2161"/>
      <c r="M15" s="2153"/>
      <c r="N15" s="2153"/>
      <c r="O15" s="2153"/>
      <c r="P15" s="3271" t="s">
        <v>575</v>
      </c>
      <c r="Q15" s="1585" t="str">
        <f t="shared" si="6"/>
        <v>办公集聚程度</v>
      </c>
      <c r="R15" s="1586" t="s">
        <v>8</v>
      </c>
      <c r="S15" s="1587">
        <f t="shared" si="0"/>
        <v>100</v>
      </c>
      <c r="T15" s="1586" t="s">
        <v>8</v>
      </c>
      <c r="U15" s="1587">
        <f t="shared" si="1"/>
        <v>101.5</v>
      </c>
      <c r="V15" s="1586" t="s">
        <v>8</v>
      </c>
      <c r="W15" s="1587">
        <f t="shared" si="2"/>
        <v>100</v>
      </c>
      <c r="X15" s="1580"/>
      <c r="Y15" s="3271" t="s">
        <v>575</v>
      </c>
      <c r="Z15" s="1588" t="str">
        <f t="shared" si="7"/>
        <v>办公集聚程度</v>
      </c>
      <c r="AA15" s="1589">
        <f t="shared" si="3"/>
        <v>1</v>
      </c>
      <c r="AB15" s="1589">
        <f t="shared" si="4"/>
        <v>0.98522167487684731</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72"/>
      <c r="Q16" s="1585"/>
      <c r="R16" s="1586"/>
      <c r="S16" s="1587"/>
      <c r="T16" s="1586"/>
      <c r="U16" s="1587"/>
      <c r="V16" s="1586"/>
      <c r="W16" s="1587"/>
      <c r="X16" s="1580"/>
      <c r="Y16" s="3272"/>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72"/>
      <c r="Q17" s="1585" t="str">
        <f>B17</f>
        <v>交通便捷度</v>
      </c>
      <c r="R17" s="1586" t="s">
        <v>8</v>
      </c>
      <c r="S17" s="1587">
        <f>F17</f>
        <v>100</v>
      </c>
      <c r="T17" s="1586" t="s">
        <v>8</v>
      </c>
      <c r="U17" s="1587">
        <f>H17</f>
        <v>102</v>
      </c>
      <c r="V17" s="1586" t="s">
        <v>8</v>
      </c>
      <c r="W17" s="1587">
        <f>J17</f>
        <v>100</v>
      </c>
      <c r="X17" s="1580"/>
      <c r="Y17" s="3272"/>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72"/>
      <c r="Q18" s="1585"/>
      <c r="R18" s="1586"/>
      <c r="S18" s="1587"/>
      <c r="T18" s="1586"/>
      <c r="U18" s="1587"/>
      <c r="V18" s="1586"/>
      <c r="W18" s="1587"/>
      <c r="X18" s="1580"/>
      <c r="Y18" s="3272"/>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1</v>
      </c>
      <c r="L19" s="2161"/>
      <c r="M19" s="2153"/>
      <c r="N19" s="2153"/>
      <c r="O19" s="2153"/>
      <c r="P19" s="3272"/>
      <c r="Q19" s="1585" t="str">
        <f>B19</f>
        <v>公共配套设施</v>
      </c>
      <c r="R19" s="1586" t="s">
        <v>8</v>
      </c>
      <c r="S19" s="1587">
        <f>F19</f>
        <v>100</v>
      </c>
      <c r="T19" s="1586" t="s">
        <v>8</v>
      </c>
      <c r="U19" s="1587">
        <f>H19</f>
        <v>100</v>
      </c>
      <c r="V19" s="1586" t="s">
        <v>8</v>
      </c>
      <c r="W19" s="1587">
        <f>J19</f>
        <v>100</v>
      </c>
      <c r="X19" s="1580"/>
      <c r="Y19" s="3272"/>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72"/>
      <c r="Q20" s="1585"/>
      <c r="R20" s="1586"/>
      <c r="S20" s="1587"/>
      <c r="T20" s="1586"/>
      <c r="U20" s="1587"/>
      <c r="V20" s="1586"/>
      <c r="W20" s="1587"/>
      <c r="X20" s="1580"/>
      <c r="Y20" s="3272"/>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72"/>
      <c r="Q21" s="2632" t="str">
        <f>B21</f>
        <v>基础设施水平</v>
      </c>
      <c r="R21" s="1586" t="s">
        <v>8</v>
      </c>
      <c r="S21" s="1587">
        <f>F21</f>
        <v>100</v>
      </c>
      <c r="T21" s="1586" t="s">
        <v>8</v>
      </c>
      <c r="U21" s="1587">
        <f>H21</f>
        <v>100</v>
      </c>
      <c r="V21" s="1586" t="s">
        <v>8</v>
      </c>
      <c r="W21" s="1587">
        <f>J21</f>
        <v>100</v>
      </c>
      <c r="X21" s="2634"/>
      <c r="Y21" s="3272"/>
      <c r="Z21" s="2633" t="str">
        <f>Q21</f>
        <v>基础设施水平</v>
      </c>
      <c r="AA21" s="1589">
        <f t="shared" ref="AA21" si="8">D21/F21</f>
        <v>1</v>
      </c>
      <c r="AB21" s="1589">
        <f t="shared" ref="AB21" si="9">D21/H21</f>
        <v>1</v>
      </c>
      <c r="AC21" s="1589">
        <f t="shared" ref="AC21" si="10">D21/J21</f>
        <v>1</v>
      </c>
    </row>
    <row r="22" spans="1:29" ht="15">
      <c r="A22" s="534"/>
      <c r="B22" s="580"/>
      <c r="C22" s="569" t="s">
        <v>2677</v>
      </c>
      <c r="D22" s="557"/>
      <c r="E22" s="578" t="s">
        <v>2677</v>
      </c>
      <c r="F22" s="557"/>
      <c r="G22" s="556" t="s">
        <v>2677</v>
      </c>
      <c r="H22" s="557"/>
      <c r="I22" s="556" t="s">
        <v>2677</v>
      </c>
      <c r="J22" s="557"/>
      <c r="K22" s="2656"/>
      <c r="L22" s="2161"/>
      <c r="M22" s="2153"/>
      <c r="N22" s="2153"/>
      <c r="O22" s="2153"/>
      <c r="P22" s="3272"/>
      <c r="Q22" s="2632"/>
      <c r="R22" s="1586"/>
      <c r="S22" s="1587"/>
      <c r="T22" s="1586"/>
      <c r="U22" s="1587"/>
      <c r="V22" s="1586"/>
      <c r="W22" s="1587"/>
      <c r="X22" s="2634"/>
      <c r="Y22" s="3272"/>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1</v>
      </c>
      <c r="L23" s="2161"/>
      <c r="M23" s="2153"/>
      <c r="N23" s="2153"/>
      <c r="O23" s="2153"/>
      <c r="P23" s="3272"/>
      <c r="Q23" s="1585" t="str">
        <f>B23</f>
        <v>环境质量</v>
      </c>
      <c r="R23" s="1586" t="s">
        <v>8</v>
      </c>
      <c r="S23" s="1587">
        <f>F23</f>
        <v>100</v>
      </c>
      <c r="T23" s="1586" t="s">
        <v>8</v>
      </c>
      <c r="U23" s="1587">
        <f>H23</f>
        <v>100</v>
      </c>
      <c r="V23" s="1586" t="s">
        <v>8</v>
      </c>
      <c r="W23" s="1587">
        <f>J23</f>
        <v>100</v>
      </c>
      <c r="X23" s="1580"/>
      <c r="Y23" s="3272"/>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72"/>
      <c r="Q24" s="1585"/>
      <c r="R24" s="1586"/>
      <c r="S24" s="1587"/>
      <c r="T24" s="1586"/>
      <c r="U24" s="1587"/>
      <c r="V24" s="1586"/>
      <c r="W24" s="1587"/>
      <c r="X24" s="1580"/>
      <c r="Y24" s="3272"/>
      <c r="Z24" s="1588"/>
      <c r="AA24" s="1589">
        <v>1</v>
      </c>
      <c r="AB24" s="1589">
        <v>1</v>
      </c>
      <c r="AC24" s="1589">
        <v>1</v>
      </c>
    </row>
    <row r="25" spans="1:29" ht="28.5">
      <c r="A25" s="518"/>
      <c r="B25" s="562" t="s">
        <v>587</v>
      </c>
      <c r="C25" s="912" t="s">
        <v>977</v>
      </c>
      <c r="D25" s="542">
        <v>100</v>
      </c>
      <c r="E25" s="3196" t="s">
        <v>3716</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72"/>
      <c r="Q25" s="1585" t="str">
        <f>B25</f>
        <v>毗邻道路的类型与等级</v>
      </c>
      <c r="R25" s="1586" t="s">
        <v>8</v>
      </c>
      <c r="S25" s="1587">
        <f>F25</f>
        <v>100</v>
      </c>
      <c r="T25" s="1586" t="s">
        <v>8</v>
      </c>
      <c r="U25" s="1587">
        <f>H25</f>
        <v>101</v>
      </c>
      <c r="V25" s="1586" t="s">
        <v>8</v>
      </c>
      <c r="W25" s="1587">
        <f>J25</f>
        <v>100</v>
      </c>
      <c r="X25" s="1580"/>
      <c r="Y25" s="3272"/>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3722</v>
      </c>
      <c r="H26" s="542"/>
      <c r="I26" s="585" t="s">
        <v>3243</v>
      </c>
      <c r="J26" s="542"/>
      <c r="K26" s="899"/>
      <c r="L26" s="2161"/>
      <c r="M26" s="2153"/>
      <c r="N26" s="2153"/>
      <c r="O26" s="2153"/>
      <c r="P26" s="3272"/>
      <c r="Q26" s="1585"/>
      <c r="R26" s="1586"/>
      <c r="S26" s="1587"/>
      <c r="T26" s="1586"/>
      <c r="U26" s="1587"/>
      <c r="V26" s="1586"/>
      <c r="W26" s="1587"/>
      <c r="X26" s="1580"/>
      <c r="Y26" s="3272"/>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72"/>
      <c r="Q27" s="1585" t="str">
        <f t="shared" ref="Q27:Q47" si="11">B27</f>
        <v>楼层</v>
      </c>
      <c r="R27" s="1586" t="s">
        <v>8</v>
      </c>
      <c r="S27" s="1587">
        <f>F27</f>
        <v>100</v>
      </c>
      <c r="T27" s="1586" t="s">
        <v>8</v>
      </c>
      <c r="U27" s="1587">
        <f>H27</f>
        <v>100</v>
      </c>
      <c r="V27" s="1586" t="s">
        <v>8</v>
      </c>
      <c r="W27" s="1587">
        <f>J27</f>
        <v>100</v>
      </c>
      <c r="X27" s="1580"/>
      <c r="Y27" s="3272"/>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72"/>
      <c r="Q28" s="1150" t="str">
        <f t="shared" si="11"/>
        <v>朝向</v>
      </c>
      <c r="R28" s="1581" t="s">
        <v>8</v>
      </c>
      <c r="S28" s="1582">
        <f>F28</f>
        <v>100</v>
      </c>
      <c r="T28" s="1581" t="s">
        <v>8</v>
      </c>
      <c r="U28" s="1582">
        <f>H28</f>
        <v>100</v>
      </c>
      <c r="V28" s="1581" t="s">
        <v>8</v>
      </c>
      <c r="W28" s="1582">
        <f>J28</f>
        <v>100</v>
      </c>
      <c r="X28" s="1583"/>
      <c r="Y28" s="3272"/>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72"/>
      <c r="Q29" s="1585">
        <f t="shared" si="11"/>
        <v>111</v>
      </c>
      <c r="R29" s="1586" t="s">
        <v>8</v>
      </c>
      <c r="S29" s="1587">
        <f t="shared" ref="S29:S47" si="12">F29</f>
        <v>100</v>
      </c>
      <c r="T29" s="1586" t="s">
        <v>8</v>
      </c>
      <c r="U29" s="1587">
        <f t="shared" ref="U29:U47" si="13">H29</f>
        <v>100</v>
      </c>
      <c r="V29" s="1586" t="s">
        <v>8</v>
      </c>
      <c r="W29" s="1587">
        <f t="shared" ref="W29:W47" si="14">J29</f>
        <v>100</v>
      </c>
      <c r="X29" s="1580"/>
      <c r="Y29" s="3272"/>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72"/>
      <c r="Q30" s="1585">
        <f t="shared" si="11"/>
        <v>111</v>
      </c>
      <c r="R30" s="1586" t="s">
        <v>8</v>
      </c>
      <c r="S30" s="1587">
        <f t="shared" si="12"/>
        <v>100</v>
      </c>
      <c r="T30" s="1586" t="s">
        <v>8</v>
      </c>
      <c r="U30" s="1587">
        <f t="shared" si="13"/>
        <v>100</v>
      </c>
      <c r="V30" s="1586" t="s">
        <v>8</v>
      </c>
      <c r="W30" s="1587">
        <f t="shared" si="14"/>
        <v>100</v>
      </c>
      <c r="X30" s="1580"/>
      <c r="Y30" s="3272"/>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72"/>
      <c r="Q31" s="1585">
        <f t="shared" si="11"/>
        <v>111</v>
      </c>
      <c r="R31" s="1586" t="s">
        <v>8</v>
      </c>
      <c r="S31" s="1587">
        <f t="shared" si="12"/>
        <v>100</v>
      </c>
      <c r="T31" s="1586" t="s">
        <v>8</v>
      </c>
      <c r="U31" s="1587">
        <f t="shared" si="13"/>
        <v>100</v>
      </c>
      <c r="V31" s="1586" t="s">
        <v>8</v>
      </c>
      <c r="W31" s="1587">
        <f t="shared" si="14"/>
        <v>100</v>
      </c>
      <c r="X31" s="1580"/>
      <c r="Y31" s="3272"/>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72"/>
      <c r="Q32" s="1585">
        <f t="shared" si="11"/>
        <v>111</v>
      </c>
      <c r="R32" s="1586" t="s">
        <v>8</v>
      </c>
      <c r="S32" s="1587">
        <f t="shared" si="12"/>
        <v>100</v>
      </c>
      <c r="T32" s="1586" t="s">
        <v>8</v>
      </c>
      <c r="U32" s="1587">
        <f t="shared" si="13"/>
        <v>100</v>
      </c>
      <c r="V32" s="1586" t="s">
        <v>8</v>
      </c>
      <c r="W32" s="1587">
        <f t="shared" si="14"/>
        <v>100</v>
      </c>
      <c r="X32" s="1580"/>
      <c r="Y32" s="3272"/>
      <c r="Z32" s="1588">
        <f t="shared" si="15"/>
        <v>111</v>
      </c>
      <c r="AA32" s="1589">
        <f t="shared" si="3"/>
        <v>1</v>
      </c>
      <c r="AB32" s="1589">
        <f t="shared" si="4"/>
        <v>1</v>
      </c>
      <c r="AC32" s="1589">
        <f t="shared" si="5"/>
        <v>1</v>
      </c>
    </row>
    <row r="33" spans="1:29" ht="15">
      <c r="A33" s="2909" t="s">
        <v>3133</v>
      </c>
      <c r="B33" s="172" t="s">
        <v>985</v>
      </c>
      <c r="C33" s="916" t="s">
        <v>3711</v>
      </c>
      <c r="D33" s="597">
        <v>100</v>
      </c>
      <c r="E33" s="916" t="s">
        <v>3711</v>
      </c>
      <c r="F33" s="577">
        <f>SUMIF(101:101,E33,102:102)-SUMIF(101:101,C33,102:102)+100</f>
        <v>100</v>
      </c>
      <c r="G33" s="916" t="s">
        <v>3351</v>
      </c>
      <c r="H33" s="542">
        <f>SUMIF(101:101,G33,102:102)-SUMIF(101:101,C33,102:102)+100</f>
        <v>104</v>
      </c>
      <c r="I33" s="916" t="s">
        <v>3351</v>
      </c>
      <c r="J33" s="597">
        <f>SUMIF(101:101,I33,102:102)-SUMIF(101:101,C33,102:102)+100</f>
        <v>104</v>
      </c>
      <c r="K33" s="586">
        <v>2</v>
      </c>
      <c r="L33" s="2161"/>
      <c r="M33" s="2153"/>
      <c r="N33" s="2153"/>
      <c r="O33" s="2153"/>
      <c r="P33" s="3277" t="s">
        <v>591</v>
      </c>
      <c r="Q33" s="1585" t="str">
        <f t="shared" si="11"/>
        <v>建筑类型</v>
      </c>
      <c r="R33" s="1586" t="s">
        <v>8</v>
      </c>
      <c r="S33" s="1587">
        <f t="shared" si="12"/>
        <v>100</v>
      </c>
      <c r="T33" s="1586" t="s">
        <v>8</v>
      </c>
      <c r="U33" s="1587">
        <f t="shared" si="13"/>
        <v>104</v>
      </c>
      <c r="V33" s="1586" t="s">
        <v>8</v>
      </c>
      <c r="W33" s="1587">
        <f t="shared" si="14"/>
        <v>104</v>
      </c>
      <c r="X33" s="1580"/>
      <c r="Y33" s="3278"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76634</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78"/>
      <c r="Q34" s="1618" t="str">
        <f t="shared" si="11"/>
        <v>项目建筑规模</v>
      </c>
      <c r="R34" s="1590" t="s">
        <v>8</v>
      </c>
      <c r="S34" s="1591">
        <f t="shared" si="12"/>
        <v>100</v>
      </c>
      <c r="T34" s="1590" t="s">
        <v>8</v>
      </c>
      <c r="U34" s="1591">
        <f t="shared" si="13"/>
        <v>100</v>
      </c>
      <c r="V34" s="1590" t="s">
        <v>8</v>
      </c>
      <c r="W34" s="1591">
        <f t="shared" si="14"/>
        <v>100</v>
      </c>
      <c r="X34" s="1592"/>
      <c r="Y34" s="3278"/>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78"/>
      <c r="Q35" s="1585" t="str">
        <f t="shared" si="11"/>
        <v>建筑结构</v>
      </c>
      <c r="R35" s="1586" t="s">
        <v>8</v>
      </c>
      <c r="S35" s="1587">
        <f t="shared" si="12"/>
        <v>100</v>
      </c>
      <c r="T35" s="1586" t="s">
        <v>8</v>
      </c>
      <c r="U35" s="1587">
        <f t="shared" si="13"/>
        <v>100</v>
      </c>
      <c r="V35" s="1586" t="s">
        <v>8</v>
      </c>
      <c r="W35" s="1587">
        <f t="shared" si="14"/>
        <v>100</v>
      </c>
      <c r="X35" s="1580"/>
      <c r="Y35" s="3278"/>
      <c r="Z35" s="1588" t="str">
        <f t="shared" si="15"/>
        <v>建筑结构</v>
      </c>
      <c r="AA35" s="1589">
        <f t="shared" si="3"/>
        <v>1</v>
      </c>
      <c r="AB35" s="1589">
        <f t="shared" si="4"/>
        <v>1</v>
      </c>
      <c r="AC35" s="1589">
        <f t="shared" si="5"/>
        <v>1</v>
      </c>
    </row>
    <row r="36" spans="1:29" ht="15">
      <c r="A36" s="594"/>
      <c r="B36" s="530" t="s">
        <v>919</v>
      </c>
      <c r="C36" s="576" t="s">
        <v>3712</v>
      </c>
      <c r="D36" s="542">
        <v>100</v>
      </c>
      <c r="E36" s="576" t="s">
        <v>824</v>
      </c>
      <c r="F36" s="577">
        <f>SUMIF(108:108,E36,109:109)-SUMIF(108:108,C36,109:109)+100</f>
        <v>100</v>
      </c>
      <c r="G36" s="576" t="s">
        <v>3712</v>
      </c>
      <c r="H36" s="542">
        <f>SUMIF(108:108,G36,109:109)-SUMIF(108:108,C36,109:109)+100</f>
        <v>100</v>
      </c>
      <c r="I36" s="576" t="s">
        <v>3712</v>
      </c>
      <c r="J36" s="542">
        <f>SUMIF(108:108,I36,109:109)-SUMIF(108:108,C36,109:109)+100</f>
        <v>100</v>
      </c>
      <c r="K36" s="586">
        <v>2</v>
      </c>
      <c r="L36" s="2161"/>
      <c r="M36" s="2153"/>
      <c r="N36" s="2153"/>
      <c r="O36" s="2153"/>
      <c r="P36" s="3278"/>
      <c r="Q36" s="1585" t="str">
        <f t="shared" si="11"/>
        <v>公共部分装修</v>
      </c>
      <c r="R36" s="1586" t="s">
        <v>8</v>
      </c>
      <c r="S36" s="1587">
        <f t="shared" si="12"/>
        <v>100</v>
      </c>
      <c r="T36" s="1586" t="s">
        <v>8</v>
      </c>
      <c r="U36" s="1587">
        <f t="shared" si="13"/>
        <v>100</v>
      </c>
      <c r="V36" s="1586" t="s">
        <v>8</v>
      </c>
      <c r="W36" s="1587">
        <f t="shared" si="14"/>
        <v>100</v>
      </c>
      <c r="X36" s="1580"/>
      <c r="Y36" s="3278"/>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78"/>
      <c r="Q37" s="1585" t="str">
        <f t="shared" si="11"/>
        <v>成新度</v>
      </c>
      <c r="R37" s="1586" t="s">
        <v>8</v>
      </c>
      <c r="S37" s="1587">
        <f t="shared" si="12"/>
        <v>100</v>
      </c>
      <c r="T37" s="1586" t="s">
        <v>8</v>
      </c>
      <c r="U37" s="1587">
        <f t="shared" si="13"/>
        <v>100</v>
      </c>
      <c r="V37" s="1586" t="s">
        <v>8</v>
      </c>
      <c r="W37" s="1587">
        <f t="shared" si="14"/>
        <v>100</v>
      </c>
      <c r="X37" s="1580"/>
      <c r="Y37" s="3278"/>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78"/>
      <c r="Q38" s="1150" t="str">
        <f t="shared" si="11"/>
        <v>写字楼等级</v>
      </c>
      <c r="R38" s="1581" t="s">
        <v>8</v>
      </c>
      <c r="S38" s="1582">
        <f t="shared" si="12"/>
        <v>100</v>
      </c>
      <c r="T38" s="1581" t="s">
        <v>8</v>
      </c>
      <c r="U38" s="1582">
        <f t="shared" si="13"/>
        <v>100</v>
      </c>
      <c r="V38" s="1581" t="s">
        <v>8</v>
      </c>
      <c r="W38" s="1582">
        <f t="shared" si="14"/>
        <v>100</v>
      </c>
      <c r="X38" s="1583"/>
      <c r="Y38" s="3278"/>
      <c r="Z38" s="1149" t="str">
        <f t="shared" si="15"/>
        <v>写字楼等级</v>
      </c>
      <c r="AA38" s="1584">
        <f t="shared" si="3"/>
        <v>1</v>
      </c>
      <c r="AB38" s="1584">
        <f t="shared" si="4"/>
        <v>1</v>
      </c>
      <c r="AC38" s="1584">
        <f t="shared" si="5"/>
        <v>1</v>
      </c>
    </row>
    <row r="39" spans="1:29" ht="15">
      <c r="A39" s="594"/>
      <c r="B39" s="530" t="s">
        <v>990</v>
      </c>
      <c r="C39" s="576" t="s">
        <v>827</v>
      </c>
      <c r="D39" s="542">
        <v>100</v>
      </c>
      <c r="E39" s="576" t="s">
        <v>3717</v>
      </c>
      <c r="F39" s="577">
        <f>SUMIF(115:115,E39,116:116)-SUMIF(115:115,C39,116:116)+100</f>
        <v>100</v>
      </c>
      <c r="G39" s="576" t="s">
        <v>827</v>
      </c>
      <c r="H39" s="542">
        <f>SUMIF(115:115,G39,116:116)-SUMIF(115:115,C39,116:116)+100</f>
        <v>100</v>
      </c>
      <c r="I39" s="576" t="s">
        <v>3717</v>
      </c>
      <c r="J39" s="542">
        <f>SUMIF(115:115,I39,116:116)-SUMIF(115:115,C39,116:116)+100</f>
        <v>100</v>
      </c>
      <c r="K39" s="586">
        <v>3</v>
      </c>
      <c r="L39" s="2161"/>
      <c r="M39" s="2153"/>
      <c r="N39" s="2153"/>
      <c r="O39" s="2153"/>
      <c r="P39" s="3278" t="s">
        <v>591</v>
      </c>
      <c r="Q39" s="1585" t="str">
        <f t="shared" si="11"/>
        <v>物业管理</v>
      </c>
      <c r="R39" s="1586" t="s">
        <v>8</v>
      </c>
      <c r="S39" s="1587">
        <f t="shared" si="12"/>
        <v>100</v>
      </c>
      <c r="T39" s="1586" t="s">
        <v>8</v>
      </c>
      <c r="U39" s="1587">
        <f t="shared" si="13"/>
        <v>100</v>
      </c>
      <c r="V39" s="1586" t="s">
        <v>8</v>
      </c>
      <c r="W39" s="1587">
        <f t="shared" si="14"/>
        <v>100</v>
      </c>
      <c r="X39" s="1580"/>
      <c r="Y39" s="3278" t="s">
        <v>591</v>
      </c>
      <c r="Z39" s="1588" t="str">
        <f t="shared" si="15"/>
        <v>物业管理</v>
      </c>
      <c r="AA39" s="1589">
        <f t="shared" si="3"/>
        <v>1</v>
      </c>
      <c r="AB39" s="1589">
        <f t="shared" si="4"/>
        <v>1</v>
      </c>
      <c r="AC39" s="1589">
        <f t="shared" si="5"/>
        <v>1</v>
      </c>
    </row>
    <row r="40" spans="1:29" ht="15">
      <c r="A40" s="594"/>
      <c r="B40" s="1907" t="s">
        <v>2927</v>
      </c>
      <c r="C40" s="576" t="s">
        <v>2677</v>
      </c>
      <c r="D40" s="542">
        <v>100</v>
      </c>
      <c r="E40" s="576" t="s">
        <v>2678</v>
      </c>
      <c r="F40" s="577">
        <f>SUMIF(117:117,E40,118:118)-SUMIF(117:117,C40,118:118)+100</f>
        <v>99</v>
      </c>
      <c r="G40" s="576" t="s">
        <v>924</v>
      </c>
      <c r="H40" s="542">
        <f>SUMIF(117:117,G40,118:118)-SUMIF(117:117,C40,118:118)+100</f>
        <v>99</v>
      </c>
      <c r="I40" s="576" t="s">
        <v>2678</v>
      </c>
      <c r="J40" s="542">
        <f>SUMIF(117:117,I40,118:118)-SUMIF(117:117,C40,118:118)+100</f>
        <v>99</v>
      </c>
      <c r="K40" s="586">
        <v>1</v>
      </c>
      <c r="L40" s="2161"/>
      <c r="M40" s="2153"/>
      <c r="N40" s="2153"/>
      <c r="O40" s="2153"/>
      <c r="P40" s="3278"/>
      <c r="Q40" s="1585" t="str">
        <f t="shared" si="11"/>
        <v>市政基础设施</v>
      </c>
      <c r="R40" s="1586" t="s">
        <v>8</v>
      </c>
      <c r="S40" s="1587">
        <f t="shared" si="12"/>
        <v>99</v>
      </c>
      <c r="T40" s="1586" t="s">
        <v>8</v>
      </c>
      <c r="U40" s="1587">
        <f t="shared" si="13"/>
        <v>99</v>
      </c>
      <c r="V40" s="1586" t="s">
        <v>8</v>
      </c>
      <c r="W40" s="1587">
        <f t="shared" si="14"/>
        <v>99</v>
      </c>
      <c r="X40" s="1580"/>
      <c r="Y40" s="3278"/>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3718</v>
      </c>
      <c r="F41" s="577">
        <f>SUMIF(119:119,E41,120:120)-SUMIF(119:119,C41,120:120)+100</f>
        <v>100</v>
      </c>
      <c r="G41" s="585" t="s">
        <v>3718</v>
      </c>
      <c r="H41" s="542">
        <f>SUMIF(119:119,G41,120:120)-SUMIF(119:119,C41,120:120)+100</f>
        <v>100</v>
      </c>
      <c r="I41" s="585" t="s">
        <v>931</v>
      </c>
      <c r="J41" s="542">
        <f>SUMIF(119:119,I41,120:120)-SUMIF(119:119,C41,120:120)+100</f>
        <v>100</v>
      </c>
      <c r="K41" s="586">
        <v>5</v>
      </c>
      <c r="L41" s="2161"/>
      <c r="M41" s="2153"/>
      <c r="N41" s="2153"/>
      <c r="O41" s="2153"/>
      <c r="P41" s="3278"/>
      <c r="Q41" s="1585" t="str">
        <f t="shared" si="11"/>
        <v>层高</v>
      </c>
      <c r="R41" s="1586" t="s">
        <v>8</v>
      </c>
      <c r="S41" s="1587">
        <f t="shared" si="12"/>
        <v>100</v>
      </c>
      <c r="T41" s="1586" t="s">
        <v>8</v>
      </c>
      <c r="U41" s="1587">
        <f t="shared" si="13"/>
        <v>100</v>
      </c>
      <c r="V41" s="1586" t="s">
        <v>8</v>
      </c>
      <c r="W41" s="1587">
        <f t="shared" si="14"/>
        <v>100</v>
      </c>
      <c r="X41" s="1580"/>
      <c r="Y41" s="3278"/>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78"/>
      <c r="Q42" s="1618" t="str">
        <f t="shared" si="11"/>
        <v>单套建筑面积</v>
      </c>
      <c r="R42" s="1590" t="s">
        <v>8</v>
      </c>
      <c r="S42" s="1591">
        <f t="shared" si="12"/>
        <v>100</v>
      </c>
      <c r="T42" s="1590" t="s">
        <v>8</v>
      </c>
      <c r="U42" s="1591">
        <f t="shared" si="13"/>
        <v>100</v>
      </c>
      <c r="V42" s="1590" t="s">
        <v>8</v>
      </c>
      <c r="W42" s="1591">
        <f t="shared" si="14"/>
        <v>100</v>
      </c>
      <c r="X42" s="1592"/>
      <c r="Y42" s="3278"/>
      <c r="Z42" s="1593" t="str">
        <f t="shared" si="15"/>
        <v>单套建筑面积</v>
      </c>
      <c r="AA42" s="1589">
        <f t="shared" si="3"/>
        <v>1</v>
      </c>
      <c r="AB42" s="1589">
        <f t="shared" si="4"/>
        <v>1</v>
      </c>
      <c r="AC42" s="1589">
        <f t="shared" si="5"/>
        <v>1</v>
      </c>
    </row>
    <row r="43" spans="1:29" ht="15">
      <c r="A43" s="594"/>
      <c r="B43" s="530" t="s">
        <v>938</v>
      </c>
      <c r="C43" s="576" t="s">
        <v>3713</v>
      </c>
      <c r="D43" s="542">
        <v>100</v>
      </c>
      <c r="E43" s="576" t="s">
        <v>3713</v>
      </c>
      <c r="F43" s="577">
        <f>SUMIF(123:123,E43,124:124)-SUMIF(123:123,C43,124:124)+100</f>
        <v>100</v>
      </c>
      <c r="G43" s="576" t="s">
        <v>3713</v>
      </c>
      <c r="H43" s="542">
        <f>SUMIF(123:123,G43,124:124)-SUMIF(123:123,C43,124:124)+100</f>
        <v>100</v>
      </c>
      <c r="I43" s="576" t="s">
        <v>833</v>
      </c>
      <c r="J43" s="542">
        <f>SUMIF(123:123,I43,124:124)-SUMIF(123:123,C43,124:124)+100</f>
        <v>100</v>
      </c>
      <c r="K43" s="586">
        <v>2</v>
      </c>
      <c r="L43" s="2161"/>
      <c r="M43" s="2153"/>
      <c r="N43" s="2153"/>
      <c r="O43" s="2153"/>
      <c r="P43" s="3278"/>
      <c r="Q43" s="1585" t="str">
        <f t="shared" si="11"/>
        <v>内部装修</v>
      </c>
      <c r="R43" s="1586" t="s">
        <v>8</v>
      </c>
      <c r="S43" s="1587">
        <f t="shared" si="12"/>
        <v>100</v>
      </c>
      <c r="T43" s="1586" t="s">
        <v>8</v>
      </c>
      <c r="U43" s="1587">
        <f t="shared" si="13"/>
        <v>100</v>
      </c>
      <c r="V43" s="1586" t="s">
        <v>8</v>
      </c>
      <c r="W43" s="1587">
        <f t="shared" si="14"/>
        <v>100</v>
      </c>
      <c r="X43" s="1580"/>
      <c r="Y43" s="3278"/>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78"/>
      <c r="Q44" s="1585" t="str">
        <f t="shared" si="11"/>
        <v>内部装修维护情况</v>
      </c>
      <c r="R44" s="1586" t="s">
        <v>8</v>
      </c>
      <c r="S44" s="1587">
        <f t="shared" si="12"/>
        <v>100</v>
      </c>
      <c r="T44" s="1586" t="s">
        <v>8</v>
      </c>
      <c r="U44" s="1587">
        <f t="shared" si="13"/>
        <v>100</v>
      </c>
      <c r="V44" s="1586" t="s">
        <v>8</v>
      </c>
      <c r="W44" s="1587">
        <f t="shared" si="14"/>
        <v>100</v>
      </c>
      <c r="X44" s="1580"/>
      <c r="Y44" s="3278"/>
      <c r="Z44" s="1588" t="str">
        <f t="shared" si="15"/>
        <v>内部装修维护情况</v>
      </c>
      <c r="AA44" s="1589">
        <f t="shared" si="3"/>
        <v>1</v>
      </c>
      <c r="AB44" s="1589">
        <f t="shared" si="4"/>
        <v>1</v>
      </c>
      <c r="AC44" s="1589">
        <f t="shared" si="5"/>
        <v>1</v>
      </c>
    </row>
    <row r="45" spans="1:29" s="1219" customFormat="1" ht="15">
      <c r="A45" s="600"/>
      <c r="B45" s="3185" t="s">
        <v>3355</v>
      </c>
      <c r="C45" s="880" t="s">
        <v>835</v>
      </c>
      <c r="D45" s="257">
        <v>100</v>
      </c>
      <c r="E45" s="3195" t="s">
        <v>3715</v>
      </c>
      <c r="F45" s="863">
        <f>SUMIF(127:127,E45,128:128)-SUMIF(127:127,C45,128:128)+100</f>
        <v>90</v>
      </c>
      <c r="G45" s="3195" t="s">
        <v>3714</v>
      </c>
      <c r="H45" s="257">
        <f>SUMIF(127:127,G45,128:128)-SUMIF(127:127,C45,128:128)+100</f>
        <v>100</v>
      </c>
      <c r="I45" s="3195" t="s">
        <v>3714</v>
      </c>
      <c r="J45" s="257">
        <f>SUMIF(127:127,I45,128:128)-SUMIF(127:127,C45,128:128)+100</f>
        <v>100</v>
      </c>
      <c r="K45" s="583"/>
      <c r="L45" s="2154"/>
      <c r="M45" s="2155"/>
      <c r="N45" s="2155"/>
      <c r="O45" s="2155"/>
      <c r="P45" s="3278"/>
      <c r="Q45" s="1150" t="str">
        <f t="shared" si="11"/>
        <v>是否尾盘</v>
      </c>
      <c r="R45" s="1581" t="s">
        <v>8</v>
      </c>
      <c r="S45" s="1582">
        <f t="shared" si="12"/>
        <v>90</v>
      </c>
      <c r="T45" s="1581" t="s">
        <v>8</v>
      </c>
      <c r="U45" s="1582">
        <f t="shared" si="13"/>
        <v>100</v>
      </c>
      <c r="V45" s="1581" t="s">
        <v>8</v>
      </c>
      <c r="W45" s="1582">
        <f t="shared" si="14"/>
        <v>100</v>
      </c>
      <c r="X45" s="1583"/>
      <c r="Y45" s="3278"/>
      <c r="Z45" s="1149" t="str">
        <f t="shared" si="15"/>
        <v>是否尾盘</v>
      </c>
      <c r="AA45" s="1584">
        <f t="shared" si="3"/>
        <v>1.1111111111111112</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78"/>
      <c r="Q46" s="1585">
        <f t="shared" si="11"/>
        <v>0</v>
      </c>
      <c r="R46" s="1586" t="s">
        <v>8</v>
      </c>
      <c r="S46" s="1587">
        <f t="shared" si="12"/>
        <v>100</v>
      </c>
      <c r="T46" s="1586" t="s">
        <v>8</v>
      </c>
      <c r="U46" s="1587">
        <f t="shared" si="13"/>
        <v>100</v>
      </c>
      <c r="V46" s="1586" t="s">
        <v>8</v>
      </c>
      <c r="W46" s="1587">
        <f t="shared" si="14"/>
        <v>100</v>
      </c>
      <c r="X46" s="1580"/>
      <c r="Y46" s="3278"/>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86"/>
      <c r="Q47" s="1585">
        <f t="shared" si="11"/>
        <v>0</v>
      </c>
      <c r="R47" s="1586" t="s">
        <v>8</v>
      </c>
      <c r="S47" s="1587">
        <f t="shared" si="12"/>
        <v>100</v>
      </c>
      <c r="T47" s="1586" t="s">
        <v>8</v>
      </c>
      <c r="U47" s="1587">
        <f t="shared" si="13"/>
        <v>100</v>
      </c>
      <c r="V47" s="1586" t="s">
        <v>8</v>
      </c>
      <c r="W47" s="1587">
        <f t="shared" si="14"/>
        <v>100</v>
      </c>
      <c r="X47" s="1580"/>
      <c r="Y47" s="3486"/>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75" t="str">
        <f>A48</f>
        <v>成交单价（元/平方米）</v>
      </c>
      <c r="Q48" s="3269"/>
      <c r="R48" s="3485">
        <f>E48</f>
        <v>12000</v>
      </c>
      <c r="S48" s="3485"/>
      <c r="T48" s="3485">
        <f>G48</f>
        <v>12500</v>
      </c>
      <c r="U48" s="3485"/>
      <c r="V48" s="3485">
        <f>I48</f>
        <v>13000</v>
      </c>
      <c r="W48" s="3485"/>
      <c r="X48" s="1572"/>
      <c r="Y48" s="1594"/>
      <c r="Z48" s="1572"/>
      <c r="AA48" s="1572"/>
      <c r="AB48" s="1572"/>
      <c r="AC48" s="1572"/>
    </row>
    <row r="49" spans="1:29" ht="15.75" thickBot="1">
      <c r="A49" s="615" t="s">
        <v>3138</v>
      </c>
      <c r="B49" s="888"/>
      <c r="C49" s="2687">
        <f>R50</f>
        <v>12610</v>
      </c>
      <c r="D49" s="2688"/>
      <c r="E49" s="2689">
        <f>R49</f>
        <v>13343</v>
      </c>
      <c r="F49" s="2689"/>
      <c r="G49" s="2687">
        <f>T49</f>
        <v>11730</v>
      </c>
      <c r="H49" s="2688"/>
      <c r="I49" s="2689">
        <f>V49</f>
        <v>12756</v>
      </c>
      <c r="J49" s="2688"/>
      <c r="K49" s="1625"/>
      <c r="L49" s="2163"/>
      <c r="M49" s="2153"/>
      <c r="N49" s="2153"/>
      <c r="O49" s="2153"/>
      <c r="P49" s="3275" t="str">
        <f>A49</f>
        <v>比较价格（元/平方米）</v>
      </c>
      <c r="Q49" s="3269"/>
      <c r="R49" s="3485">
        <f>IF(F1="售价",ROUND(PRODUCT(R48,AA7:AA47),0),ROUND(PRODUCT(R48,AA7:AA47),1))</f>
        <v>13343</v>
      </c>
      <c r="S49" s="3485"/>
      <c r="T49" s="3485">
        <f>IF(F1="售价",ROUND(PRODUCT(T48,AB7:AB47),0),ROUND(PRODUCT(T48,AB7:AB47),1))</f>
        <v>11730</v>
      </c>
      <c r="U49" s="3485"/>
      <c r="V49" s="3485">
        <f>IF(F1="售价",ROUND(PRODUCT(V48,AC7:AC47),0),ROUND(PRODUCT(V48,AC7:AC47),1))</f>
        <v>12756</v>
      </c>
      <c r="W49" s="3485"/>
      <c r="X49" s="1572"/>
      <c r="Y49" s="1572"/>
      <c r="Z49" s="1572"/>
      <c r="AA49" s="1572"/>
      <c r="AB49" s="1572"/>
      <c r="AC49" s="1572"/>
    </row>
    <row r="50" spans="1:29" ht="15.75" thickBot="1">
      <c r="A50" s="621" t="s">
        <v>3139</v>
      </c>
      <c r="B50" s="622"/>
      <c r="C50" s="2690">
        <f>R50</f>
        <v>12610</v>
      </c>
      <c r="D50" s="2690"/>
      <c r="E50" s="2690"/>
      <c r="F50" s="2690"/>
      <c r="G50" s="2690"/>
      <c r="H50" s="2690"/>
      <c r="I50" s="2690"/>
      <c r="J50" s="2690"/>
      <c r="K50" s="1626"/>
      <c r="L50" s="2163"/>
      <c r="M50" s="2153"/>
      <c r="N50" s="2153"/>
      <c r="O50" s="2153"/>
      <c r="P50" s="3490" t="str">
        <f>A50</f>
        <v>估价对象XX用房的比较价格（楼面单价，元/平方米）</v>
      </c>
      <c r="Q50" s="3275"/>
      <c r="R50" s="3484">
        <f>IF(F1="售价",ROUND(AVERAGE(R49:V49),0),ROUND(AVERAGE(R49:V49),1))</f>
        <v>12610</v>
      </c>
      <c r="S50" s="3484"/>
      <c r="T50" s="3484"/>
      <c r="U50" s="3484"/>
      <c r="V50" s="3484"/>
      <c r="W50" s="3484"/>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0.11191666666666666</v>
      </c>
      <c r="F53" s="627" t="str">
        <f>IF(OR(E53&gt;=0.3,E53&lt;=-0.3),"超过30%","")</f>
        <v/>
      </c>
      <c r="G53" s="626">
        <f>IF(G48&lt;G49,G49/G48-1,G48/G49-1)</f>
        <v>6.5643648763853424E-2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0.13751065643648763</v>
      </c>
      <c r="F54" s="627" t="str">
        <f>IF(OR(E54&gt;=0.2,E54&lt;=-0.2),"超过20%","")</f>
        <v/>
      </c>
      <c r="G54" s="626">
        <f>IF(G49&lt;I49,I49/G49-1,G49/I49-1)</f>
        <v>8.7468030690537102E-2</v>
      </c>
      <c r="H54" s="627" t="str">
        <f>IF(OR(G54&gt;=0.2,G54&lt;=-0.2),"超过20%","")</f>
        <v/>
      </c>
      <c r="I54" s="626">
        <f>IF(I49&lt;E49,E49/I49-1,I49/E49-1)</f>
        <v>4.6017560363750487E-2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98</v>
      </c>
      <c r="E60" s="650">
        <v>96</v>
      </c>
      <c r="F60" s="650">
        <v>94</v>
      </c>
      <c r="G60" s="650">
        <v>92</v>
      </c>
      <c r="H60" s="650">
        <v>90</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3" t="s">
        <v>3728</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98.5</v>
      </c>
      <c r="E78" s="679">
        <f>D78-$K15</f>
        <v>97</v>
      </c>
      <c r="F78" s="679">
        <f>E78-$K15</f>
        <v>95.5</v>
      </c>
      <c r="G78" s="679">
        <f>F78-$K15</f>
        <v>94</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99</v>
      </c>
      <c r="E82" s="679">
        <f>D82-$K19</f>
        <v>98</v>
      </c>
      <c r="F82" s="679">
        <f>E82-$K19</f>
        <v>97</v>
      </c>
      <c r="G82" s="679">
        <f>F82-$K19</f>
        <v>96</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99</v>
      </c>
      <c r="E86" s="679">
        <f>D86-$K23</f>
        <v>98</v>
      </c>
      <c r="F86" s="679">
        <f>E86-$K23</f>
        <v>97</v>
      </c>
      <c r="G86" s="679">
        <f>F86-$K23</f>
        <v>96</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4" t="s">
        <v>3714</v>
      </c>
      <c r="D127" s="3194" t="s">
        <v>3715</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90</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2636</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45" t="s">
        <v>551</v>
      </c>
      <c r="D4" s="3246"/>
      <c r="E4" s="3416" t="s">
        <v>552</v>
      </c>
      <c r="F4" s="3417"/>
      <c r="G4" s="3245" t="s">
        <v>553</v>
      </c>
      <c r="H4" s="3246"/>
      <c r="I4" s="3245" t="s">
        <v>554</v>
      </c>
      <c r="J4" s="3246"/>
      <c r="K4" s="517" t="s">
        <v>555</v>
      </c>
      <c r="L4" s="2152"/>
      <c r="M4" s="2153"/>
      <c r="N4" s="2153"/>
      <c r="O4" s="2153"/>
      <c r="P4" s="3247" t="s">
        <v>556</v>
      </c>
      <c r="Q4" s="3248"/>
      <c r="R4" s="3253" t="s">
        <v>552</v>
      </c>
      <c r="S4" s="3254"/>
      <c r="T4" s="3253" t="s">
        <v>553</v>
      </c>
      <c r="U4" s="3254"/>
      <c r="V4" s="3265" t="s">
        <v>554</v>
      </c>
      <c r="W4" s="3265"/>
      <c r="X4" s="1580"/>
      <c r="Y4" s="3253" t="s">
        <v>556</v>
      </c>
      <c r="Z4" s="3254"/>
      <c r="AA4" s="3242" t="s">
        <v>552</v>
      </c>
      <c r="AB4" s="3243" t="s">
        <v>553</v>
      </c>
      <c r="AC4" s="3242" t="s">
        <v>554</v>
      </c>
    </row>
    <row r="5" spans="1:29" ht="15">
      <c r="A5" s="518"/>
      <c r="B5" s="519"/>
      <c r="C5" s="3420" t="s">
        <v>557</v>
      </c>
      <c r="D5" s="3258"/>
      <c r="E5" s="3418" t="s">
        <v>558</v>
      </c>
      <c r="F5" s="3419"/>
      <c r="G5" s="3420" t="s">
        <v>559</v>
      </c>
      <c r="H5" s="3258"/>
      <c r="I5" s="3420" t="s">
        <v>560</v>
      </c>
      <c r="J5" s="3258"/>
      <c r="K5" s="517"/>
      <c r="L5" s="2152"/>
      <c r="M5" s="2153"/>
      <c r="N5" s="2153"/>
      <c r="O5" s="2153"/>
      <c r="P5" s="3249"/>
      <c r="Q5" s="3250"/>
      <c r="R5" s="3255"/>
      <c r="S5" s="3256"/>
      <c r="T5" s="3255"/>
      <c r="U5" s="3256"/>
      <c r="V5" s="3265"/>
      <c r="W5" s="3265"/>
      <c r="X5" s="1580"/>
      <c r="Y5" s="3255"/>
      <c r="Z5" s="3256"/>
      <c r="AA5" s="3243"/>
      <c r="AB5" s="3243"/>
      <c r="AC5" s="3243"/>
    </row>
    <row r="6" spans="1:29" ht="15.75" thickBot="1">
      <c r="A6" s="520"/>
      <c r="B6" s="521"/>
      <c r="C6" s="3421" t="s">
        <v>561</v>
      </c>
      <c r="D6" s="3262"/>
      <c r="E6" s="3422" t="s">
        <v>561</v>
      </c>
      <c r="F6" s="3423"/>
      <c r="G6" s="3421" t="s">
        <v>561</v>
      </c>
      <c r="H6" s="3262"/>
      <c r="I6" s="3421" t="s">
        <v>561</v>
      </c>
      <c r="J6" s="3262"/>
      <c r="K6" s="517" t="s">
        <v>562</v>
      </c>
      <c r="L6" s="2152"/>
      <c r="M6" s="2153"/>
      <c r="N6" s="2153"/>
      <c r="O6" s="2153"/>
      <c r="P6" s="3251"/>
      <c r="Q6" s="3252"/>
      <c r="R6" s="3255"/>
      <c r="S6" s="3256"/>
      <c r="T6" s="3263"/>
      <c r="U6" s="3264"/>
      <c r="V6" s="3265"/>
      <c r="W6" s="3265"/>
      <c r="X6" s="1580"/>
      <c r="Y6" s="3263"/>
      <c r="Z6" s="3264"/>
      <c r="AA6" s="3244"/>
      <c r="AB6" s="3244"/>
      <c r="AC6" s="3244"/>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66" t="s">
        <v>564</v>
      </c>
      <c r="Q7" s="3267"/>
      <c r="R7" s="1581" t="s">
        <v>8</v>
      </c>
      <c r="S7" s="1582">
        <f t="shared" ref="S7:S15" si="0">F7</f>
        <v>0</v>
      </c>
      <c r="T7" s="1581" t="s">
        <v>8</v>
      </c>
      <c r="U7" s="1582">
        <f t="shared" ref="U7:U15" si="1">H7</f>
        <v>0</v>
      </c>
      <c r="V7" s="1581" t="s">
        <v>8</v>
      </c>
      <c r="W7" s="1582">
        <f t="shared" ref="W7:W15" si="2">J7</f>
        <v>0</v>
      </c>
      <c r="X7" s="1583"/>
      <c r="Y7" s="3266" t="s">
        <v>564</v>
      </c>
      <c r="Z7" s="3268"/>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66" t="s">
        <v>567</v>
      </c>
      <c r="Q8" s="3268"/>
      <c r="R8" s="1581" t="s">
        <v>8</v>
      </c>
      <c r="S8" s="1582">
        <f t="shared" si="0"/>
        <v>100</v>
      </c>
      <c r="T8" s="1581" t="s">
        <v>8</v>
      </c>
      <c r="U8" s="1582">
        <f t="shared" si="1"/>
        <v>98</v>
      </c>
      <c r="V8" s="1581" t="s">
        <v>8</v>
      </c>
      <c r="W8" s="1582">
        <f t="shared" si="2"/>
        <v>100</v>
      </c>
      <c r="X8" s="1583"/>
      <c r="Y8" s="3266" t="s">
        <v>567</v>
      </c>
      <c r="Z8" s="3268"/>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69" t="s">
        <v>569</v>
      </c>
      <c r="Q9" s="1150" t="str">
        <f t="shared" ref="Q9:Q15" si="6">B9</f>
        <v>用途</v>
      </c>
      <c r="R9" s="1581" t="s">
        <v>8</v>
      </c>
      <c r="S9" s="1582">
        <f t="shared" si="0"/>
        <v>100</v>
      </c>
      <c r="T9" s="1581" t="s">
        <v>8</v>
      </c>
      <c r="U9" s="1582">
        <f t="shared" si="1"/>
        <v>100</v>
      </c>
      <c r="V9" s="1581" t="s">
        <v>8</v>
      </c>
      <c r="W9" s="1582">
        <f t="shared" si="2"/>
        <v>105</v>
      </c>
      <c r="X9" s="1583"/>
      <c r="Y9" s="3270"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69"/>
      <c r="Q10" s="1150" t="str">
        <f t="shared" si="6"/>
        <v>土地使用年限（年）</v>
      </c>
      <c r="R10" s="1581" t="s">
        <v>8</v>
      </c>
      <c r="S10" s="1582">
        <f t="shared" si="0"/>
        <v>98</v>
      </c>
      <c r="T10" s="1581" t="s">
        <v>8</v>
      </c>
      <c r="U10" s="1582">
        <f t="shared" si="1"/>
        <v>96</v>
      </c>
      <c r="V10" s="1581" t="s">
        <v>8</v>
      </c>
      <c r="W10" s="1582">
        <f t="shared" si="2"/>
        <v>94</v>
      </c>
      <c r="X10" s="1583"/>
      <c r="Y10" s="3270"/>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69"/>
      <c r="Q11" s="1150" t="str">
        <f t="shared" si="6"/>
        <v>容积率</v>
      </c>
      <c r="R11" s="1581" t="s">
        <v>8</v>
      </c>
      <c r="S11" s="1582">
        <f t="shared" si="0"/>
        <v>97</v>
      </c>
      <c r="T11" s="1581" t="s">
        <v>8</v>
      </c>
      <c r="U11" s="1582">
        <f t="shared" si="1"/>
        <v>94</v>
      </c>
      <c r="V11" s="1581" t="s">
        <v>8</v>
      </c>
      <c r="W11" s="1582">
        <f t="shared" si="2"/>
        <v>91</v>
      </c>
      <c r="X11" s="1583"/>
      <c r="Y11" s="3270"/>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69"/>
      <c r="Q12" s="1150">
        <f t="shared" si="6"/>
        <v>111</v>
      </c>
      <c r="R12" s="1581" t="s">
        <v>8</v>
      </c>
      <c r="S12" s="1582">
        <f t="shared" si="0"/>
        <v>95</v>
      </c>
      <c r="T12" s="1581" t="s">
        <v>8</v>
      </c>
      <c r="U12" s="1582">
        <f t="shared" si="1"/>
        <v>90</v>
      </c>
      <c r="V12" s="1581" t="s">
        <v>8</v>
      </c>
      <c r="W12" s="1582">
        <f t="shared" si="2"/>
        <v>85</v>
      </c>
      <c r="X12" s="1583"/>
      <c r="Y12" s="3270"/>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69"/>
      <c r="Q13" s="1150">
        <f t="shared" si="6"/>
        <v>111</v>
      </c>
      <c r="R13" s="1581" t="s">
        <v>8</v>
      </c>
      <c r="S13" s="1582">
        <f t="shared" si="0"/>
        <v>95</v>
      </c>
      <c r="T13" s="1581" t="s">
        <v>8</v>
      </c>
      <c r="U13" s="1582">
        <f t="shared" si="1"/>
        <v>90</v>
      </c>
      <c r="V13" s="1581" t="s">
        <v>8</v>
      </c>
      <c r="W13" s="1582">
        <f t="shared" si="2"/>
        <v>85</v>
      </c>
      <c r="X13" s="1583"/>
      <c r="Y13" s="3270"/>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69"/>
      <c r="Q14" s="1150">
        <f t="shared" si="6"/>
        <v>111</v>
      </c>
      <c r="R14" s="1581" t="s">
        <v>8</v>
      </c>
      <c r="S14" s="1582">
        <f t="shared" si="0"/>
        <v>98</v>
      </c>
      <c r="T14" s="1581" t="s">
        <v>8</v>
      </c>
      <c r="U14" s="1582">
        <f t="shared" si="1"/>
        <v>96</v>
      </c>
      <c r="V14" s="1581" t="s">
        <v>8</v>
      </c>
      <c r="W14" s="1582">
        <f t="shared" si="2"/>
        <v>94</v>
      </c>
      <c r="X14" s="1583"/>
      <c r="Y14" s="3270"/>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71" t="s">
        <v>575</v>
      </c>
      <c r="Q15" s="1585" t="str">
        <f t="shared" si="6"/>
        <v>产业集聚程度</v>
      </c>
      <c r="R15" s="1586" t="s">
        <v>8</v>
      </c>
      <c r="S15" s="1587">
        <f t="shared" si="0"/>
        <v>100</v>
      </c>
      <c r="T15" s="1586" t="s">
        <v>8</v>
      </c>
      <c r="U15" s="1587">
        <f t="shared" si="1"/>
        <v>100</v>
      </c>
      <c r="V15" s="1586" t="s">
        <v>8</v>
      </c>
      <c r="W15" s="1587">
        <f t="shared" si="2"/>
        <v>100</v>
      </c>
      <c r="X15" s="1580"/>
      <c r="Y15" s="3271"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72"/>
      <c r="Q16" s="1585"/>
      <c r="R16" s="1586"/>
      <c r="S16" s="1587"/>
      <c r="T16" s="1586"/>
      <c r="U16" s="1587"/>
      <c r="V16" s="1586"/>
      <c r="W16" s="1587"/>
      <c r="X16" s="1580"/>
      <c r="Y16" s="3272"/>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72"/>
      <c r="Q17" s="1585" t="str">
        <f>B17</f>
        <v>交通便捷度</v>
      </c>
      <c r="R17" s="1586" t="s">
        <v>8</v>
      </c>
      <c r="S17" s="1587">
        <f>F17</f>
        <v>97</v>
      </c>
      <c r="T17" s="1586" t="s">
        <v>8</v>
      </c>
      <c r="U17" s="1587">
        <f>H17</f>
        <v>106</v>
      </c>
      <c r="V17" s="1586" t="s">
        <v>8</v>
      </c>
      <c r="W17" s="1587">
        <f>J17</f>
        <v>97</v>
      </c>
      <c r="X17" s="1580"/>
      <c r="Y17" s="3272"/>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72"/>
      <c r="Q18" s="1585"/>
      <c r="R18" s="1586"/>
      <c r="S18" s="1587"/>
      <c r="T18" s="1586"/>
      <c r="U18" s="1587"/>
      <c r="V18" s="1586"/>
      <c r="W18" s="1587"/>
      <c r="X18" s="1580"/>
      <c r="Y18" s="3272"/>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72"/>
      <c r="Q19" s="1585" t="str">
        <f>B19</f>
        <v>公共配套设施</v>
      </c>
      <c r="R19" s="1586" t="s">
        <v>8</v>
      </c>
      <c r="S19" s="1587">
        <f>F19</f>
        <v>101</v>
      </c>
      <c r="T19" s="1586" t="s">
        <v>8</v>
      </c>
      <c r="U19" s="1587">
        <f>H19</f>
        <v>103</v>
      </c>
      <c r="V19" s="1586" t="s">
        <v>8</v>
      </c>
      <c r="W19" s="1587">
        <f>J19</f>
        <v>100</v>
      </c>
      <c r="X19" s="1580"/>
      <c r="Y19" s="3272"/>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72"/>
      <c r="Q20" s="1585"/>
      <c r="R20" s="1586"/>
      <c r="S20" s="1587"/>
      <c r="T20" s="1586"/>
      <c r="U20" s="1587"/>
      <c r="V20" s="1586"/>
      <c r="W20" s="1587"/>
      <c r="X20" s="1580"/>
      <c r="Y20" s="3272"/>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72"/>
      <c r="Q21" s="2632" t="str">
        <f>B21</f>
        <v>基础设施水平</v>
      </c>
      <c r="R21" s="1586" t="s">
        <v>8</v>
      </c>
      <c r="S21" s="1587">
        <f>F21</f>
        <v>99</v>
      </c>
      <c r="T21" s="1586" t="s">
        <v>8</v>
      </c>
      <c r="U21" s="1587">
        <f>H21</f>
        <v>98</v>
      </c>
      <c r="V21" s="1586" t="s">
        <v>8</v>
      </c>
      <c r="W21" s="1587">
        <f>J21</f>
        <v>97</v>
      </c>
      <c r="X21" s="2634"/>
      <c r="Y21" s="3272"/>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2677</v>
      </c>
      <c r="F22" s="559"/>
      <c r="G22" s="578" t="s">
        <v>2678</v>
      </c>
      <c r="H22" s="557"/>
      <c r="I22" s="578" t="s">
        <v>2902</v>
      </c>
      <c r="J22" s="557"/>
      <c r="K22" s="2656"/>
      <c r="L22" s="2161"/>
      <c r="M22" s="2153"/>
      <c r="N22" s="2153"/>
      <c r="O22" s="2160"/>
      <c r="P22" s="3272"/>
      <c r="Q22" s="2632"/>
      <c r="R22" s="1586"/>
      <c r="S22" s="1587"/>
      <c r="T22" s="1586"/>
      <c r="U22" s="1587"/>
      <c r="V22" s="1586"/>
      <c r="W22" s="1587"/>
      <c r="X22" s="2634"/>
      <c r="Y22" s="3272"/>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72"/>
      <c r="Q23" s="1585" t="str">
        <f>B23</f>
        <v>环境质量</v>
      </c>
      <c r="R23" s="1586" t="s">
        <v>8</v>
      </c>
      <c r="S23" s="1587">
        <f>F23</f>
        <v>96</v>
      </c>
      <c r="T23" s="1586" t="s">
        <v>8</v>
      </c>
      <c r="U23" s="1587">
        <f>H23</f>
        <v>98</v>
      </c>
      <c r="V23" s="1586" t="s">
        <v>8</v>
      </c>
      <c r="W23" s="1587">
        <f>J23</f>
        <v>94</v>
      </c>
      <c r="X23" s="1580"/>
      <c r="Y23" s="3272"/>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72"/>
      <c r="Q24" s="1585"/>
      <c r="R24" s="1586"/>
      <c r="S24" s="1587"/>
      <c r="T24" s="1586"/>
      <c r="U24" s="1587"/>
      <c r="V24" s="1586"/>
      <c r="W24" s="1587"/>
      <c r="X24" s="1580"/>
      <c r="Y24" s="3272"/>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72"/>
      <c r="Q25" s="1585">
        <f>B25</f>
        <v>111</v>
      </c>
      <c r="R25" s="1586" t="s">
        <v>8</v>
      </c>
      <c r="S25" s="1587">
        <f>F25</f>
        <v>95</v>
      </c>
      <c r="T25" s="1586" t="s">
        <v>8</v>
      </c>
      <c r="U25" s="1587">
        <f>H25</f>
        <v>90</v>
      </c>
      <c r="V25" s="1586" t="s">
        <v>8</v>
      </c>
      <c r="W25" s="1587">
        <f>J25</f>
        <v>85</v>
      </c>
      <c r="X25" s="1580"/>
      <c r="Y25" s="3272"/>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72"/>
      <c r="Q26" s="1585">
        <f t="shared" ref="Q26:Q40" si="11">B26</f>
        <v>111</v>
      </c>
      <c r="R26" s="1586" t="s">
        <v>8</v>
      </c>
      <c r="S26" s="1587">
        <f>F26</f>
        <v>95</v>
      </c>
      <c r="T26" s="1586" t="s">
        <v>8</v>
      </c>
      <c r="U26" s="1587">
        <f>H26</f>
        <v>90</v>
      </c>
      <c r="V26" s="1586" t="s">
        <v>8</v>
      </c>
      <c r="W26" s="1587">
        <f>J26</f>
        <v>85</v>
      </c>
      <c r="X26" s="1580"/>
      <c r="Y26" s="3272"/>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72"/>
      <c r="Q27" s="1150">
        <f t="shared" si="11"/>
        <v>111</v>
      </c>
      <c r="R27" s="1581" t="s">
        <v>8</v>
      </c>
      <c r="S27" s="1582">
        <f>F27</f>
        <v>95</v>
      </c>
      <c r="T27" s="1581" t="s">
        <v>8</v>
      </c>
      <c r="U27" s="1582">
        <f>H27</f>
        <v>90</v>
      </c>
      <c r="V27" s="1581" t="s">
        <v>8</v>
      </c>
      <c r="W27" s="1582">
        <f>J27</f>
        <v>85</v>
      </c>
      <c r="X27" s="1583"/>
      <c r="Y27" s="3272"/>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72"/>
      <c r="Q28" s="1585">
        <f t="shared" si="11"/>
        <v>111</v>
      </c>
      <c r="R28" s="1586" t="s">
        <v>8</v>
      </c>
      <c r="S28" s="1587">
        <f t="shared" ref="S28:S40" si="12">F28</f>
        <v>98</v>
      </c>
      <c r="T28" s="1586" t="s">
        <v>8</v>
      </c>
      <c r="U28" s="1587">
        <f t="shared" ref="U28:U40" si="13">H28</f>
        <v>96</v>
      </c>
      <c r="V28" s="1586" t="s">
        <v>8</v>
      </c>
      <c r="W28" s="1587">
        <f t="shared" ref="W28:W40" si="14">J28</f>
        <v>94</v>
      </c>
      <c r="X28" s="1580"/>
      <c r="Y28" s="3272"/>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77" t="s">
        <v>591</v>
      </c>
      <c r="Q29" s="1585" t="str">
        <f t="shared" si="11"/>
        <v>建筑类型</v>
      </c>
      <c r="R29" s="1586" t="s">
        <v>8</v>
      </c>
      <c r="S29" s="1587">
        <f t="shared" si="12"/>
        <v>97</v>
      </c>
      <c r="T29" s="1586" t="s">
        <v>8</v>
      </c>
      <c r="U29" s="1587">
        <f t="shared" si="13"/>
        <v>100</v>
      </c>
      <c r="V29" s="1586" t="s">
        <v>8</v>
      </c>
      <c r="W29" s="1587">
        <f t="shared" si="14"/>
        <v>97</v>
      </c>
      <c r="X29" s="1580"/>
      <c r="Y29" s="3278"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78"/>
      <c r="Q30" s="1618" t="str">
        <f t="shared" si="11"/>
        <v>项目建筑规模</v>
      </c>
      <c r="R30" s="1590" t="s">
        <v>8</v>
      </c>
      <c r="S30" s="1591">
        <f t="shared" si="12"/>
        <v>92</v>
      </c>
      <c r="T30" s="1590" t="s">
        <v>8</v>
      </c>
      <c r="U30" s="1591">
        <f t="shared" si="13"/>
        <v>94</v>
      </c>
      <c r="V30" s="1590" t="s">
        <v>8</v>
      </c>
      <c r="W30" s="1591">
        <f t="shared" si="14"/>
        <v>96</v>
      </c>
      <c r="X30" s="1592"/>
      <c r="Y30" s="3278"/>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78"/>
      <c r="Q31" s="1585" t="str">
        <f t="shared" si="11"/>
        <v>建筑结构</v>
      </c>
      <c r="R31" s="1586" t="s">
        <v>8</v>
      </c>
      <c r="S31" s="1587">
        <f t="shared" si="12"/>
        <v>97</v>
      </c>
      <c r="T31" s="1586" t="s">
        <v>8</v>
      </c>
      <c r="U31" s="1587">
        <f t="shared" si="13"/>
        <v>94</v>
      </c>
      <c r="V31" s="1586" t="s">
        <v>8</v>
      </c>
      <c r="W31" s="1587">
        <f t="shared" si="14"/>
        <v>100</v>
      </c>
      <c r="X31" s="1580"/>
      <c r="Y31" s="3278"/>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78"/>
      <c r="Q32" s="1585" t="str">
        <f t="shared" si="11"/>
        <v>公共部分装修</v>
      </c>
      <c r="R32" s="1586" t="s">
        <v>8</v>
      </c>
      <c r="S32" s="1587">
        <f t="shared" si="12"/>
        <v>94</v>
      </c>
      <c r="T32" s="1586" t="s">
        <v>8</v>
      </c>
      <c r="U32" s="1587">
        <f t="shared" si="13"/>
        <v>97</v>
      </c>
      <c r="V32" s="1586" t="s">
        <v>8</v>
      </c>
      <c r="W32" s="1587">
        <f t="shared" si="14"/>
        <v>103</v>
      </c>
      <c r="X32" s="1580"/>
      <c r="Y32" s="3278"/>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78"/>
      <c r="Q33" s="1585" t="str">
        <f t="shared" si="11"/>
        <v>成新度</v>
      </c>
      <c r="R33" s="1586" t="s">
        <v>8</v>
      </c>
      <c r="S33" s="1587">
        <f t="shared" si="12"/>
        <v>98</v>
      </c>
      <c r="T33" s="1586" t="s">
        <v>8</v>
      </c>
      <c r="U33" s="1587">
        <f t="shared" si="13"/>
        <v>100</v>
      </c>
      <c r="V33" s="1586" t="s">
        <v>8</v>
      </c>
      <c r="W33" s="1587">
        <f t="shared" si="14"/>
        <v>96</v>
      </c>
      <c r="X33" s="1580"/>
      <c r="Y33" s="3278"/>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78"/>
      <c r="Q34" s="1150" t="str">
        <f t="shared" si="11"/>
        <v>物业管理</v>
      </c>
      <c r="R34" s="1581" t="s">
        <v>8</v>
      </c>
      <c r="S34" s="1582">
        <f t="shared" si="12"/>
        <v>97</v>
      </c>
      <c r="T34" s="1581" t="s">
        <v>8</v>
      </c>
      <c r="U34" s="1582">
        <f t="shared" si="13"/>
        <v>100</v>
      </c>
      <c r="V34" s="1581" t="s">
        <v>8</v>
      </c>
      <c r="W34" s="1582">
        <f t="shared" si="14"/>
        <v>97</v>
      </c>
      <c r="X34" s="1583"/>
      <c r="Y34" s="3278"/>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78" t="s">
        <v>591</v>
      </c>
      <c r="Q35" s="1585" t="str">
        <f t="shared" si="11"/>
        <v>市政基础设施</v>
      </c>
      <c r="R35" s="1586" t="s">
        <v>8</v>
      </c>
      <c r="S35" s="1587">
        <f t="shared" si="12"/>
        <v>98</v>
      </c>
      <c r="T35" s="1586" t="s">
        <v>8</v>
      </c>
      <c r="U35" s="1587">
        <f t="shared" si="13"/>
        <v>96</v>
      </c>
      <c r="V35" s="1586" t="s">
        <v>8</v>
      </c>
      <c r="W35" s="1587">
        <f t="shared" si="14"/>
        <v>102</v>
      </c>
      <c r="X35" s="1580"/>
      <c r="Y35" s="3278"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78"/>
      <c r="Q36" s="1585" t="str">
        <f t="shared" si="11"/>
        <v>内部装修</v>
      </c>
      <c r="R36" s="1586" t="s">
        <v>8</v>
      </c>
      <c r="S36" s="1587">
        <f t="shared" si="12"/>
        <v>101</v>
      </c>
      <c r="T36" s="1586" t="s">
        <v>8</v>
      </c>
      <c r="U36" s="1587">
        <f t="shared" si="13"/>
        <v>99</v>
      </c>
      <c r="V36" s="1586" t="s">
        <v>8</v>
      </c>
      <c r="W36" s="1587">
        <f t="shared" si="14"/>
        <v>98</v>
      </c>
      <c r="X36" s="1580"/>
      <c r="Y36" s="3278"/>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78"/>
      <c r="Q37" s="1585" t="str">
        <f t="shared" si="11"/>
        <v>内部装修状况</v>
      </c>
      <c r="R37" s="1586" t="s">
        <v>8</v>
      </c>
      <c r="S37" s="1587">
        <f t="shared" si="12"/>
        <v>98.5</v>
      </c>
      <c r="T37" s="1586" t="s">
        <v>8</v>
      </c>
      <c r="U37" s="1587">
        <f t="shared" si="13"/>
        <v>97</v>
      </c>
      <c r="V37" s="1586" t="s">
        <v>8</v>
      </c>
      <c r="W37" s="1587">
        <f t="shared" si="14"/>
        <v>95.5</v>
      </c>
      <c r="X37" s="1580"/>
      <c r="Y37" s="3278"/>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78"/>
      <c r="Q38" s="1618">
        <f t="shared" si="11"/>
        <v>111</v>
      </c>
      <c r="R38" s="1590" t="s">
        <v>8</v>
      </c>
      <c r="S38" s="1591">
        <f t="shared" si="12"/>
        <v>95</v>
      </c>
      <c r="T38" s="1590" t="s">
        <v>8</v>
      </c>
      <c r="U38" s="1591">
        <f t="shared" si="13"/>
        <v>90</v>
      </c>
      <c r="V38" s="1590" t="s">
        <v>8</v>
      </c>
      <c r="W38" s="1591">
        <f t="shared" si="14"/>
        <v>85</v>
      </c>
      <c r="X38" s="1592"/>
      <c r="Y38" s="3278"/>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78"/>
      <c r="Q39" s="1585">
        <f t="shared" si="11"/>
        <v>111</v>
      </c>
      <c r="R39" s="1586" t="s">
        <v>8</v>
      </c>
      <c r="S39" s="1587">
        <f t="shared" si="12"/>
        <v>95</v>
      </c>
      <c r="T39" s="1586" t="s">
        <v>8</v>
      </c>
      <c r="U39" s="1587">
        <f t="shared" si="13"/>
        <v>90</v>
      </c>
      <c r="V39" s="1586" t="s">
        <v>8</v>
      </c>
      <c r="W39" s="1587">
        <f t="shared" si="14"/>
        <v>85</v>
      </c>
      <c r="X39" s="1580"/>
      <c r="Y39" s="3278"/>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86"/>
      <c r="Q40" s="1585">
        <f t="shared" si="11"/>
        <v>111</v>
      </c>
      <c r="R40" s="1586" t="s">
        <v>8</v>
      </c>
      <c r="S40" s="1587">
        <f t="shared" si="12"/>
        <v>98</v>
      </c>
      <c r="T40" s="1586" t="s">
        <v>8</v>
      </c>
      <c r="U40" s="1587">
        <f t="shared" si="13"/>
        <v>96</v>
      </c>
      <c r="V40" s="1586" t="s">
        <v>8</v>
      </c>
      <c r="W40" s="1587">
        <f t="shared" si="14"/>
        <v>94</v>
      </c>
      <c r="X40" s="1580"/>
      <c r="Y40" s="3486"/>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69" t="str">
        <f>A41</f>
        <v>成交单价（元/平方米）</v>
      </c>
      <c r="Q41" s="3269"/>
      <c r="R41" s="3485">
        <f>E41</f>
        <v>30000</v>
      </c>
      <c r="S41" s="3485"/>
      <c r="T41" s="3485">
        <f>G41</f>
        <v>35000</v>
      </c>
      <c r="U41" s="3485"/>
      <c r="V41" s="3485">
        <f>I41</f>
        <v>32000</v>
      </c>
      <c r="W41" s="3485"/>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69" t="str">
        <f>A42</f>
        <v>比较价格（元/平方米）</v>
      </c>
      <c r="Q42" s="3269"/>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74" t="str">
        <f>A43</f>
        <v>估价对象XX用房的比较价格（楼面单价，元/平方米）</v>
      </c>
      <c r="Q43" s="3275"/>
      <c r="R43" s="3484" t="e">
        <f>IF(F1="售价",ROUND(AVERAGE(R42:V42),0),ROUND(AVERAGE(R42:V42),1))</f>
        <v>#DIV/0!</v>
      </c>
      <c r="S43" s="3484"/>
      <c r="T43" s="3484"/>
      <c r="U43" s="3484"/>
      <c r="V43" s="3484"/>
      <c r="W43" s="3484"/>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2207</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2208</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46771平方米。根据，估价对象规划建筑面积为76634平方米。</v>
      </c>
    </row>
    <row r="7" spans="1:4" ht="93.75">
      <c r="A7" s="2875" t="s">
        <v>3125</v>
      </c>
    </row>
    <row r="8" spans="1:4" ht="18.75">
      <c r="A8" s="1806" t="s">
        <v>2209</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2338</v>
      </c>
    </row>
    <row r="11" spans="1:4" ht="18.75">
      <c r="A11" s="1792" t="str">
        <f>TEXT(项目基本情况!D3,"yyyy年m月d日;;")&amp;IF(项目基本情况!B3=项目基本情况!D3,"（评估专业人员勘察现场之日）","")</f>
        <v>2017年6月21日（评估专业人员勘察现场之日）</v>
      </c>
    </row>
    <row r="12" spans="1:4" ht="18.75">
      <c r="A12" s="1809" t="s">
        <v>2337</v>
      </c>
    </row>
    <row r="13" spans="1:4" ht="18.75">
      <c r="A13" s="1803" t="s">
        <v>2388</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2389</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2390</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根据《不动产权证书》[渝（2017）渝北区不动产权第000290828号]，估价对象（分摊）出让国有建设用地使用权面积为46771平方米。根据，估价对象规划建筑面积为76634平方米。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2391</v>
      </c>
    </row>
    <row r="23" spans="1:1" ht="18.75">
      <c r="A23" s="2877" t="s">
        <v>3127</v>
      </c>
    </row>
    <row r="24" spans="1:1" ht="18.75">
      <c r="A24" s="1803" t="s">
        <v>2392</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2339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2393</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45" t="s">
        <v>1035</v>
      </c>
      <c r="D4" s="3246"/>
      <c r="E4" s="3245" t="s">
        <v>1036</v>
      </c>
      <c r="F4" s="3246"/>
      <c r="G4" s="3245" t="s">
        <v>1037</v>
      </c>
      <c r="H4" s="3246"/>
      <c r="I4" s="3245" t="s">
        <v>1038</v>
      </c>
      <c r="J4" s="3246"/>
      <c r="K4" s="517" t="s">
        <v>1039</v>
      </c>
      <c r="L4" s="2152"/>
      <c r="M4" s="2153"/>
      <c r="N4" s="2153"/>
      <c r="O4" s="2153"/>
      <c r="P4" s="3247" t="s">
        <v>1040</v>
      </c>
      <c r="Q4" s="3248"/>
      <c r="R4" s="3253" t="s">
        <v>1036</v>
      </c>
      <c r="S4" s="3254"/>
      <c r="T4" s="3253" t="s">
        <v>1037</v>
      </c>
      <c r="U4" s="3254"/>
      <c r="V4" s="3265" t="s">
        <v>1038</v>
      </c>
      <c r="W4" s="3265"/>
      <c r="X4" s="1580"/>
      <c r="Y4" s="3253" t="s">
        <v>1040</v>
      </c>
      <c r="Z4" s="3254"/>
      <c r="AA4" s="3242" t="s">
        <v>1036</v>
      </c>
      <c r="AB4" s="3243" t="s">
        <v>1037</v>
      </c>
      <c r="AC4" s="3242" t="s">
        <v>1038</v>
      </c>
    </row>
    <row r="5" spans="1:29" ht="15">
      <c r="A5" s="518"/>
      <c r="B5" s="519"/>
      <c r="C5" s="3257" t="s">
        <v>3253</v>
      </c>
      <c r="D5" s="3258"/>
      <c r="E5" s="3482" t="s">
        <v>3255</v>
      </c>
      <c r="F5" s="3419"/>
      <c r="G5" s="3257" t="s">
        <v>3259</v>
      </c>
      <c r="H5" s="3258"/>
      <c r="I5" s="3257" t="s">
        <v>3261</v>
      </c>
      <c r="J5" s="3258"/>
      <c r="K5" s="517"/>
      <c r="L5" s="2152"/>
      <c r="M5" s="2153"/>
      <c r="N5" s="2153"/>
      <c r="O5" s="2153"/>
      <c r="P5" s="3249"/>
      <c r="Q5" s="3250"/>
      <c r="R5" s="3255"/>
      <c r="S5" s="3256"/>
      <c r="T5" s="3255"/>
      <c r="U5" s="3256"/>
      <c r="V5" s="3265"/>
      <c r="W5" s="3265"/>
      <c r="X5" s="1580"/>
      <c r="Y5" s="3255"/>
      <c r="Z5" s="3256"/>
      <c r="AA5" s="3243"/>
      <c r="AB5" s="3243"/>
      <c r="AC5" s="3243"/>
    </row>
    <row r="6" spans="1:29" ht="15.75" thickBot="1">
      <c r="A6" s="520"/>
      <c r="B6" s="521"/>
      <c r="C6" s="3261" t="s">
        <v>3254</v>
      </c>
      <c r="D6" s="3262"/>
      <c r="E6" s="3483" t="s">
        <v>3256</v>
      </c>
      <c r="F6" s="3423"/>
      <c r="G6" s="3261" t="s">
        <v>3260</v>
      </c>
      <c r="H6" s="3262"/>
      <c r="I6" s="3261" t="s">
        <v>3262</v>
      </c>
      <c r="J6" s="3262"/>
      <c r="K6" s="517" t="s">
        <v>562</v>
      </c>
      <c r="L6" s="2152"/>
      <c r="M6" s="2153"/>
      <c r="N6" s="2153"/>
      <c r="O6" s="2153"/>
      <c r="P6" s="3251"/>
      <c r="Q6" s="3252"/>
      <c r="R6" s="3255"/>
      <c r="S6" s="3256"/>
      <c r="T6" s="3263"/>
      <c r="U6" s="3264"/>
      <c r="V6" s="3265"/>
      <c r="W6" s="3265"/>
      <c r="X6" s="1580"/>
      <c r="Y6" s="3263"/>
      <c r="Z6" s="3264"/>
      <c r="AA6" s="3244"/>
      <c r="AB6" s="3244"/>
      <c r="AC6" s="3244"/>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66" t="s">
        <v>564</v>
      </c>
      <c r="Q7" s="3267"/>
      <c r="R7" s="1581" t="s">
        <v>8</v>
      </c>
      <c r="S7" s="1582">
        <f t="shared" ref="S7:S14" si="0">F7</f>
        <v>99.5</v>
      </c>
      <c r="T7" s="1581" t="s">
        <v>8</v>
      </c>
      <c r="U7" s="1582">
        <f t="shared" ref="U7:U14" si="1">H7</f>
        <v>99.5</v>
      </c>
      <c r="V7" s="1581" t="s">
        <v>8</v>
      </c>
      <c r="W7" s="1582">
        <f t="shared" ref="W7:W14" si="2">J7</f>
        <v>99.5</v>
      </c>
      <c r="X7" s="1583"/>
      <c r="Y7" s="3266" t="s">
        <v>564</v>
      </c>
      <c r="Z7" s="3268"/>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66" t="s">
        <v>567</v>
      </c>
      <c r="Q8" s="3268"/>
      <c r="R8" s="1581" t="s">
        <v>8</v>
      </c>
      <c r="S8" s="1582">
        <f t="shared" si="0"/>
        <v>100</v>
      </c>
      <c r="T8" s="1581" t="s">
        <v>8</v>
      </c>
      <c r="U8" s="1582">
        <f t="shared" si="1"/>
        <v>100</v>
      </c>
      <c r="V8" s="1581" t="s">
        <v>8</v>
      </c>
      <c r="W8" s="1582">
        <f t="shared" si="2"/>
        <v>100</v>
      </c>
      <c r="X8" s="1583"/>
      <c r="Y8" s="3266" t="s">
        <v>567</v>
      </c>
      <c r="Z8" s="3268"/>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69" t="s">
        <v>569</v>
      </c>
      <c r="Q9" s="1150" t="str">
        <f t="shared" ref="Q9:Q14" si="6">B9</f>
        <v>用途</v>
      </c>
      <c r="R9" s="1581" t="s">
        <v>8</v>
      </c>
      <c r="S9" s="1582">
        <f t="shared" si="0"/>
        <v>100</v>
      </c>
      <c r="T9" s="1581" t="s">
        <v>8</v>
      </c>
      <c r="U9" s="1582">
        <f t="shared" si="1"/>
        <v>100</v>
      </c>
      <c r="V9" s="1581" t="s">
        <v>8</v>
      </c>
      <c r="W9" s="1582">
        <f t="shared" si="2"/>
        <v>100</v>
      </c>
      <c r="X9" s="1583"/>
      <c r="Y9" s="3270"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69"/>
      <c r="Q10" s="1150" t="str">
        <f t="shared" si="6"/>
        <v>土地使用年限（年）</v>
      </c>
      <c r="R10" s="1581" t="s">
        <v>8</v>
      </c>
      <c r="S10" s="1582">
        <f t="shared" si="0"/>
        <v>102</v>
      </c>
      <c r="T10" s="1581" t="s">
        <v>8</v>
      </c>
      <c r="U10" s="1582">
        <f t="shared" si="1"/>
        <v>102</v>
      </c>
      <c r="V10" s="1581" t="s">
        <v>8</v>
      </c>
      <c r="W10" s="1582">
        <f t="shared" si="2"/>
        <v>102</v>
      </c>
      <c r="X10" s="1583"/>
      <c r="Y10" s="3270"/>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69"/>
      <c r="Q11" s="1150">
        <f t="shared" si="6"/>
        <v>111</v>
      </c>
      <c r="R11" s="1581" t="s">
        <v>8</v>
      </c>
      <c r="S11" s="1582">
        <f t="shared" si="0"/>
        <v>100</v>
      </c>
      <c r="T11" s="1581" t="s">
        <v>8</v>
      </c>
      <c r="U11" s="1582">
        <f t="shared" si="1"/>
        <v>100</v>
      </c>
      <c r="V11" s="1581" t="s">
        <v>8</v>
      </c>
      <c r="W11" s="1582">
        <f t="shared" si="2"/>
        <v>100</v>
      </c>
      <c r="X11" s="1583"/>
      <c r="Y11" s="3270"/>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69"/>
      <c r="Q12" s="1150">
        <f t="shared" si="6"/>
        <v>111</v>
      </c>
      <c r="R12" s="1581" t="s">
        <v>8</v>
      </c>
      <c r="S12" s="1582">
        <f t="shared" si="0"/>
        <v>100</v>
      </c>
      <c r="T12" s="1581" t="s">
        <v>8</v>
      </c>
      <c r="U12" s="1582">
        <f t="shared" si="1"/>
        <v>100</v>
      </c>
      <c r="V12" s="1581" t="s">
        <v>8</v>
      </c>
      <c r="W12" s="1582">
        <f t="shared" si="2"/>
        <v>100</v>
      </c>
      <c r="X12" s="1583"/>
      <c r="Y12" s="3270"/>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69"/>
      <c r="Q13" s="1150">
        <f t="shared" si="6"/>
        <v>111</v>
      </c>
      <c r="R13" s="1581" t="s">
        <v>8</v>
      </c>
      <c r="S13" s="1582">
        <f t="shared" si="0"/>
        <v>100</v>
      </c>
      <c r="T13" s="1581" t="s">
        <v>8</v>
      </c>
      <c r="U13" s="1582">
        <f t="shared" si="1"/>
        <v>100</v>
      </c>
      <c r="V13" s="1581" t="s">
        <v>8</v>
      </c>
      <c r="W13" s="1582">
        <f t="shared" si="2"/>
        <v>100</v>
      </c>
      <c r="X13" s="1583"/>
      <c r="Y13" s="3270"/>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71" t="s">
        <v>575</v>
      </c>
      <c r="Q14" s="1585" t="str">
        <f t="shared" si="6"/>
        <v>交通便捷度</v>
      </c>
      <c r="R14" s="1586" t="s">
        <v>8</v>
      </c>
      <c r="S14" s="1587">
        <f t="shared" si="0"/>
        <v>100</v>
      </c>
      <c r="T14" s="1586" t="s">
        <v>8</v>
      </c>
      <c r="U14" s="1587">
        <f t="shared" si="1"/>
        <v>100</v>
      </c>
      <c r="V14" s="1586" t="s">
        <v>8</v>
      </c>
      <c r="W14" s="1587">
        <f t="shared" si="2"/>
        <v>100</v>
      </c>
      <c r="X14" s="1580"/>
      <c r="Y14" s="3271"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72"/>
      <c r="Q15" s="1585"/>
      <c r="R15" s="1586"/>
      <c r="S15" s="1587"/>
      <c r="T15" s="1586"/>
      <c r="U15" s="1587"/>
      <c r="V15" s="1586"/>
      <c r="W15" s="1587"/>
      <c r="X15" s="1580"/>
      <c r="Y15" s="3272"/>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72"/>
      <c r="Q16" s="1585" t="str">
        <f>B16</f>
        <v>公共配套设施</v>
      </c>
      <c r="R16" s="1586" t="s">
        <v>8</v>
      </c>
      <c r="S16" s="1587">
        <f>F16</f>
        <v>100</v>
      </c>
      <c r="T16" s="1586" t="s">
        <v>8</v>
      </c>
      <c r="U16" s="1587">
        <f>H16</f>
        <v>100</v>
      </c>
      <c r="V16" s="1586" t="s">
        <v>8</v>
      </c>
      <c r="W16" s="1587">
        <f>J16</f>
        <v>100</v>
      </c>
      <c r="X16" s="1580"/>
      <c r="Y16" s="3272"/>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72"/>
      <c r="Q17" s="1585"/>
      <c r="R17" s="1586"/>
      <c r="S17" s="1587"/>
      <c r="T17" s="1586"/>
      <c r="U17" s="1587"/>
      <c r="V17" s="1586"/>
      <c r="W17" s="1587"/>
      <c r="X17" s="1580"/>
      <c r="Y17" s="3272"/>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72"/>
      <c r="Q18" s="2632" t="str">
        <f>B18</f>
        <v>基础设施水平</v>
      </c>
      <c r="R18" s="1586" t="s">
        <v>8</v>
      </c>
      <c r="S18" s="1587">
        <f>F18</f>
        <v>100</v>
      </c>
      <c r="T18" s="1586" t="s">
        <v>8</v>
      </c>
      <c r="U18" s="1587">
        <f>H18</f>
        <v>100</v>
      </c>
      <c r="V18" s="1586" t="s">
        <v>8</v>
      </c>
      <c r="W18" s="1587">
        <f>J18</f>
        <v>100</v>
      </c>
      <c r="X18" s="2634"/>
      <c r="Y18" s="3272"/>
      <c r="Z18" s="2633" t="str">
        <f>Q18</f>
        <v>基础设施水平</v>
      </c>
      <c r="AA18" s="1589">
        <f t="shared" ref="AA18" si="8">D18/F18</f>
        <v>1</v>
      </c>
      <c r="AB18" s="1589">
        <f t="shared" ref="AB18" si="9">D18/H18</f>
        <v>1</v>
      </c>
      <c r="AC18" s="1589">
        <f t="shared" ref="AC18" si="10">D18/J18</f>
        <v>1</v>
      </c>
    </row>
    <row r="19" spans="1:29" ht="15">
      <c r="A19" s="518"/>
      <c r="B19" s="580"/>
      <c r="C19" s="873" t="s">
        <v>2677</v>
      </c>
      <c r="D19" s="561"/>
      <c r="E19" s="578" t="s">
        <v>2677</v>
      </c>
      <c r="F19" s="559"/>
      <c r="G19" s="578" t="s">
        <v>2677</v>
      </c>
      <c r="H19" s="557"/>
      <c r="I19" s="578" t="s">
        <v>2677</v>
      </c>
      <c r="J19" s="557"/>
      <c r="K19" s="2656"/>
      <c r="L19" s="2161"/>
      <c r="M19" s="2153"/>
      <c r="N19" s="2153"/>
      <c r="O19" s="2160"/>
      <c r="P19" s="3272"/>
      <c r="Q19" s="2632"/>
      <c r="R19" s="1586"/>
      <c r="S19" s="1587"/>
      <c r="T19" s="1586"/>
      <c r="U19" s="1587"/>
      <c r="V19" s="1586"/>
      <c r="W19" s="1587"/>
      <c r="X19" s="2634"/>
      <c r="Y19" s="3272"/>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72"/>
      <c r="Q20" s="1585" t="str">
        <f>B20</f>
        <v>自然及人文环境</v>
      </c>
      <c r="R20" s="1586" t="s">
        <v>8</v>
      </c>
      <c r="S20" s="1587">
        <f>F20</f>
        <v>100</v>
      </c>
      <c r="T20" s="1586" t="s">
        <v>8</v>
      </c>
      <c r="U20" s="1587">
        <f>H20</f>
        <v>100</v>
      </c>
      <c r="V20" s="1586" t="s">
        <v>8</v>
      </c>
      <c r="W20" s="1587">
        <f>J20</f>
        <v>100</v>
      </c>
      <c r="X20" s="1580"/>
      <c r="Y20" s="3272"/>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72"/>
      <c r="Q21" s="1585"/>
      <c r="R21" s="1586"/>
      <c r="S21" s="1587"/>
      <c r="T21" s="1586"/>
      <c r="U21" s="1587"/>
      <c r="V21" s="1586"/>
      <c r="W21" s="1587"/>
      <c r="X21" s="1580"/>
      <c r="Y21" s="3272"/>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72"/>
      <c r="Q22" s="1585" t="str">
        <f>B22</f>
        <v>楼层</v>
      </c>
      <c r="R22" s="1586" t="s">
        <v>8</v>
      </c>
      <c r="S22" s="1587">
        <f>F22</f>
        <v>100</v>
      </c>
      <c r="T22" s="1586" t="s">
        <v>8</v>
      </c>
      <c r="U22" s="1587">
        <f>H22</f>
        <v>100</v>
      </c>
      <c r="V22" s="1586" t="s">
        <v>8</v>
      </c>
      <c r="W22" s="1587">
        <f>J22</f>
        <v>100</v>
      </c>
      <c r="X22" s="1580"/>
      <c r="Y22" s="3272"/>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72"/>
      <c r="Q23" s="1585">
        <f>B23</f>
        <v>111</v>
      </c>
      <c r="R23" s="1586" t="s">
        <v>8</v>
      </c>
      <c r="S23" s="1587">
        <f>F23</f>
        <v>100</v>
      </c>
      <c r="T23" s="1586" t="s">
        <v>8</v>
      </c>
      <c r="U23" s="1587">
        <f>H23</f>
        <v>100</v>
      </c>
      <c r="V23" s="1586" t="s">
        <v>8</v>
      </c>
      <c r="W23" s="1587">
        <f>J23</f>
        <v>100</v>
      </c>
      <c r="X23" s="1580"/>
      <c r="Y23" s="3272"/>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72"/>
      <c r="Q24" s="1585">
        <f t="shared" ref="Q24:Q36" si="11">B24</f>
        <v>111</v>
      </c>
      <c r="R24" s="1586" t="s">
        <v>8</v>
      </c>
      <c r="S24" s="1587">
        <f>F24</f>
        <v>100</v>
      </c>
      <c r="T24" s="1586" t="s">
        <v>8</v>
      </c>
      <c r="U24" s="1587">
        <f>H24</f>
        <v>100</v>
      </c>
      <c r="V24" s="1586" t="s">
        <v>8</v>
      </c>
      <c r="W24" s="1587">
        <f>J24</f>
        <v>100</v>
      </c>
      <c r="X24" s="1580"/>
      <c r="Y24" s="3272"/>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72"/>
      <c r="Q25" s="1150">
        <f t="shared" si="11"/>
        <v>111</v>
      </c>
      <c r="R25" s="1581" t="s">
        <v>8</v>
      </c>
      <c r="S25" s="1582">
        <f>F25</f>
        <v>100</v>
      </c>
      <c r="T25" s="1581" t="s">
        <v>8</v>
      </c>
      <c r="U25" s="1582">
        <f>H25</f>
        <v>100</v>
      </c>
      <c r="V25" s="1581" t="s">
        <v>8</v>
      </c>
      <c r="W25" s="1582">
        <f>J25</f>
        <v>100</v>
      </c>
      <c r="X25" s="1583"/>
      <c r="Y25" s="3272"/>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77"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78"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78"/>
      <c r="Q27" s="1618" t="str">
        <f t="shared" si="11"/>
        <v>项目停车位配比</v>
      </c>
      <c r="R27" s="1590" t="s">
        <v>8</v>
      </c>
      <c r="S27" s="1591">
        <f t="shared" si="12"/>
        <v>100</v>
      </c>
      <c r="T27" s="1590" t="s">
        <v>8</v>
      </c>
      <c r="U27" s="1591">
        <f t="shared" si="13"/>
        <v>100</v>
      </c>
      <c r="V27" s="1590" t="s">
        <v>8</v>
      </c>
      <c r="W27" s="1591">
        <f t="shared" si="14"/>
        <v>100</v>
      </c>
      <c r="X27" s="1592"/>
      <c r="Y27" s="3278"/>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78"/>
      <c r="Q28" s="1585" t="str">
        <f t="shared" si="11"/>
        <v>公共部分装修</v>
      </c>
      <c r="R28" s="1586" t="s">
        <v>8</v>
      </c>
      <c r="S28" s="1587">
        <f t="shared" si="12"/>
        <v>100</v>
      </c>
      <c r="T28" s="1586" t="s">
        <v>8</v>
      </c>
      <c r="U28" s="1587">
        <f t="shared" si="13"/>
        <v>100</v>
      </c>
      <c r="V28" s="1586" t="s">
        <v>8</v>
      </c>
      <c r="W28" s="1587">
        <f t="shared" si="14"/>
        <v>100</v>
      </c>
      <c r="X28" s="1580"/>
      <c r="Y28" s="3278"/>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78"/>
      <c r="Q29" s="1585" t="str">
        <f t="shared" si="11"/>
        <v>成新率</v>
      </c>
      <c r="R29" s="1586" t="s">
        <v>8</v>
      </c>
      <c r="S29" s="1587">
        <f t="shared" si="12"/>
        <v>100</v>
      </c>
      <c r="T29" s="1586" t="s">
        <v>8</v>
      </c>
      <c r="U29" s="1587">
        <f t="shared" si="13"/>
        <v>100</v>
      </c>
      <c r="V29" s="1586" t="s">
        <v>8</v>
      </c>
      <c r="W29" s="1587">
        <f t="shared" si="14"/>
        <v>100</v>
      </c>
      <c r="X29" s="1580"/>
      <c r="Y29" s="3278"/>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78"/>
      <c r="Q30" s="1585" t="str">
        <f t="shared" si="11"/>
        <v>物业等级</v>
      </c>
      <c r="R30" s="1586" t="s">
        <v>8</v>
      </c>
      <c r="S30" s="1587">
        <f t="shared" si="12"/>
        <v>100</v>
      </c>
      <c r="T30" s="1586" t="s">
        <v>8</v>
      </c>
      <c r="U30" s="1587">
        <f t="shared" si="13"/>
        <v>100</v>
      </c>
      <c r="V30" s="1586" t="s">
        <v>8</v>
      </c>
      <c r="W30" s="1587">
        <f t="shared" si="14"/>
        <v>100</v>
      </c>
      <c r="X30" s="1580"/>
      <c r="Y30" s="3278"/>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78"/>
      <c r="Q31" s="1150" t="str">
        <f t="shared" si="11"/>
        <v>停车位面积</v>
      </c>
      <c r="R31" s="1581" t="s">
        <v>8</v>
      </c>
      <c r="S31" s="1582">
        <f t="shared" si="12"/>
        <v>100</v>
      </c>
      <c r="T31" s="1581" t="s">
        <v>8</v>
      </c>
      <c r="U31" s="1582">
        <f t="shared" si="13"/>
        <v>100</v>
      </c>
      <c r="V31" s="1581" t="s">
        <v>8</v>
      </c>
      <c r="W31" s="1582">
        <f t="shared" si="14"/>
        <v>100</v>
      </c>
      <c r="X31" s="1583"/>
      <c r="Y31" s="3278"/>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78" t="s">
        <v>591</v>
      </c>
      <c r="Q32" s="1585" t="str">
        <f t="shared" si="11"/>
        <v>车位类型</v>
      </c>
      <c r="R32" s="1586" t="s">
        <v>8</v>
      </c>
      <c r="S32" s="1587">
        <f t="shared" si="12"/>
        <v>100</v>
      </c>
      <c r="T32" s="1586" t="s">
        <v>8</v>
      </c>
      <c r="U32" s="1587">
        <f t="shared" si="13"/>
        <v>100</v>
      </c>
      <c r="V32" s="1586" t="s">
        <v>8</v>
      </c>
      <c r="W32" s="1587">
        <f t="shared" si="14"/>
        <v>100</v>
      </c>
      <c r="X32" s="1580"/>
      <c r="Y32" s="3278"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78"/>
      <c r="Q33" s="1585" t="str">
        <f t="shared" si="11"/>
        <v>是否直接入户</v>
      </c>
      <c r="R33" s="1586" t="s">
        <v>8</v>
      </c>
      <c r="S33" s="1587">
        <f t="shared" si="12"/>
        <v>100</v>
      </c>
      <c r="T33" s="1586" t="s">
        <v>8</v>
      </c>
      <c r="U33" s="1587">
        <f t="shared" si="13"/>
        <v>100</v>
      </c>
      <c r="V33" s="1586" t="s">
        <v>8</v>
      </c>
      <c r="W33" s="1587">
        <f t="shared" si="14"/>
        <v>100</v>
      </c>
      <c r="X33" s="1580"/>
      <c r="Y33" s="3278"/>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78"/>
      <c r="Q34" s="1585">
        <f t="shared" si="11"/>
        <v>111</v>
      </c>
      <c r="R34" s="1586" t="s">
        <v>8</v>
      </c>
      <c r="S34" s="1587">
        <f t="shared" si="12"/>
        <v>100</v>
      </c>
      <c r="T34" s="1586" t="s">
        <v>8</v>
      </c>
      <c r="U34" s="1587">
        <f t="shared" si="13"/>
        <v>100</v>
      </c>
      <c r="V34" s="1586" t="s">
        <v>8</v>
      </c>
      <c r="W34" s="1587">
        <f t="shared" si="14"/>
        <v>100</v>
      </c>
      <c r="X34" s="1580"/>
      <c r="Y34" s="3278"/>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78"/>
      <c r="Q35" s="1618">
        <f t="shared" si="11"/>
        <v>111</v>
      </c>
      <c r="R35" s="1590" t="s">
        <v>8</v>
      </c>
      <c r="S35" s="1591">
        <f t="shared" si="12"/>
        <v>100</v>
      </c>
      <c r="T35" s="1590" t="s">
        <v>8</v>
      </c>
      <c r="U35" s="1591">
        <f t="shared" si="13"/>
        <v>100</v>
      </c>
      <c r="V35" s="1590" t="s">
        <v>8</v>
      </c>
      <c r="W35" s="1591">
        <f t="shared" si="14"/>
        <v>100</v>
      </c>
      <c r="X35" s="1592"/>
      <c r="Y35" s="3278"/>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78"/>
      <c r="Q36" s="1585">
        <f t="shared" si="11"/>
        <v>111</v>
      </c>
      <c r="R36" s="1586" t="s">
        <v>8</v>
      </c>
      <c r="S36" s="1587">
        <f t="shared" si="12"/>
        <v>100</v>
      </c>
      <c r="T36" s="1586" t="s">
        <v>8</v>
      </c>
      <c r="U36" s="1587">
        <f t="shared" si="13"/>
        <v>100</v>
      </c>
      <c r="V36" s="1586" t="s">
        <v>8</v>
      </c>
      <c r="W36" s="1587">
        <f t="shared" si="14"/>
        <v>100</v>
      </c>
      <c r="X36" s="1580"/>
      <c r="Y36" s="3278"/>
      <c r="Z36" s="1588">
        <f t="shared" si="15"/>
        <v>111</v>
      </c>
      <c r="AA36" s="1589">
        <f t="shared" si="3"/>
        <v>1</v>
      </c>
      <c r="AB36" s="1589">
        <f t="shared" si="4"/>
        <v>1</v>
      </c>
      <c r="AC36" s="1589">
        <f t="shared" si="5"/>
        <v>1</v>
      </c>
    </row>
    <row r="37" spans="1:29" ht="15">
      <c r="A37" s="3090" t="s">
        <v>2394</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69" t="str">
        <f>A37</f>
        <v>成交单价</v>
      </c>
      <c r="Q37" s="3269"/>
      <c r="R37" s="3485">
        <f>E37</f>
        <v>147000</v>
      </c>
      <c r="S37" s="3485"/>
      <c r="T37" s="3485">
        <f>G37</f>
        <v>151900</v>
      </c>
      <c r="U37" s="3485"/>
      <c r="V37" s="3485">
        <f>I37</f>
        <v>151900</v>
      </c>
      <c r="W37" s="3485"/>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69" t="str">
        <f>A38</f>
        <v>比较价格（元/平方米）</v>
      </c>
      <c r="Q38" s="3269"/>
      <c r="R38" s="3485">
        <f>IF(F1="售价",ROUND(PRODUCT(R37,AA7:AA36),0),ROUND(PRODUCT(R37,AA7:AA36),1))</f>
        <v>144842</v>
      </c>
      <c r="S38" s="3485"/>
      <c r="T38" s="3485">
        <f>IF(F1="售价",ROUND(PRODUCT(T37,AB7:AB36),0),ROUND(PRODUCT(T37,AB7:AB36),1))</f>
        <v>149670</v>
      </c>
      <c r="U38" s="3485"/>
      <c r="V38" s="3485">
        <f>IF(F1="售价",ROUND(PRODUCT(V37,AC7:AC36),0),ROUND(PRODUCT(V37,AC7:AC36),1))</f>
        <v>149670</v>
      </c>
      <c r="W38" s="3485"/>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74" t="str">
        <f>A39</f>
        <v>估价对象XX用房的比较价格（楼面单价，元/平方米）</v>
      </c>
      <c r="Q39" s="3275"/>
      <c r="R39" s="3484">
        <f>IF(F1="售价",ROUND(AVERAGE(R38:V38),0),ROUND(AVERAGE(R38:V38),1))</f>
        <v>148061</v>
      </c>
      <c r="S39" s="3484"/>
      <c r="T39" s="3484"/>
      <c r="U39" s="3484"/>
      <c r="V39" s="3484"/>
      <c r="W39" s="3484"/>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491" t="s">
        <v>3270</v>
      </c>
      <c r="B2" s="3491"/>
      <c r="C2" s="3491"/>
      <c r="D2" s="3491"/>
      <c r="E2" s="3491"/>
      <c r="F2" s="3491"/>
      <c r="G2" s="3491"/>
      <c r="H2" s="3491"/>
      <c r="I2" s="3491"/>
      <c r="J2" s="3491"/>
      <c r="K2" s="3491"/>
      <c r="L2" s="3069" t="s">
        <v>3315</v>
      </c>
      <c r="M2" s="3051"/>
    </row>
    <row r="3" spans="1:13" s="3050" customFormat="1" ht="14.25" thickBot="1">
      <c r="A3" s="3492" t="s">
        <v>3271</v>
      </c>
      <c r="B3" s="3492" t="s">
        <v>3272</v>
      </c>
      <c r="C3" s="3492" t="s">
        <v>3273</v>
      </c>
      <c r="D3" s="3492" t="s">
        <v>3274</v>
      </c>
      <c r="E3" s="3493" t="s">
        <v>3275</v>
      </c>
      <c r="F3" s="3492" t="s">
        <v>3276</v>
      </c>
      <c r="G3" s="3492" t="s">
        <v>3277</v>
      </c>
      <c r="H3" s="3492" t="s">
        <v>3278</v>
      </c>
      <c r="I3" s="3492" t="s">
        <v>3279</v>
      </c>
      <c r="J3" s="3492" t="s">
        <v>3280</v>
      </c>
      <c r="K3" s="3492" t="s">
        <v>3281</v>
      </c>
      <c r="M3" s="3051"/>
    </row>
    <row r="4" spans="1:13" s="3050" customFormat="1" ht="14.25" thickBot="1">
      <c r="A4" s="3492"/>
      <c r="B4" s="3492"/>
      <c r="C4" s="3492"/>
      <c r="D4" s="3492"/>
      <c r="E4" s="3493"/>
      <c r="F4" s="3492"/>
      <c r="G4" s="3492"/>
      <c r="H4" s="3492"/>
      <c r="I4" s="3492"/>
      <c r="J4" s="3492"/>
      <c r="K4" s="3492"/>
      <c r="M4" s="3051"/>
    </row>
    <row r="5" spans="1:13" s="3050" customFormat="1" ht="14.25" thickBot="1">
      <c r="A5" s="3492"/>
      <c r="B5" s="3492"/>
      <c r="C5" s="3492"/>
      <c r="D5" s="3492"/>
      <c r="E5" s="3493"/>
      <c r="F5" s="3492"/>
      <c r="G5" s="3492"/>
      <c r="H5" s="3492"/>
      <c r="I5" s="3492"/>
      <c r="J5" s="3492"/>
      <c r="K5" s="3492"/>
      <c r="M5" s="3051"/>
    </row>
    <row r="6" spans="1:13" ht="29.25" thickBot="1">
      <c r="A6" s="3494" t="s">
        <v>3250</v>
      </c>
      <c r="B6" s="3494" t="s">
        <v>3282</v>
      </c>
      <c r="C6" s="3052" t="s">
        <v>3283</v>
      </c>
      <c r="D6" s="3052" t="s">
        <v>2258</v>
      </c>
      <c r="E6" s="3053">
        <v>3</v>
      </c>
      <c r="F6" s="3052">
        <v>1</v>
      </c>
      <c r="G6" s="3053">
        <v>708.48</v>
      </c>
      <c r="H6" s="3053">
        <v>654.41</v>
      </c>
      <c r="I6" s="3053">
        <f>G6*F6</f>
        <v>708.48</v>
      </c>
      <c r="J6" s="3053">
        <f>H6*F6</f>
        <v>654.41</v>
      </c>
      <c r="K6" s="3052" t="s">
        <v>3284</v>
      </c>
      <c r="M6" s="3054"/>
    </row>
    <row r="7" spans="1:13" ht="15" thickBot="1">
      <c r="A7" s="3494"/>
      <c r="B7" s="3494"/>
      <c r="C7" s="3052" t="s">
        <v>3285</v>
      </c>
      <c r="D7" s="3052" t="s">
        <v>2258</v>
      </c>
      <c r="E7" s="3053">
        <v>3</v>
      </c>
      <c r="F7" s="3052">
        <v>1</v>
      </c>
      <c r="G7" s="3053">
        <v>606.78</v>
      </c>
      <c r="H7" s="3053">
        <v>607.97</v>
      </c>
      <c r="I7" s="3053">
        <f>G7*F7</f>
        <v>606.78</v>
      </c>
      <c r="J7" s="3053">
        <f>H7*F7</f>
        <v>607.97</v>
      </c>
      <c r="K7" s="3052"/>
      <c r="M7" s="3054"/>
    </row>
    <row r="8" spans="1:13" ht="15" thickBot="1">
      <c r="A8" s="3494"/>
      <c r="B8" s="3494"/>
      <c r="C8" s="3052" t="s">
        <v>3286</v>
      </c>
      <c r="D8" s="3052" t="s">
        <v>2258</v>
      </c>
      <c r="E8" s="3053">
        <v>3</v>
      </c>
      <c r="F8" s="3055">
        <v>31</v>
      </c>
      <c r="G8" s="3056">
        <v>686</v>
      </c>
      <c r="H8" s="3056">
        <v>687.19</v>
      </c>
      <c r="I8" s="3056">
        <f>G8*F8</f>
        <v>21266</v>
      </c>
      <c r="J8" s="3056">
        <f t="shared" ref="J8:J40" si="0">H8*F8</f>
        <v>21302.890000000003</v>
      </c>
      <c r="K8" s="3052"/>
      <c r="M8" s="3054"/>
    </row>
    <row r="9" spans="1:13" ht="15" thickBot="1">
      <c r="A9" s="3494"/>
      <c r="B9" s="3494"/>
      <c r="C9" s="3052" t="s">
        <v>3287</v>
      </c>
      <c r="D9" s="3052" t="s">
        <v>2258</v>
      </c>
      <c r="E9" s="3053">
        <v>3</v>
      </c>
      <c r="F9" s="3055">
        <v>1</v>
      </c>
      <c r="G9" s="3056">
        <v>66.05</v>
      </c>
      <c r="H9" s="3056">
        <v>66.05</v>
      </c>
      <c r="I9" s="3056">
        <f>G9*F9</f>
        <v>66.05</v>
      </c>
      <c r="J9" s="3056">
        <f t="shared" si="0"/>
        <v>66.05</v>
      </c>
      <c r="K9" s="3057"/>
      <c r="M9" s="3054"/>
    </row>
    <row r="10" spans="1:13" ht="29.25" thickBot="1">
      <c r="A10" s="3494" t="s">
        <v>2845</v>
      </c>
      <c r="B10" s="3494"/>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494" t="s">
        <v>3289</v>
      </c>
      <c r="B11" s="3494" t="s">
        <v>3282</v>
      </c>
      <c r="C11" s="3052" t="s">
        <v>3283</v>
      </c>
      <c r="D11" s="3052" t="s">
        <v>2258</v>
      </c>
      <c r="E11" s="3053">
        <v>3</v>
      </c>
      <c r="F11" s="3055">
        <v>1</v>
      </c>
      <c r="G11" s="3053">
        <v>708.48</v>
      </c>
      <c r="H11" s="3053">
        <v>654.41</v>
      </c>
      <c r="I11" s="3056">
        <f>G11*F11</f>
        <v>708.48</v>
      </c>
      <c r="J11" s="3056">
        <f t="shared" si="0"/>
        <v>654.41</v>
      </c>
      <c r="K11" s="3052"/>
      <c r="M11" s="3054"/>
    </row>
    <row r="12" spans="1:13" ht="15" thickBot="1">
      <c r="A12" s="3494"/>
      <c r="B12" s="3494"/>
      <c r="C12" s="3052" t="s">
        <v>3285</v>
      </c>
      <c r="D12" s="3052" t="s">
        <v>2258</v>
      </c>
      <c r="E12" s="3053">
        <v>3</v>
      </c>
      <c r="F12" s="3055">
        <v>1</v>
      </c>
      <c r="G12" s="3053">
        <v>606.78</v>
      </c>
      <c r="H12" s="3053">
        <v>607.97</v>
      </c>
      <c r="I12" s="3056">
        <f>G12</f>
        <v>606.78</v>
      </c>
      <c r="J12" s="3056">
        <f>H12</f>
        <v>607.97</v>
      </c>
      <c r="K12" s="3052"/>
      <c r="M12" s="3054"/>
    </row>
    <row r="13" spans="1:13" ht="15" thickBot="1">
      <c r="A13" s="3494"/>
      <c r="B13" s="3494"/>
      <c r="C13" s="3052" t="s">
        <v>3286</v>
      </c>
      <c r="D13" s="3052" t="s">
        <v>2258</v>
      </c>
      <c r="E13" s="3053">
        <v>3</v>
      </c>
      <c r="F13" s="3055">
        <v>31</v>
      </c>
      <c r="G13" s="3056">
        <v>686</v>
      </c>
      <c r="H13" s="3056">
        <v>687.19</v>
      </c>
      <c r="I13" s="3056">
        <f>G13*F13</f>
        <v>21266</v>
      </c>
      <c r="J13" s="3056">
        <f t="shared" si="0"/>
        <v>21302.890000000003</v>
      </c>
      <c r="K13" s="3052"/>
      <c r="M13" s="3054"/>
    </row>
    <row r="14" spans="1:13" ht="15" thickBot="1">
      <c r="A14" s="3494"/>
      <c r="B14" s="3494"/>
      <c r="C14" s="3052" t="s">
        <v>3287</v>
      </c>
      <c r="D14" s="3052" t="s">
        <v>2258</v>
      </c>
      <c r="E14" s="3053">
        <v>3</v>
      </c>
      <c r="F14" s="3055">
        <v>1</v>
      </c>
      <c r="G14" s="3056">
        <v>120.68</v>
      </c>
      <c r="H14" s="3056">
        <v>120.68</v>
      </c>
      <c r="I14" s="3056">
        <f>G14*F14</f>
        <v>120.68</v>
      </c>
      <c r="J14" s="3056">
        <f t="shared" si="0"/>
        <v>120.68</v>
      </c>
      <c r="K14" s="3057"/>
      <c r="M14" s="3054"/>
    </row>
    <row r="15" spans="1:13" ht="29.25" thickBot="1">
      <c r="A15" s="3494" t="s">
        <v>2845</v>
      </c>
      <c r="B15" s="3494"/>
      <c r="C15" s="3052"/>
      <c r="D15" s="3052"/>
      <c r="E15" s="3053"/>
      <c r="F15" s="3055"/>
      <c r="G15" s="3056"/>
      <c r="H15" s="3056"/>
      <c r="I15" s="3056">
        <f>SUM(I11:I14)</f>
        <v>22701.94</v>
      </c>
      <c r="J15" s="3056">
        <f>SUM(J11:J14)</f>
        <v>22685.950000000004</v>
      </c>
      <c r="K15" s="3056" t="s">
        <v>3288</v>
      </c>
      <c r="L15" s="3070">
        <f>I15</f>
        <v>22701.94</v>
      </c>
      <c r="M15" s="3054"/>
    </row>
    <row r="16" spans="1:13" ht="27.75" thickBot="1">
      <c r="A16" s="3494" t="s">
        <v>3290</v>
      </c>
      <c r="B16" s="3494"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494"/>
      <c r="B17" s="3494"/>
      <c r="C17" s="3052" t="s">
        <v>3283</v>
      </c>
      <c r="D17" s="3052" t="s">
        <v>2258</v>
      </c>
      <c r="E17" s="3053">
        <v>3</v>
      </c>
      <c r="F17" s="3055">
        <v>1</v>
      </c>
      <c r="G17" s="3053">
        <v>708.48</v>
      </c>
      <c r="H17" s="3053">
        <v>654.41</v>
      </c>
      <c r="I17" s="3056">
        <f>G17*F17</f>
        <v>708.48</v>
      </c>
      <c r="J17" s="3056">
        <f t="shared" si="0"/>
        <v>654.41</v>
      </c>
      <c r="K17" s="3052"/>
      <c r="M17" s="3054"/>
    </row>
    <row r="18" spans="1:13" ht="15" thickBot="1">
      <c r="A18" s="3494"/>
      <c r="B18" s="3494"/>
      <c r="C18" s="3052" t="s">
        <v>3285</v>
      </c>
      <c r="D18" s="3052" t="s">
        <v>2258</v>
      </c>
      <c r="E18" s="3053">
        <v>3</v>
      </c>
      <c r="F18" s="3055">
        <v>1</v>
      </c>
      <c r="G18" s="3053">
        <v>606.78</v>
      </c>
      <c r="H18" s="3053">
        <v>607.97</v>
      </c>
      <c r="I18" s="3056">
        <f>G18*F18</f>
        <v>606.78</v>
      </c>
      <c r="J18" s="3056">
        <f>H18*F18</f>
        <v>607.97</v>
      </c>
      <c r="K18" s="3052"/>
      <c r="M18" s="3054"/>
    </row>
    <row r="19" spans="1:13" ht="15" thickBot="1">
      <c r="A19" s="3494"/>
      <c r="B19" s="3494"/>
      <c r="C19" s="3052" t="s">
        <v>3286</v>
      </c>
      <c r="D19" s="3052" t="s">
        <v>2258</v>
      </c>
      <c r="E19" s="3053">
        <v>3</v>
      </c>
      <c r="F19" s="3055">
        <v>31</v>
      </c>
      <c r="G19" s="3056">
        <v>686</v>
      </c>
      <c r="H19" s="3056">
        <v>687.19</v>
      </c>
      <c r="I19" s="3056">
        <f>G19*F19</f>
        <v>21266</v>
      </c>
      <c r="J19" s="3056">
        <f t="shared" si="0"/>
        <v>21302.890000000003</v>
      </c>
      <c r="K19" s="3052"/>
      <c r="M19" s="3054"/>
    </row>
    <row r="20" spans="1:13" ht="15" thickBot="1">
      <c r="A20" s="3494"/>
      <c r="B20" s="3494"/>
      <c r="C20" s="3052" t="s">
        <v>3287</v>
      </c>
      <c r="D20" s="3052" t="s">
        <v>2258</v>
      </c>
      <c r="E20" s="3053">
        <v>3</v>
      </c>
      <c r="F20" s="3055">
        <v>1</v>
      </c>
      <c r="G20" s="3056">
        <v>66.05</v>
      </c>
      <c r="H20" s="3056">
        <v>66.05</v>
      </c>
      <c r="I20" s="3056">
        <f>G20*F20</f>
        <v>66.05</v>
      </c>
      <c r="J20" s="3056">
        <f t="shared" si="0"/>
        <v>66.05</v>
      </c>
      <c r="K20" s="3057"/>
      <c r="M20" s="3054"/>
    </row>
    <row r="21" spans="1:13" ht="29.25" thickBot="1">
      <c r="A21" s="3494" t="s">
        <v>2845</v>
      </c>
      <c r="B21" s="3494"/>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494" t="s">
        <v>3293</v>
      </c>
      <c r="B22" s="3494" t="s">
        <v>3282</v>
      </c>
      <c r="C22" s="3052" t="s">
        <v>3283</v>
      </c>
      <c r="D22" s="3052" t="s">
        <v>2258</v>
      </c>
      <c r="E22" s="3053">
        <v>3</v>
      </c>
      <c r="F22" s="3055">
        <v>1</v>
      </c>
      <c r="G22" s="3053">
        <v>708.48</v>
      </c>
      <c r="H22" s="3053">
        <v>654.41</v>
      </c>
      <c r="I22" s="3056">
        <f>G22*F22</f>
        <v>708.48</v>
      </c>
      <c r="J22" s="3056">
        <f t="shared" si="0"/>
        <v>654.41</v>
      </c>
      <c r="K22" s="3052"/>
      <c r="M22" s="3054"/>
    </row>
    <row r="23" spans="1:13" ht="15" thickBot="1">
      <c r="A23" s="3494"/>
      <c r="B23" s="3494"/>
      <c r="C23" s="3052" t="s">
        <v>3285</v>
      </c>
      <c r="D23" s="3052" t="s">
        <v>2258</v>
      </c>
      <c r="E23" s="3053">
        <v>3</v>
      </c>
      <c r="F23" s="3055">
        <v>1</v>
      </c>
      <c r="G23" s="3053">
        <v>606.78</v>
      </c>
      <c r="H23" s="3053">
        <v>607.97</v>
      </c>
      <c r="I23" s="3056">
        <f>G23*F23</f>
        <v>606.78</v>
      </c>
      <c r="J23" s="3056">
        <f>H23*F23</f>
        <v>607.97</v>
      </c>
      <c r="K23" s="3052"/>
      <c r="M23" s="3054"/>
    </row>
    <row r="24" spans="1:13" ht="15" thickBot="1">
      <c r="A24" s="3494"/>
      <c r="B24" s="3494"/>
      <c r="C24" s="3052" t="s">
        <v>3286</v>
      </c>
      <c r="D24" s="3052" t="s">
        <v>2258</v>
      </c>
      <c r="E24" s="3053">
        <v>3</v>
      </c>
      <c r="F24" s="3055">
        <v>31</v>
      </c>
      <c r="G24" s="3056">
        <v>686</v>
      </c>
      <c r="H24" s="3056">
        <v>687.19</v>
      </c>
      <c r="I24" s="3056">
        <f>G24*F24</f>
        <v>21266</v>
      </c>
      <c r="J24" s="3056">
        <f t="shared" si="0"/>
        <v>21302.890000000003</v>
      </c>
      <c r="K24" s="3052"/>
      <c r="M24" s="3054"/>
    </row>
    <row r="25" spans="1:13" ht="15" thickBot="1">
      <c r="A25" s="3494"/>
      <c r="B25" s="3494"/>
      <c r="C25" s="3052" t="s">
        <v>3287</v>
      </c>
      <c r="D25" s="3052" t="s">
        <v>2258</v>
      </c>
      <c r="E25" s="3053">
        <v>3</v>
      </c>
      <c r="F25" s="3055">
        <v>1</v>
      </c>
      <c r="G25" s="3056">
        <v>66.05</v>
      </c>
      <c r="H25" s="3056">
        <v>66.05</v>
      </c>
      <c r="I25" s="3056">
        <f>G25*F25</f>
        <v>66.05</v>
      </c>
      <c r="J25" s="3056">
        <f t="shared" si="0"/>
        <v>66.05</v>
      </c>
      <c r="K25" s="3057"/>
      <c r="M25" s="3054"/>
    </row>
    <row r="26" spans="1:13" ht="29.25" thickBot="1">
      <c r="A26" s="3494" t="s">
        <v>2845</v>
      </c>
      <c r="B26" s="3494"/>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494" t="s">
        <v>3294</v>
      </c>
      <c r="B27" s="3494" t="s">
        <v>3282</v>
      </c>
      <c r="C27" s="3494" t="s">
        <v>3291</v>
      </c>
      <c r="D27" s="3052" t="s">
        <v>3295</v>
      </c>
      <c r="E27" s="3496">
        <v>5.0999999999999996</v>
      </c>
      <c r="F27" s="3495">
        <v>1</v>
      </c>
      <c r="G27" s="3056">
        <v>515.45000000000005</v>
      </c>
      <c r="H27" s="3056">
        <v>515.45000000000005</v>
      </c>
      <c r="I27" s="3056">
        <f>G27*F27</f>
        <v>515.45000000000005</v>
      </c>
      <c r="J27" s="3056">
        <f>H27*F27</f>
        <v>515.45000000000005</v>
      </c>
      <c r="K27" s="3057"/>
      <c r="M27" s="3054"/>
    </row>
    <row r="28" spans="1:13" ht="27.75" thickBot="1">
      <c r="A28" s="3494"/>
      <c r="B28" s="3494"/>
      <c r="C28" s="3494"/>
      <c r="D28" s="3058" t="s">
        <v>3296</v>
      </c>
      <c r="E28" s="3496"/>
      <c r="F28" s="3495"/>
      <c r="G28" s="3056">
        <v>61.62</v>
      </c>
      <c r="H28" s="3056">
        <v>61.62</v>
      </c>
      <c r="I28" s="3056">
        <f>G28*F27</f>
        <v>61.62</v>
      </c>
      <c r="J28" s="3056">
        <f>H28*F27</f>
        <v>61.62</v>
      </c>
      <c r="K28" s="3057"/>
      <c r="M28" s="3054"/>
    </row>
    <row r="29" spans="1:13" ht="15" thickBot="1">
      <c r="A29" s="3494"/>
      <c r="B29" s="3494"/>
      <c r="C29" s="3052" t="s">
        <v>3283</v>
      </c>
      <c r="D29" s="3052" t="s">
        <v>2258</v>
      </c>
      <c r="E29" s="3053">
        <v>3</v>
      </c>
      <c r="F29" s="3055">
        <v>1</v>
      </c>
      <c r="G29" s="3053">
        <v>708.48</v>
      </c>
      <c r="H29" s="3053">
        <v>654.41</v>
      </c>
      <c r="I29" s="3056">
        <f>G29*F29</f>
        <v>708.48</v>
      </c>
      <c r="J29" s="3056">
        <f t="shared" si="0"/>
        <v>654.41</v>
      </c>
      <c r="K29" s="3052"/>
      <c r="M29" s="3054"/>
    </row>
    <row r="30" spans="1:13" ht="15" thickBot="1">
      <c r="A30" s="3494"/>
      <c r="B30" s="3494"/>
      <c r="C30" s="3052" t="s">
        <v>3285</v>
      </c>
      <c r="D30" s="3052" t="s">
        <v>2258</v>
      </c>
      <c r="E30" s="3053">
        <v>3</v>
      </c>
      <c r="F30" s="3055">
        <v>1</v>
      </c>
      <c r="G30" s="3053">
        <v>606.78</v>
      </c>
      <c r="H30" s="3053">
        <v>607.97</v>
      </c>
      <c r="I30" s="3056">
        <f>G30</f>
        <v>606.78</v>
      </c>
      <c r="J30" s="3056">
        <f>H30</f>
        <v>607.97</v>
      </c>
      <c r="K30" s="3052"/>
      <c r="M30" s="3054"/>
    </row>
    <row r="31" spans="1:13" ht="15" thickBot="1">
      <c r="A31" s="3494"/>
      <c r="B31" s="3494"/>
      <c r="C31" s="3052" t="s">
        <v>3297</v>
      </c>
      <c r="D31" s="3052" t="s">
        <v>2258</v>
      </c>
      <c r="E31" s="3053">
        <v>3</v>
      </c>
      <c r="F31" s="3055">
        <v>29</v>
      </c>
      <c r="G31" s="3056">
        <v>686</v>
      </c>
      <c r="H31" s="3056">
        <v>687.19</v>
      </c>
      <c r="I31" s="3056">
        <f>G31*F31</f>
        <v>19894</v>
      </c>
      <c r="J31" s="3056">
        <f t="shared" si="0"/>
        <v>19928.510000000002</v>
      </c>
      <c r="K31" s="3052"/>
      <c r="M31" s="3054"/>
    </row>
    <row r="32" spans="1:13" ht="15" thickBot="1">
      <c r="A32" s="3494"/>
      <c r="B32" s="3494"/>
      <c r="C32" s="3052" t="s">
        <v>3287</v>
      </c>
      <c r="D32" s="3052" t="s">
        <v>2258</v>
      </c>
      <c r="E32" s="3053">
        <v>3</v>
      </c>
      <c r="F32" s="3055">
        <v>1</v>
      </c>
      <c r="G32" s="3056">
        <v>66.05</v>
      </c>
      <c r="H32" s="3056">
        <v>66.05</v>
      </c>
      <c r="I32" s="3056">
        <f>G32*F32</f>
        <v>66.05</v>
      </c>
      <c r="J32" s="3056">
        <f t="shared" si="0"/>
        <v>66.05</v>
      </c>
      <c r="K32" s="3057"/>
      <c r="M32" s="3054"/>
    </row>
    <row r="33" spans="1:13" ht="29.25" thickBot="1">
      <c r="A33" s="3494" t="s">
        <v>2845</v>
      </c>
      <c r="B33" s="3494"/>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494" t="s">
        <v>3298</v>
      </c>
      <c r="B34" s="3494" t="s">
        <v>3282</v>
      </c>
      <c r="C34" s="3494" t="s">
        <v>3291</v>
      </c>
      <c r="D34" s="3058" t="s">
        <v>3299</v>
      </c>
      <c r="E34" s="3496">
        <v>5.0999999999999996</v>
      </c>
      <c r="F34" s="3495">
        <v>1</v>
      </c>
      <c r="G34" s="3056">
        <v>218.39</v>
      </c>
      <c r="H34" s="3056">
        <v>218.39</v>
      </c>
      <c r="I34" s="3056">
        <f>G34*F34</f>
        <v>218.39</v>
      </c>
      <c r="J34" s="3056">
        <f>H34*F34</f>
        <v>218.39</v>
      </c>
      <c r="K34" s="3057"/>
      <c r="M34" s="3054"/>
    </row>
    <row r="35" spans="1:13" ht="15" thickBot="1">
      <c r="A35" s="3494"/>
      <c r="B35" s="3494"/>
      <c r="C35" s="3494"/>
      <c r="D35" s="3052" t="s">
        <v>3295</v>
      </c>
      <c r="E35" s="3496"/>
      <c r="F35" s="3495"/>
      <c r="G35" s="3056">
        <v>88.31</v>
      </c>
      <c r="H35" s="3056">
        <v>88.31</v>
      </c>
      <c r="I35" s="3056">
        <f>G35*F34</f>
        <v>88.31</v>
      </c>
      <c r="J35" s="3056">
        <f>H35*F34</f>
        <v>88.31</v>
      </c>
      <c r="K35" s="3057" t="s">
        <v>3300</v>
      </c>
      <c r="M35" s="3054"/>
    </row>
    <row r="36" spans="1:13" ht="27.75" thickBot="1">
      <c r="A36" s="3494"/>
      <c r="B36" s="3494"/>
      <c r="C36" s="3494"/>
      <c r="D36" s="3058" t="s">
        <v>3292</v>
      </c>
      <c r="E36" s="3496"/>
      <c r="F36" s="3495"/>
      <c r="G36" s="3056">
        <v>255.26</v>
      </c>
      <c r="H36" s="3056">
        <v>0</v>
      </c>
      <c r="I36" s="3056">
        <f>G36*F34</f>
        <v>255.26</v>
      </c>
      <c r="J36" s="3056">
        <f>H36*F34</f>
        <v>0</v>
      </c>
      <c r="K36" s="3057"/>
      <c r="M36" s="3054"/>
    </row>
    <row r="37" spans="1:13" ht="15" thickBot="1">
      <c r="A37" s="3494"/>
      <c r="B37" s="3494"/>
      <c r="C37" s="3052" t="s">
        <v>3283</v>
      </c>
      <c r="D37" s="3052" t="s">
        <v>2258</v>
      </c>
      <c r="E37" s="3053">
        <v>3</v>
      </c>
      <c r="F37" s="3055">
        <v>1</v>
      </c>
      <c r="G37" s="3053">
        <v>708.48</v>
      </c>
      <c r="H37" s="3053">
        <v>654.41</v>
      </c>
      <c r="I37" s="3056">
        <f>G37*F37</f>
        <v>708.48</v>
      </c>
      <c r="J37" s="3056">
        <f>H37*F37</f>
        <v>654.41</v>
      </c>
      <c r="K37" s="3057"/>
      <c r="M37" s="3054"/>
    </row>
    <row r="38" spans="1:13" ht="15" thickBot="1">
      <c r="A38" s="3494"/>
      <c r="B38" s="3494"/>
      <c r="C38" s="3052" t="s">
        <v>3285</v>
      </c>
      <c r="D38" s="3052" t="s">
        <v>2258</v>
      </c>
      <c r="E38" s="3053">
        <v>3</v>
      </c>
      <c r="F38" s="3055">
        <v>1</v>
      </c>
      <c r="G38" s="3053">
        <v>606.78</v>
      </c>
      <c r="H38" s="3053">
        <v>607.97</v>
      </c>
      <c r="I38" s="3056">
        <f>G38</f>
        <v>606.78</v>
      </c>
      <c r="J38" s="3056">
        <f>H38</f>
        <v>607.97</v>
      </c>
      <c r="K38" s="3057"/>
      <c r="M38" s="3054"/>
    </row>
    <row r="39" spans="1:13" ht="15" thickBot="1">
      <c r="A39" s="3494"/>
      <c r="B39" s="3494"/>
      <c r="C39" s="3052" t="s">
        <v>3297</v>
      </c>
      <c r="D39" s="3052" t="s">
        <v>2258</v>
      </c>
      <c r="E39" s="3053">
        <v>3</v>
      </c>
      <c r="F39" s="3055">
        <v>29</v>
      </c>
      <c r="G39" s="3056">
        <v>686</v>
      </c>
      <c r="H39" s="3056">
        <v>687.19</v>
      </c>
      <c r="I39" s="3056">
        <f>G39*F39</f>
        <v>19894</v>
      </c>
      <c r="J39" s="3056">
        <f t="shared" si="0"/>
        <v>19928.510000000002</v>
      </c>
      <c r="K39" s="3052"/>
      <c r="M39" s="3054"/>
    </row>
    <row r="40" spans="1:13" ht="15" thickBot="1">
      <c r="A40" s="3494"/>
      <c r="B40" s="3494"/>
      <c r="C40" s="3052" t="s">
        <v>3287</v>
      </c>
      <c r="D40" s="3052" t="s">
        <v>2258</v>
      </c>
      <c r="E40" s="3053">
        <v>3</v>
      </c>
      <c r="F40" s="3055">
        <v>1</v>
      </c>
      <c r="G40" s="3056">
        <v>66.05</v>
      </c>
      <c r="H40" s="3056">
        <v>66.05</v>
      </c>
      <c r="I40" s="3056">
        <f>G40*F40</f>
        <v>66.05</v>
      </c>
      <c r="J40" s="3056">
        <f t="shared" si="0"/>
        <v>66.05</v>
      </c>
      <c r="K40" s="3057"/>
      <c r="M40" s="3054"/>
    </row>
    <row r="41" spans="1:13" ht="29.25" thickBot="1">
      <c r="A41" s="3497" t="s">
        <v>42</v>
      </c>
      <c r="B41" s="3497"/>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494" t="s">
        <v>3301</v>
      </c>
      <c r="B42" s="3497"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494"/>
      <c r="B43" s="3497"/>
      <c r="C43" s="3052" t="s">
        <v>3285</v>
      </c>
      <c r="D43" s="3052"/>
      <c r="E43" s="3053" t="s">
        <v>3303</v>
      </c>
      <c r="F43" s="3055">
        <v>1</v>
      </c>
      <c r="G43" s="3056">
        <v>736.49</v>
      </c>
      <c r="H43" s="3056">
        <v>736.49</v>
      </c>
      <c r="I43" s="3056">
        <f>G43*F43</f>
        <v>736.49</v>
      </c>
      <c r="J43" s="3056">
        <f>H43*F43</f>
        <v>736.49</v>
      </c>
      <c r="K43" s="3056"/>
      <c r="L43" s="3054"/>
      <c r="M43" s="3054"/>
    </row>
    <row r="44" spans="1:13" ht="15" thickBot="1">
      <c r="A44" s="3494"/>
      <c r="B44" s="3497"/>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494"/>
      <c r="B45" s="3497"/>
      <c r="C45" s="3052" t="s">
        <v>3287</v>
      </c>
      <c r="D45" s="3052"/>
      <c r="E45" s="3053">
        <v>3</v>
      </c>
      <c r="F45" s="3055">
        <v>1</v>
      </c>
      <c r="G45" s="3056">
        <v>44.46</v>
      </c>
      <c r="H45" s="3056">
        <v>44.46</v>
      </c>
      <c r="I45" s="3056">
        <f>G45*F45</f>
        <v>44.46</v>
      </c>
      <c r="J45" s="3056">
        <f>H45*F45</f>
        <v>44.46</v>
      </c>
      <c r="K45" s="3056"/>
      <c r="L45" s="3054"/>
      <c r="M45" s="3054"/>
    </row>
    <row r="46" spans="1:13" ht="29.25" thickBot="1">
      <c r="A46" s="3497" t="s">
        <v>42</v>
      </c>
      <c r="B46" s="3497"/>
      <c r="C46" s="3059"/>
      <c r="D46" s="3052"/>
      <c r="E46" s="3053"/>
      <c r="F46" s="3055"/>
      <c r="G46" s="3056"/>
      <c r="H46" s="3056"/>
      <c r="I46" s="3056">
        <f>SUM(I42:I45)</f>
        <v>2059.2600000000002</v>
      </c>
      <c r="J46" s="3056">
        <f>SUM(J42:J45)</f>
        <v>2059.2600000000002</v>
      </c>
      <c r="K46" s="3056" t="s">
        <v>3305</v>
      </c>
      <c r="L46" s="3054"/>
      <c r="M46" s="3054"/>
    </row>
    <row r="47" spans="1:13" ht="14.25" thickBot="1">
      <c r="A47" s="3502" t="s">
        <v>3306</v>
      </c>
      <c r="B47" s="3497" t="s">
        <v>3306</v>
      </c>
      <c r="C47" s="3506" t="s">
        <v>3307</v>
      </c>
      <c r="D47" s="3507" t="s">
        <v>3308</v>
      </c>
      <c r="E47" s="3496">
        <v>3.45</v>
      </c>
      <c r="F47" s="3495">
        <v>1</v>
      </c>
      <c r="G47" s="3500">
        <v>18369.97</v>
      </c>
      <c r="H47" s="3500">
        <v>0</v>
      </c>
      <c r="I47" s="3500">
        <f>G47*F47</f>
        <v>18369.97</v>
      </c>
      <c r="J47" s="3500">
        <f>H47*F47</f>
        <v>0</v>
      </c>
      <c r="K47" s="3501" t="s">
        <v>3309</v>
      </c>
      <c r="L47" s="3054"/>
      <c r="M47" s="3054"/>
    </row>
    <row r="48" spans="1:13" ht="14.25" thickBot="1">
      <c r="A48" s="3502"/>
      <c r="B48" s="3497"/>
      <c r="C48" s="3506"/>
      <c r="D48" s="3507"/>
      <c r="E48" s="3496"/>
      <c r="F48" s="3495"/>
      <c r="G48" s="3500"/>
      <c r="H48" s="3500"/>
      <c r="I48" s="3500"/>
      <c r="J48" s="3500"/>
      <c r="K48" s="3501"/>
      <c r="L48" s="3054"/>
      <c r="M48" s="3054"/>
    </row>
    <row r="49" spans="1:13" ht="79.5" thickBot="1">
      <c r="A49" s="3502"/>
      <c r="B49" s="3497"/>
      <c r="C49" s="3059" t="s">
        <v>3291</v>
      </c>
      <c r="D49" s="3052" t="s">
        <v>2261</v>
      </c>
      <c r="E49" s="3053">
        <v>3.5</v>
      </c>
      <c r="F49" s="3055">
        <v>1</v>
      </c>
      <c r="G49" s="3056">
        <v>18782.53</v>
      </c>
      <c r="H49" s="3056">
        <v>622.04999999999995</v>
      </c>
      <c r="I49" s="3056">
        <f>G49*F49</f>
        <v>18782.53</v>
      </c>
      <c r="J49" s="3056">
        <f>H49*F49</f>
        <v>622.04999999999995</v>
      </c>
      <c r="K49" s="3057" t="s">
        <v>3310</v>
      </c>
      <c r="L49" s="3054"/>
      <c r="M49" s="3054"/>
    </row>
    <row r="50" spans="1:13" ht="15" thickBot="1">
      <c r="A50" s="3502"/>
      <c r="B50" s="3497"/>
      <c r="C50" s="3059" t="s">
        <v>3311</v>
      </c>
      <c r="D50" s="3052"/>
      <c r="E50" s="3053"/>
      <c r="F50" s="3055">
        <v>1</v>
      </c>
      <c r="G50" s="3056">
        <v>150.97</v>
      </c>
      <c r="H50" s="3056">
        <v>150.97</v>
      </c>
      <c r="I50" s="3056">
        <f>G50*F50</f>
        <v>150.97</v>
      </c>
      <c r="J50" s="3056">
        <f>H50*F50</f>
        <v>150.97</v>
      </c>
      <c r="K50" s="3052" t="s">
        <v>3312</v>
      </c>
      <c r="L50" s="3054"/>
      <c r="M50" s="3054"/>
    </row>
    <row r="51" spans="1:13" ht="15" thickBot="1">
      <c r="A51" s="3497" t="s">
        <v>42</v>
      </c>
      <c r="B51" s="3497"/>
      <c r="C51" s="3059"/>
      <c r="D51" s="3052"/>
      <c r="E51" s="3053"/>
      <c r="F51" s="3055"/>
      <c r="G51" s="3056"/>
      <c r="H51" s="3056"/>
      <c r="I51" s="3056">
        <f>SUM(I47:I50)</f>
        <v>37303.47</v>
      </c>
      <c r="J51" s="3056">
        <f>SUM(J47:J50)</f>
        <v>773.02</v>
      </c>
      <c r="K51" s="3052"/>
      <c r="L51" s="3054"/>
      <c r="M51" s="3054"/>
    </row>
    <row r="52" spans="1:13" ht="15" thickBot="1">
      <c r="A52" s="3492" t="s">
        <v>3313</v>
      </c>
      <c r="B52" s="3492"/>
      <c r="C52" s="3492"/>
      <c r="D52" s="3060"/>
      <c r="E52" s="3061"/>
      <c r="F52" s="3060"/>
      <c r="G52" s="3060"/>
      <c r="H52" s="3060"/>
      <c r="I52" s="3062">
        <f>I10+I15+I21+I26+I33+I41+I51+I46</f>
        <v>174246.67</v>
      </c>
      <c r="J52" s="3062">
        <f>J10+J15+J21+J26+J33+J41+J51+J46</f>
        <v>136809.84000000003</v>
      </c>
      <c r="K52" s="3063"/>
      <c r="L52" s="3054"/>
      <c r="M52" s="3054"/>
    </row>
    <row r="53" spans="1:13" ht="14.25">
      <c r="A53" s="3503" t="s">
        <v>3314</v>
      </c>
      <c r="B53" s="3504"/>
      <c r="C53" s="3504"/>
      <c r="D53" s="3504"/>
      <c r="E53" s="3504"/>
      <c r="F53" s="3504"/>
      <c r="G53" s="3504"/>
      <c r="H53" s="3504"/>
      <c r="I53" s="3504"/>
      <c r="J53" s="3504"/>
      <c r="K53" s="3505"/>
      <c r="L53" s="3047">
        <f>SUM(L3:L52)</f>
        <v>133194.49</v>
      </c>
    </row>
    <row r="55" spans="1:13">
      <c r="C55" s="3064"/>
      <c r="D55" s="3054"/>
      <c r="E55" s="3065"/>
      <c r="F55" s="3054"/>
      <c r="G55" s="3064"/>
      <c r="H55" s="3054"/>
      <c r="I55" s="3054"/>
      <c r="J55" s="3054"/>
      <c r="K55" s="3054"/>
      <c r="L55" s="3054"/>
    </row>
    <row r="56" spans="1:13" ht="14.25">
      <c r="C56" s="3064"/>
      <c r="D56" s="3066"/>
      <c r="E56" s="3498"/>
      <c r="F56" s="3499"/>
      <c r="G56" s="3067"/>
      <c r="H56" s="3067"/>
      <c r="I56" s="3067"/>
      <c r="J56" s="3067"/>
      <c r="K56" s="3054"/>
      <c r="L56" s="3054"/>
    </row>
    <row r="57" spans="1:13" ht="14.25">
      <c r="C57" s="3064"/>
      <c r="D57" s="3068"/>
      <c r="E57" s="3498"/>
      <c r="F57" s="3499"/>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46:B46"/>
    <mergeCell ref="A47:A50"/>
    <mergeCell ref="B47:B50"/>
    <mergeCell ref="A53:K53"/>
    <mergeCell ref="A51:B51"/>
    <mergeCell ref="A52:C52"/>
    <mergeCell ref="C47:C48"/>
    <mergeCell ref="D47:D48"/>
    <mergeCell ref="E56:E57"/>
    <mergeCell ref="F56:F57"/>
    <mergeCell ref="I47:I48"/>
    <mergeCell ref="J47:J48"/>
    <mergeCell ref="K47:K48"/>
    <mergeCell ref="E47:E48"/>
    <mergeCell ref="F47:F48"/>
    <mergeCell ref="G47:G48"/>
    <mergeCell ref="H47:H48"/>
    <mergeCell ref="C34:C36"/>
    <mergeCell ref="E34:E36"/>
    <mergeCell ref="A41:B41"/>
    <mergeCell ref="A42:A45"/>
    <mergeCell ref="B42:B45"/>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A6:A9"/>
    <mergeCell ref="B6:B9"/>
    <mergeCell ref="A10:B10"/>
    <mergeCell ref="A11:A14"/>
    <mergeCell ref="B11:B14"/>
    <mergeCell ref="A2:K2"/>
    <mergeCell ref="A3:A5"/>
    <mergeCell ref="B3:B5"/>
    <mergeCell ref="C3:C5"/>
    <mergeCell ref="D3:D5"/>
    <mergeCell ref="E3:E5"/>
    <mergeCell ref="F3:F5"/>
    <mergeCell ref="G3:G5"/>
    <mergeCell ref="H3:H5"/>
    <mergeCell ref="I3:I5"/>
    <mergeCell ref="J3:J5"/>
    <mergeCell ref="K3:K5"/>
  </mergeCells>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2639</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45" t="s">
        <v>1035</v>
      </c>
      <c r="D4" s="3246"/>
      <c r="E4" s="3416" t="s">
        <v>1036</v>
      </c>
      <c r="F4" s="3417"/>
      <c r="G4" s="3245" t="s">
        <v>1037</v>
      </c>
      <c r="H4" s="3246"/>
      <c r="I4" s="3245" t="s">
        <v>1038</v>
      </c>
      <c r="J4" s="3246"/>
      <c r="K4" s="517" t="s">
        <v>1039</v>
      </c>
      <c r="L4" s="2152"/>
      <c r="M4" s="2153"/>
      <c r="N4" s="2153"/>
      <c r="O4" s="2153"/>
      <c r="P4" s="3247" t="s">
        <v>1040</v>
      </c>
      <c r="Q4" s="3248"/>
      <c r="R4" s="3253" t="s">
        <v>1036</v>
      </c>
      <c r="S4" s="3254"/>
      <c r="T4" s="3253" t="s">
        <v>1037</v>
      </c>
      <c r="U4" s="3254"/>
      <c r="V4" s="3265" t="s">
        <v>1038</v>
      </c>
      <c r="W4" s="3265"/>
      <c r="X4" s="1580"/>
      <c r="Y4" s="3253" t="s">
        <v>1040</v>
      </c>
      <c r="Z4" s="3254"/>
      <c r="AA4" s="3242" t="s">
        <v>1036</v>
      </c>
      <c r="AB4" s="3243" t="s">
        <v>1037</v>
      </c>
      <c r="AC4" s="3242" t="s">
        <v>1038</v>
      </c>
    </row>
    <row r="5" spans="1:29" ht="15">
      <c r="A5" s="518"/>
      <c r="B5" s="519"/>
      <c r="C5" s="3420" t="s">
        <v>557</v>
      </c>
      <c r="D5" s="3258"/>
      <c r="E5" s="3418" t="s">
        <v>558</v>
      </c>
      <c r="F5" s="3419"/>
      <c r="G5" s="3420" t="s">
        <v>559</v>
      </c>
      <c r="H5" s="3258"/>
      <c r="I5" s="3420" t="s">
        <v>560</v>
      </c>
      <c r="J5" s="3258"/>
      <c r="K5" s="517"/>
      <c r="L5" s="2152"/>
      <c r="M5" s="2153"/>
      <c r="N5" s="2153"/>
      <c r="O5" s="2153"/>
      <c r="P5" s="3249"/>
      <c r="Q5" s="3250"/>
      <c r="R5" s="3255"/>
      <c r="S5" s="3256"/>
      <c r="T5" s="3255"/>
      <c r="U5" s="3256"/>
      <c r="V5" s="3265"/>
      <c r="W5" s="3265"/>
      <c r="X5" s="1580"/>
      <c r="Y5" s="3255"/>
      <c r="Z5" s="3256"/>
      <c r="AA5" s="3243"/>
      <c r="AB5" s="3243"/>
      <c r="AC5" s="3243"/>
    </row>
    <row r="6" spans="1:29" ht="15.75" thickBot="1">
      <c r="A6" s="520"/>
      <c r="B6" s="521"/>
      <c r="C6" s="3421" t="s">
        <v>561</v>
      </c>
      <c r="D6" s="3262"/>
      <c r="E6" s="3422" t="s">
        <v>561</v>
      </c>
      <c r="F6" s="3423"/>
      <c r="G6" s="3421" t="s">
        <v>561</v>
      </c>
      <c r="H6" s="3262"/>
      <c r="I6" s="3421" t="s">
        <v>561</v>
      </c>
      <c r="J6" s="3262"/>
      <c r="K6" s="517" t="s">
        <v>562</v>
      </c>
      <c r="L6" s="2152"/>
      <c r="M6" s="2153"/>
      <c r="N6" s="2153"/>
      <c r="O6" s="2153"/>
      <c r="P6" s="3251"/>
      <c r="Q6" s="3252"/>
      <c r="R6" s="3255"/>
      <c r="S6" s="3256"/>
      <c r="T6" s="3263"/>
      <c r="U6" s="3264"/>
      <c r="V6" s="3265"/>
      <c r="W6" s="3265"/>
      <c r="X6" s="1580"/>
      <c r="Y6" s="3263"/>
      <c r="Z6" s="3264"/>
      <c r="AA6" s="3244"/>
      <c r="AB6" s="3244"/>
      <c r="AC6" s="3244"/>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66" t="s">
        <v>564</v>
      </c>
      <c r="Q7" s="3267"/>
      <c r="R7" s="1581" t="s">
        <v>8</v>
      </c>
      <c r="S7" s="1582">
        <f t="shared" ref="S7:S14" si="0">F7</f>
        <v>0</v>
      </c>
      <c r="T7" s="1581" t="s">
        <v>8</v>
      </c>
      <c r="U7" s="1582">
        <f t="shared" ref="U7:U14" si="1">H7</f>
        <v>0</v>
      </c>
      <c r="V7" s="1581" t="s">
        <v>8</v>
      </c>
      <c r="W7" s="1582">
        <f t="shared" ref="W7:W14" si="2">J7</f>
        <v>0</v>
      </c>
      <c r="X7" s="1583"/>
      <c r="Y7" s="3266" t="s">
        <v>564</v>
      </c>
      <c r="Z7" s="3268"/>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66" t="s">
        <v>567</v>
      </c>
      <c r="Q8" s="3268"/>
      <c r="R8" s="1581" t="s">
        <v>8</v>
      </c>
      <c r="S8" s="1582">
        <f t="shared" si="0"/>
        <v>95</v>
      </c>
      <c r="T8" s="1581" t="s">
        <v>8</v>
      </c>
      <c r="U8" s="1582">
        <f t="shared" si="1"/>
        <v>100</v>
      </c>
      <c r="V8" s="1581" t="s">
        <v>8</v>
      </c>
      <c r="W8" s="1582">
        <f t="shared" si="2"/>
        <v>100</v>
      </c>
      <c r="X8" s="1583"/>
      <c r="Y8" s="3266" t="s">
        <v>567</v>
      </c>
      <c r="Z8" s="3268"/>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69" t="s">
        <v>569</v>
      </c>
      <c r="Q9" s="1150" t="str">
        <f t="shared" ref="Q9:Q14" si="6">B9</f>
        <v>用途</v>
      </c>
      <c r="R9" s="1581" t="s">
        <v>8</v>
      </c>
      <c r="S9" s="1582">
        <f t="shared" si="0"/>
        <v>100</v>
      </c>
      <c r="T9" s="1581" t="s">
        <v>8</v>
      </c>
      <c r="U9" s="1582">
        <f t="shared" si="1"/>
        <v>100</v>
      </c>
      <c r="V9" s="1581" t="s">
        <v>8</v>
      </c>
      <c r="W9" s="1582">
        <f t="shared" si="2"/>
        <v>100</v>
      </c>
      <c r="X9" s="1583"/>
      <c r="Y9" s="3270"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69"/>
      <c r="Q10" s="1150" t="str">
        <f t="shared" si="6"/>
        <v>土地使用年限（年）</v>
      </c>
      <c r="R10" s="1581" t="s">
        <v>8</v>
      </c>
      <c r="S10" s="1582">
        <f t="shared" si="0"/>
        <v>97</v>
      </c>
      <c r="T10" s="1581" t="s">
        <v>8</v>
      </c>
      <c r="U10" s="1582">
        <f t="shared" si="1"/>
        <v>94</v>
      </c>
      <c r="V10" s="1581" t="s">
        <v>8</v>
      </c>
      <c r="W10" s="1582">
        <f t="shared" si="2"/>
        <v>91</v>
      </c>
      <c r="X10" s="1583"/>
      <c r="Y10" s="3270"/>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69"/>
      <c r="Q11" s="1150">
        <f t="shared" si="6"/>
        <v>111</v>
      </c>
      <c r="R11" s="1581" t="s">
        <v>8</v>
      </c>
      <c r="S11" s="1582">
        <f t="shared" si="0"/>
        <v>99</v>
      </c>
      <c r="T11" s="1581" t="s">
        <v>8</v>
      </c>
      <c r="U11" s="1582">
        <f t="shared" si="1"/>
        <v>98</v>
      </c>
      <c r="V11" s="1581" t="s">
        <v>8</v>
      </c>
      <c r="W11" s="1582">
        <f t="shared" si="2"/>
        <v>97</v>
      </c>
      <c r="X11" s="1583"/>
      <c r="Y11" s="3270"/>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69"/>
      <c r="Q12" s="1150">
        <f t="shared" si="6"/>
        <v>111</v>
      </c>
      <c r="R12" s="1581" t="s">
        <v>8</v>
      </c>
      <c r="S12" s="1582">
        <f t="shared" si="0"/>
        <v>98</v>
      </c>
      <c r="T12" s="1581" t="s">
        <v>8</v>
      </c>
      <c r="U12" s="1582">
        <f t="shared" si="1"/>
        <v>96</v>
      </c>
      <c r="V12" s="1581" t="s">
        <v>8</v>
      </c>
      <c r="W12" s="1582">
        <f t="shared" si="2"/>
        <v>94</v>
      </c>
      <c r="X12" s="1583"/>
      <c r="Y12" s="3270"/>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69"/>
      <c r="Q13" s="1150">
        <f t="shared" si="6"/>
        <v>111</v>
      </c>
      <c r="R13" s="1581" t="s">
        <v>8</v>
      </c>
      <c r="S13" s="1582">
        <f t="shared" si="0"/>
        <v>97</v>
      </c>
      <c r="T13" s="1581" t="s">
        <v>8</v>
      </c>
      <c r="U13" s="1582">
        <f t="shared" si="1"/>
        <v>94</v>
      </c>
      <c r="V13" s="1581" t="s">
        <v>8</v>
      </c>
      <c r="W13" s="1582">
        <f t="shared" si="2"/>
        <v>91</v>
      </c>
      <c r="X13" s="1583"/>
      <c r="Y13" s="3270"/>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71" t="s">
        <v>575</v>
      </c>
      <c r="Q14" s="1585" t="str">
        <f t="shared" si="6"/>
        <v>交通便捷度</v>
      </c>
      <c r="R14" s="1586" t="s">
        <v>8</v>
      </c>
      <c r="S14" s="1587">
        <f t="shared" si="0"/>
        <v>102</v>
      </c>
      <c r="T14" s="1586" t="s">
        <v>8</v>
      </c>
      <c r="U14" s="1587">
        <f t="shared" si="1"/>
        <v>98</v>
      </c>
      <c r="V14" s="1586" t="s">
        <v>8</v>
      </c>
      <c r="W14" s="1587">
        <f t="shared" si="2"/>
        <v>96</v>
      </c>
      <c r="X14" s="1580"/>
      <c r="Y14" s="3271"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72"/>
      <c r="Q15" s="1585"/>
      <c r="R15" s="1586"/>
      <c r="S15" s="1587"/>
      <c r="T15" s="1586"/>
      <c r="U15" s="1587"/>
      <c r="V15" s="1586"/>
      <c r="W15" s="1587"/>
      <c r="X15" s="1580"/>
      <c r="Y15" s="3272"/>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72"/>
      <c r="Q16" s="1585" t="str">
        <f>B16</f>
        <v>公共配套设施</v>
      </c>
      <c r="R16" s="1586" t="s">
        <v>8</v>
      </c>
      <c r="S16" s="1587">
        <f>F16</f>
        <v>98</v>
      </c>
      <c r="T16" s="1586" t="s">
        <v>8</v>
      </c>
      <c r="U16" s="1587">
        <f>H16</f>
        <v>96</v>
      </c>
      <c r="V16" s="1586" t="s">
        <v>8</v>
      </c>
      <c r="W16" s="1587">
        <f>J16</f>
        <v>102</v>
      </c>
      <c r="X16" s="1580"/>
      <c r="Y16" s="3272"/>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72"/>
      <c r="Q17" s="1585"/>
      <c r="R17" s="1586"/>
      <c r="S17" s="1587"/>
      <c r="T17" s="1586"/>
      <c r="U17" s="1587"/>
      <c r="V17" s="1586"/>
      <c r="W17" s="1587"/>
      <c r="X17" s="1580"/>
      <c r="Y17" s="3272"/>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72"/>
      <c r="Q18" s="2632" t="str">
        <f>B18</f>
        <v>基础设施水平</v>
      </c>
      <c r="R18" s="1586" t="s">
        <v>8</v>
      </c>
      <c r="S18" s="1587">
        <f>F18</f>
        <v>99</v>
      </c>
      <c r="T18" s="1586" t="s">
        <v>8</v>
      </c>
      <c r="U18" s="1587">
        <f>H18</f>
        <v>98</v>
      </c>
      <c r="V18" s="1586" t="s">
        <v>8</v>
      </c>
      <c r="W18" s="1587">
        <f>J18</f>
        <v>97</v>
      </c>
      <c r="X18" s="2634"/>
      <c r="Y18" s="3272"/>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2677</v>
      </c>
      <c r="F19" s="565"/>
      <c r="G19" s="873" t="s">
        <v>2678</v>
      </c>
      <c r="H19" s="557"/>
      <c r="I19" s="578" t="s">
        <v>2902</v>
      </c>
      <c r="J19" s="557"/>
      <c r="K19" s="2656"/>
      <c r="L19" s="2161"/>
      <c r="M19" s="2153"/>
      <c r="N19" s="2153"/>
      <c r="O19" s="2160"/>
      <c r="P19" s="3272"/>
      <c r="Q19" s="2632"/>
      <c r="R19" s="1586"/>
      <c r="S19" s="1587"/>
      <c r="T19" s="1586"/>
      <c r="U19" s="1587"/>
      <c r="V19" s="1586"/>
      <c r="W19" s="1587"/>
      <c r="X19" s="2634"/>
      <c r="Y19" s="3272"/>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72"/>
      <c r="Q20" s="1585" t="str">
        <f>B20</f>
        <v>自然及人文环境</v>
      </c>
      <c r="R20" s="1586" t="s">
        <v>8</v>
      </c>
      <c r="S20" s="1587">
        <f>F20</f>
        <v>97</v>
      </c>
      <c r="T20" s="1586" t="s">
        <v>8</v>
      </c>
      <c r="U20" s="1587">
        <f>H20</f>
        <v>103</v>
      </c>
      <c r="V20" s="1586" t="s">
        <v>8</v>
      </c>
      <c r="W20" s="1587">
        <f>J20</f>
        <v>106</v>
      </c>
      <c r="X20" s="1580"/>
      <c r="Y20" s="3272"/>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72"/>
      <c r="Q21" s="1585"/>
      <c r="R21" s="1586"/>
      <c r="S21" s="1587"/>
      <c r="T21" s="1586"/>
      <c r="U21" s="1587"/>
      <c r="V21" s="1586"/>
      <c r="W21" s="1587"/>
      <c r="X21" s="1580"/>
      <c r="Y21" s="3272"/>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72"/>
      <c r="Q22" s="1585" t="str">
        <f>B22</f>
        <v>楼层</v>
      </c>
      <c r="R22" s="1586" t="s">
        <v>8</v>
      </c>
      <c r="S22" s="1587">
        <f>F22</f>
        <v>98</v>
      </c>
      <c r="T22" s="1586" t="s">
        <v>8</v>
      </c>
      <c r="U22" s="1587">
        <f>H22</f>
        <v>98</v>
      </c>
      <c r="V22" s="1586" t="s">
        <v>8</v>
      </c>
      <c r="W22" s="1587">
        <f>J22</f>
        <v>100</v>
      </c>
      <c r="X22" s="1580"/>
      <c r="Y22" s="3272"/>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72"/>
      <c r="Q23" s="1585">
        <f>B23</f>
        <v>111</v>
      </c>
      <c r="R23" s="1586" t="s">
        <v>8</v>
      </c>
      <c r="S23" s="1587">
        <f>F23</f>
        <v>99</v>
      </c>
      <c r="T23" s="1586" t="s">
        <v>8</v>
      </c>
      <c r="U23" s="1587">
        <f>H23</f>
        <v>98</v>
      </c>
      <c r="V23" s="1586" t="s">
        <v>8</v>
      </c>
      <c r="W23" s="1587">
        <f>J23</f>
        <v>97</v>
      </c>
      <c r="X23" s="1580"/>
      <c r="Y23" s="3272"/>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72"/>
      <c r="Q24" s="1585">
        <f t="shared" ref="Q24:Q34" si="11">B24</f>
        <v>111</v>
      </c>
      <c r="R24" s="1586" t="s">
        <v>8</v>
      </c>
      <c r="S24" s="1587">
        <f>F24</f>
        <v>98</v>
      </c>
      <c r="T24" s="1586" t="s">
        <v>8</v>
      </c>
      <c r="U24" s="1587">
        <f>H24</f>
        <v>96</v>
      </c>
      <c r="V24" s="1586" t="s">
        <v>8</v>
      </c>
      <c r="W24" s="1587">
        <f>J24</f>
        <v>94</v>
      </c>
      <c r="X24" s="1580"/>
      <c r="Y24" s="3272"/>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72"/>
      <c r="Q25" s="1150">
        <f t="shared" si="11"/>
        <v>111</v>
      </c>
      <c r="R25" s="1581" t="s">
        <v>8</v>
      </c>
      <c r="S25" s="1582">
        <f>F25</f>
        <v>97</v>
      </c>
      <c r="T25" s="1581" t="s">
        <v>8</v>
      </c>
      <c r="U25" s="1582">
        <f>H25</f>
        <v>94</v>
      </c>
      <c r="V25" s="1581" t="s">
        <v>8</v>
      </c>
      <c r="W25" s="1582">
        <f>J25</f>
        <v>91</v>
      </c>
      <c r="X25" s="1583"/>
      <c r="Y25" s="3272"/>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77"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78"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78"/>
      <c r="Q27" s="1618" t="str">
        <f t="shared" si="11"/>
        <v>成新率</v>
      </c>
      <c r="R27" s="1590" t="s">
        <v>8</v>
      </c>
      <c r="S27" s="1591">
        <f t="shared" si="12"/>
        <v>102</v>
      </c>
      <c r="T27" s="1590" t="s">
        <v>8</v>
      </c>
      <c r="U27" s="1591">
        <f t="shared" si="13"/>
        <v>102</v>
      </c>
      <c r="V27" s="1590" t="s">
        <v>8</v>
      </c>
      <c r="W27" s="1591">
        <f t="shared" si="14"/>
        <v>100</v>
      </c>
      <c r="X27" s="1592"/>
      <c r="Y27" s="3278"/>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78"/>
      <c r="Q28" s="1585" t="str">
        <f t="shared" si="11"/>
        <v>物业等级</v>
      </c>
      <c r="R28" s="1586" t="s">
        <v>8</v>
      </c>
      <c r="S28" s="1587">
        <f t="shared" si="12"/>
        <v>94</v>
      </c>
      <c r="T28" s="1586" t="s">
        <v>8</v>
      </c>
      <c r="U28" s="1587">
        <f t="shared" si="13"/>
        <v>97</v>
      </c>
      <c r="V28" s="1586" t="s">
        <v>8</v>
      </c>
      <c r="W28" s="1587">
        <f t="shared" si="14"/>
        <v>100</v>
      </c>
      <c r="X28" s="1580"/>
      <c r="Y28" s="3278"/>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78"/>
      <c r="Q29" s="1585" t="str">
        <f t="shared" si="11"/>
        <v>有无电梯</v>
      </c>
      <c r="R29" s="1586" t="s">
        <v>8</v>
      </c>
      <c r="S29" s="1587">
        <f t="shared" si="12"/>
        <v>98</v>
      </c>
      <c r="T29" s="1586" t="s">
        <v>8</v>
      </c>
      <c r="U29" s="1587">
        <f t="shared" si="13"/>
        <v>100</v>
      </c>
      <c r="V29" s="1586" t="s">
        <v>8</v>
      </c>
      <c r="W29" s="1587">
        <f t="shared" si="14"/>
        <v>98</v>
      </c>
      <c r="X29" s="1580"/>
      <c r="Y29" s="3278"/>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78"/>
      <c r="Q30" s="1585" t="str">
        <f t="shared" si="11"/>
        <v>建筑面积</v>
      </c>
      <c r="R30" s="1586" t="s">
        <v>8</v>
      </c>
      <c r="S30" s="1587">
        <f t="shared" si="12"/>
        <v>96</v>
      </c>
      <c r="T30" s="1586" t="s">
        <v>8</v>
      </c>
      <c r="U30" s="1587">
        <f t="shared" si="13"/>
        <v>98</v>
      </c>
      <c r="V30" s="1586" t="s">
        <v>8</v>
      </c>
      <c r="W30" s="1587">
        <f t="shared" si="14"/>
        <v>102</v>
      </c>
      <c r="X30" s="1580"/>
      <c r="Y30" s="3278"/>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78"/>
      <c r="Q31" s="1150" t="str">
        <f t="shared" si="11"/>
        <v>是否封闭</v>
      </c>
      <c r="R31" s="1581" t="s">
        <v>8</v>
      </c>
      <c r="S31" s="1582">
        <f t="shared" si="12"/>
        <v>102</v>
      </c>
      <c r="T31" s="1581" t="s">
        <v>8</v>
      </c>
      <c r="U31" s="1582">
        <f t="shared" si="13"/>
        <v>102</v>
      </c>
      <c r="V31" s="1581" t="s">
        <v>8</v>
      </c>
      <c r="W31" s="1582">
        <f t="shared" si="14"/>
        <v>100</v>
      </c>
      <c r="X31" s="1583"/>
      <c r="Y31" s="3278"/>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78" t="s">
        <v>591</v>
      </c>
      <c r="Q32" s="1585">
        <f t="shared" si="11"/>
        <v>111</v>
      </c>
      <c r="R32" s="1586" t="s">
        <v>8</v>
      </c>
      <c r="S32" s="1587">
        <f t="shared" si="12"/>
        <v>99</v>
      </c>
      <c r="T32" s="1586" t="s">
        <v>8</v>
      </c>
      <c r="U32" s="1587">
        <f t="shared" si="13"/>
        <v>98</v>
      </c>
      <c r="V32" s="1586" t="s">
        <v>8</v>
      </c>
      <c r="W32" s="1587">
        <f t="shared" si="14"/>
        <v>97</v>
      </c>
      <c r="X32" s="1580"/>
      <c r="Y32" s="3278"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78"/>
      <c r="Q33" s="1585">
        <f t="shared" si="11"/>
        <v>111</v>
      </c>
      <c r="R33" s="1586" t="s">
        <v>8</v>
      </c>
      <c r="S33" s="1587">
        <f t="shared" si="12"/>
        <v>98</v>
      </c>
      <c r="T33" s="1586" t="s">
        <v>8</v>
      </c>
      <c r="U33" s="1587">
        <f t="shared" si="13"/>
        <v>96</v>
      </c>
      <c r="V33" s="1586" t="s">
        <v>8</v>
      </c>
      <c r="W33" s="1587">
        <f t="shared" si="14"/>
        <v>94</v>
      </c>
      <c r="X33" s="1580"/>
      <c r="Y33" s="3278"/>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78"/>
      <c r="Q34" s="1585">
        <f t="shared" si="11"/>
        <v>111</v>
      </c>
      <c r="R34" s="1586" t="s">
        <v>8</v>
      </c>
      <c r="S34" s="1587">
        <f t="shared" si="12"/>
        <v>97</v>
      </c>
      <c r="T34" s="1586" t="s">
        <v>8</v>
      </c>
      <c r="U34" s="1587">
        <f t="shared" si="13"/>
        <v>94</v>
      </c>
      <c r="V34" s="1586" t="s">
        <v>8</v>
      </c>
      <c r="W34" s="1587">
        <f t="shared" si="14"/>
        <v>91</v>
      </c>
      <c r="X34" s="1580"/>
      <c r="Y34" s="3278"/>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69" t="str">
        <f>A35</f>
        <v>成交单价（元/平方米）</v>
      </c>
      <c r="Q35" s="3269"/>
      <c r="R35" s="3485">
        <f>E35</f>
        <v>30000</v>
      </c>
      <c r="S35" s="3485"/>
      <c r="T35" s="3485">
        <f>G35</f>
        <v>35000</v>
      </c>
      <c r="U35" s="3485"/>
      <c r="V35" s="3485">
        <f>I35</f>
        <v>32000</v>
      </c>
      <c r="W35" s="3485"/>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69" t="str">
        <f>A36</f>
        <v>比较价格（元/平方米）</v>
      </c>
      <c r="Q36" s="3269"/>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74" t="str">
        <f>A37</f>
        <v>估价对象XX用房的比较价格（楼面单价，元/平方米）</v>
      </c>
      <c r="Q37" s="3275"/>
      <c r="R37" s="3484" t="e">
        <f>IF(F1="售价",ROUND(AVERAGE(R36:V36),0),ROUND(AVERAGE(R36:V36),1))</f>
        <v>#DIV/0!</v>
      </c>
      <c r="S37" s="3484"/>
      <c r="T37" s="3484"/>
      <c r="U37" s="3484"/>
      <c r="V37" s="3484"/>
      <c r="W37" s="3484"/>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2620</v>
      </c>
      <c r="C1" s="3511" t="s">
        <v>2621</v>
      </c>
      <c r="D1" s="3512"/>
      <c r="E1" s="3512"/>
      <c r="F1" s="3512"/>
      <c r="G1" s="3512"/>
      <c r="H1" s="3512"/>
      <c r="I1" s="3512"/>
      <c r="J1" s="3512"/>
      <c r="K1" s="3512"/>
      <c r="L1" s="3512"/>
      <c r="M1" s="3512"/>
      <c r="N1" s="3512"/>
      <c r="O1" s="3512"/>
      <c r="P1" s="3512"/>
      <c r="Q1" s="3512"/>
      <c r="R1" s="3512"/>
      <c r="S1" s="3513"/>
      <c r="T1" s="2253" t="s">
        <v>2622</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2623</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2624</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2625</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2626</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2627</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2628</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2629</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2630</v>
      </c>
      <c r="B17" s="2298" t="s">
        <v>2631</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508" t="s">
        <v>35</v>
      </c>
      <c r="D22" s="3509"/>
      <c r="E22" s="3509"/>
      <c r="F22" s="3509"/>
      <c r="G22" s="3509"/>
      <c r="H22" s="3509"/>
      <c r="I22" s="3509"/>
      <c r="J22" s="3509"/>
      <c r="K22" s="3509"/>
      <c r="L22" s="3509"/>
      <c r="M22" s="3509"/>
      <c r="N22" s="3509"/>
      <c r="O22" s="3509"/>
      <c r="P22" s="3509"/>
      <c r="Q22" s="3510"/>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MATCH(C2,H3:H7,1)+IF(SUMIF(H3:H7,C2,I3:I7)=0,2,1)</f>
        <v>5</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1.5</v>
      </c>
      <c r="D2" s="3003" t="s">
        <v>3169</v>
      </c>
      <c r="E2" s="3006">
        <f ca="1">INDIRECT("I"&amp;$I$1)/100</f>
        <v>4.7500000000000001E-2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L10" sqref="L10"/>
    </sheetView>
  </sheetViews>
  <sheetFormatPr defaultRowHeight="13.5"/>
  <cols>
    <col min="4" max="4" width="12.375" customWidth="1"/>
    <col min="5" max="5" width="15.25" customWidth="1"/>
    <col min="9" max="9" width="10.25" customWidth="1"/>
    <col min="11" max="11" width="24.5" customWidth="1"/>
  </cols>
  <sheetData>
    <row r="1" spans="1:12">
      <c r="B1" s="3178" t="s">
        <v>3321</v>
      </c>
      <c r="C1" s="3178"/>
      <c r="D1" s="3178" t="s">
        <v>3331</v>
      </c>
      <c r="E1" s="3178" t="s">
        <v>3322</v>
      </c>
      <c r="F1" s="3178" t="s">
        <v>3323</v>
      </c>
      <c r="G1" s="3178" t="s">
        <v>3324</v>
      </c>
      <c r="H1" s="3178" t="s">
        <v>3325</v>
      </c>
      <c r="I1" s="3178" t="s">
        <v>3359</v>
      </c>
      <c r="K1" s="3178" t="s">
        <v>3332</v>
      </c>
      <c r="L1">
        <v>3512</v>
      </c>
    </row>
    <row r="2" spans="1:12">
      <c r="A2" s="3514" t="s">
        <v>3318</v>
      </c>
      <c r="B2" s="3178" t="s">
        <v>3317</v>
      </c>
      <c r="C2" s="3178"/>
      <c r="D2" s="3178">
        <f>E2</f>
        <v>26747.43</v>
      </c>
      <c r="E2" s="3198">
        <v>26747.43</v>
      </c>
      <c r="F2" s="3198">
        <f>E2*2.2</f>
        <v>58844.346000000005</v>
      </c>
      <c r="G2" s="3198">
        <v>0</v>
      </c>
      <c r="H2" s="3198">
        <f>E2*2.2</f>
        <v>58844.346000000005</v>
      </c>
      <c r="I2">
        <f>ROUND(F2/E2,2)</f>
        <v>2.2000000000000002</v>
      </c>
      <c r="K2" s="3178" t="s">
        <v>3333</v>
      </c>
      <c r="L2">
        <v>34756.589999999997</v>
      </c>
    </row>
    <row r="3" spans="1:12">
      <c r="A3" s="3514"/>
      <c r="B3" s="3178" t="s">
        <v>3317</v>
      </c>
      <c r="D3">
        <f>E3</f>
        <v>100953.97</v>
      </c>
      <c r="E3" s="3198">
        <v>100953.97</v>
      </c>
      <c r="F3" s="3198">
        <f>344281-F2</f>
        <v>285436.65399999998</v>
      </c>
      <c r="G3" s="3198">
        <f>224900-G2</f>
        <v>224900</v>
      </c>
      <c r="H3" s="3198">
        <f>119381-H2</f>
        <v>60536.653999999995</v>
      </c>
      <c r="I3">
        <f t="shared" ref="I3:I6" si="0">ROUND(F3/E3,2)</f>
        <v>2.83</v>
      </c>
      <c r="K3">
        <v>2</v>
      </c>
      <c r="L3">
        <v>29886.240000000002</v>
      </c>
    </row>
    <row r="4" spans="1:12" s="3180" customFormat="1">
      <c r="A4" s="3200" t="s">
        <v>3319</v>
      </c>
      <c r="B4" s="3198" t="s">
        <v>3320</v>
      </c>
      <c r="C4" s="3198">
        <v>41</v>
      </c>
      <c r="D4" s="3198">
        <v>24471.7</v>
      </c>
      <c r="E4" s="3198">
        <v>19297</v>
      </c>
      <c r="F4" s="3198">
        <v>19544.900000000001</v>
      </c>
      <c r="G4" s="3198"/>
      <c r="H4" s="3198">
        <v>19544.900000000001</v>
      </c>
      <c r="I4" s="3198">
        <f t="shared" si="0"/>
        <v>1.01</v>
      </c>
    </row>
    <row r="5" spans="1:12" s="3180" customFormat="1">
      <c r="A5" s="3199" t="s">
        <v>3326</v>
      </c>
      <c r="B5" s="3180" t="s">
        <v>3327</v>
      </c>
      <c r="C5" s="3180">
        <v>109</v>
      </c>
      <c r="D5" s="3180">
        <v>27244.21</v>
      </c>
      <c r="E5" s="3180">
        <v>46771</v>
      </c>
      <c r="F5" s="3180">
        <v>76634</v>
      </c>
      <c r="H5" s="3180">
        <v>76634</v>
      </c>
      <c r="I5" s="3180">
        <f t="shared" si="0"/>
        <v>1.64</v>
      </c>
    </row>
    <row r="6" spans="1:12">
      <c r="A6" s="3179" t="s">
        <v>3328</v>
      </c>
      <c r="B6" s="3178" t="s">
        <v>3329</v>
      </c>
      <c r="C6">
        <v>110</v>
      </c>
      <c r="D6">
        <v>27244.21</v>
      </c>
      <c r="E6" s="3198">
        <v>61496</v>
      </c>
      <c r="F6" s="3198">
        <v>121126</v>
      </c>
      <c r="G6" s="3198">
        <v>112168.3</v>
      </c>
      <c r="H6" s="3198">
        <f>F6-G6</f>
        <v>8957.6999999999971</v>
      </c>
      <c r="I6">
        <f t="shared" si="0"/>
        <v>1.97</v>
      </c>
    </row>
    <row r="7" spans="1:12">
      <c r="A7" s="3178"/>
      <c r="C7">
        <v>111</v>
      </c>
      <c r="D7" s="3178">
        <v>12020.71</v>
      </c>
      <c r="E7" s="3198"/>
      <c r="F7" s="3198"/>
      <c r="G7" s="3198"/>
      <c r="H7" s="3198"/>
    </row>
    <row r="8" spans="1:12">
      <c r="C8">
        <v>112</v>
      </c>
      <c r="D8" s="3178">
        <v>16600.310000000001</v>
      </c>
    </row>
    <row r="9" spans="1:12">
      <c r="A9" s="3178"/>
      <c r="C9">
        <v>114</v>
      </c>
      <c r="D9" s="3178">
        <v>12410.05</v>
      </c>
    </row>
    <row r="10" spans="1:12">
      <c r="A10" s="3178" t="s">
        <v>3330</v>
      </c>
      <c r="D10">
        <f>SUM(D2:D9)</f>
        <v>247692.58999999997</v>
      </c>
      <c r="E10">
        <f t="shared" ref="E10:H10" si="1">SUM(E2:E9)</f>
        <v>255265.4</v>
      </c>
      <c r="F10">
        <f t="shared" si="1"/>
        <v>561585.9</v>
      </c>
      <c r="G10">
        <f t="shared" si="1"/>
        <v>337068.3</v>
      </c>
      <c r="H10">
        <f t="shared" si="1"/>
        <v>224517.59999999998</v>
      </c>
    </row>
    <row r="11" spans="1:12">
      <c r="D11" s="3178" t="s">
        <v>3358</v>
      </c>
      <c r="E11">
        <f>E10-D10</f>
        <v>7572.8100000000268</v>
      </c>
    </row>
    <row r="13" spans="1:12">
      <c r="D13" s="3178"/>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2350</v>
      </c>
      <c r="B1" s="3220"/>
      <c r="C1" s="3220"/>
      <c r="D1" s="3220"/>
      <c r="E1" s="3220"/>
      <c r="F1" s="3220"/>
      <c r="G1" s="3220"/>
      <c r="H1" s="3220"/>
      <c r="I1" s="3220"/>
      <c r="J1" s="3220"/>
      <c r="K1" s="3220"/>
      <c r="L1" s="3220"/>
      <c r="M1" s="3220"/>
      <c r="N1" s="3220"/>
      <c r="O1" s="3220"/>
      <c r="P1" s="3220"/>
      <c r="Q1" s="3220"/>
      <c r="R1" s="3220"/>
    </row>
    <row r="2" spans="1:18">
      <c r="A2" s="1819" t="s">
        <v>2352</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21" t="s">
        <v>2341</v>
      </c>
      <c r="B3" s="3221" t="s">
        <v>3105</v>
      </c>
      <c r="C3" s="3222" t="s">
        <v>2342</v>
      </c>
      <c r="D3" s="3221" t="s">
        <v>3109</v>
      </c>
      <c r="E3" s="3216" t="s">
        <v>2343</v>
      </c>
      <c r="F3" s="3216"/>
      <c r="G3" s="3216"/>
      <c r="H3" s="3216" t="s">
        <v>2344</v>
      </c>
      <c r="I3" s="3216"/>
      <c r="J3" s="3216"/>
      <c r="K3" s="3222" t="s">
        <v>2345</v>
      </c>
      <c r="L3" s="3222" t="s">
        <v>2346</v>
      </c>
      <c r="M3" s="3221" t="s">
        <v>3106</v>
      </c>
      <c r="N3" s="3223" t="str">
        <f>"（分摊）"&amp;项目基本情况!B16&amp;"国有建设用地使用权面积/㎡"</f>
        <v>（分摊）出让国有建设用地使用权面积/㎡</v>
      </c>
      <c r="O3" s="3221" t="s">
        <v>2378</v>
      </c>
      <c r="P3" s="3222" t="s">
        <v>2355</v>
      </c>
      <c r="Q3" s="3222" t="s">
        <v>2379</v>
      </c>
      <c r="R3" s="3222" t="s">
        <v>2347</v>
      </c>
    </row>
    <row r="4" spans="1:18" ht="36.75" customHeight="1">
      <c r="A4" s="3221"/>
      <c r="B4" s="3221"/>
      <c r="C4" s="3222"/>
      <c r="D4" s="3221"/>
      <c r="E4" s="2704" t="s">
        <v>2354</v>
      </c>
      <c r="F4" s="2704" t="s">
        <v>3121</v>
      </c>
      <c r="G4" s="2704" t="s">
        <v>2348</v>
      </c>
      <c r="H4" s="2704" t="s">
        <v>2349</v>
      </c>
      <c r="I4" s="2704" t="s">
        <v>3122</v>
      </c>
      <c r="J4" s="2704" t="s">
        <v>2348</v>
      </c>
      <c r="K4" s="3222"/>
      <c r="L4" s="3222"/>
      <c r="M4" s="3221"/>
      <c r="N4" s="3223"/>
      <c r="O4" s="3221"/>
      <c r="P4" s="3222"/>
      <c r="Q4" s="3222"/>
      <c r="R4" s="3222"/>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46771</v>
      </c>
      <c r="O5" s="1822">
        <f>项目基本情况!C21</f>
        <v>76634</v>
      </c>
      <c r="P5" s="1822">
        <f ca="1">结果表!E42</f>
        <v>7149</v>
      </c>
      <c r="Q5" s="1822">
        <f ca="1">结果表!D42</f>
        <v>4363</v>
      </c>
      <c r="R5" s="1823">
        <f ca="1">结果表!C42</f>
        <v>33438</v>
      </c>
    </row>
    <row r="6" spans="1:18">
      <c r="A6" s="3217" t="s">
        <v>2308</v>
      </c>
      <c r="B6" s="3218"/>
      <c r="C6" s="3218"/>
      <c r="D6" s="3218"/>
      <c r="E6" s="3218"/>
      <c r="F6" s="3218"/>
      <c r="G6" s="3218"/>
      <c r="H6" s="3218"/>
      <c r="I6" s="3218"/>
      <c r="J6" s="3218"/>
      <c r="K6" s="3218"/>
      <c r="L6" s="3218"/>
      <c r="M6" s="3218"/>
      <c r="N6" s="3218"/>
      <c r="O6" s="3218"/>
      <c r="P6" s="3218"/>
      <c r="Q6" s="3219"/>
      <c r="R6" s="1824">
        <f ca="1">结果表!O39</f>
        <v>33438</v>
      </c>
    </row>
    <row r="7" spans="1:18">
      <c r="A7" s="3217" t="str">
        <f>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24" t="str">
        <f>结果表!O40</f>
        <v>——</v>
      </c>
    </row>
    <row r="8" spans="1:18">
      <c r="A8" s="3217" t="str">
        <f>项目基本情况!E9</f>
        <v>——</v>
      </c>
      <c r="B8" s="3218"/>
      <c r="C8" s="3218"/>
      <c r="D8" s="3218"/>
      <c r="E8" s="3218"/>
      <c r="F8" s="3218"/>
      <c r="G8" s="3218"/>
      <c r="H8" s="3218"/>
      <c r="I8" s="3218"/>
      <c r="J8" s="3218"/>
      <c r="K8" s="3218"/>
      <c r="L8" s="3218"/>
      <c r="M8" s="3218"/>
      <c r="N8" s="3218"/>
      <c r="O8" s="3218"/>
      <c r="P8" s="3218"/>
      <c r="Q8" s="3219"/>
      <c r="R8" s="1824" t="str">
        <f>结果表!O41</f>
        <v>——</v>
      </c>
    </row>
    <row r="9" spans="1:18">
      <c r="A9" s="1825" t="s">
        <v>2353</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2340</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24" t="s">
        <v>2380</v>
      </c>
      <c r="B1" s="3224"/>
      <c r="C1" s="3224"/>
      <c r="D1" s="3224"/>
    </row>
    <row r="2" spans="1:4" ht="47.25" customHeight="1">
      <c r="A2" s="3228" t="str">
        <f>"1.权利限制："&amp;项目基本情况!L24&amp;"未设定租赁等其他他项权利。"</f>
        <v>1.权利限制：根据估价对象《不动产权证书》复印件，截至估价期日，估价对象已设定抵押。未设定租赁等其他他项权利。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24"/>
      <c r="C3" s="3224"/>
      <c r="D3" s="3224"/>
    </row>
    <row r="4" spans="1:4" ht="36.75" customHeight="1">
      <c r="A4" s="3224" t="str">
        <f>"3.估价规划限制条件：详见"&amp;项目基本情况!E21&amp;"。"</f>
        <v>3.估价规划限制条件：详见。</v>
      </c>
      <c r="B4" s="3224"/>
      <c r="C4" s="3224"/>
      <c r="D4" s="3224"/>
    </row>
    <row r="5" spans="1:4">
      <c r="A5" s="3227" t="s">
        <v>2381</v>
      </c>
      <c r="B5" s="3227"/>
      <c r="C5" s="3227"/>
      <c r="D5" s="3227"/>
    </row>
    <row r="6" spans="1:4">
      <c r="A6" s="3224" t="s">
        <v>2356</v>
      </c>
      <c r="B6" s="3224"/>
      <c r="C6" s="3224"/>
      <c r="D6" s="3224"/>
    </row>
    <row r="7" spans="1:4" ht="33" customHeight="1">
      <c r="A7" s="3224" t="s">
        <v>2941</v>
      </c>
      <c r="B7" s="3224"/>
      <c r="C7" s="3224"/>
      <c r="D7" s="3224"/>
    </row>
    <row r="8" spans="1:4" ht="32.25" customHeight="1">
      <c r="A8" s="3224" t="str">
        <f>IF(项目基本情况!B8="抵押","2.本《评估意见函》仅供金融机构进行内部审核使用，不做其他目的之用。","")</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2383</v>
      </c>
      <c r="B12" s="3227"/>
      <c r="C12" s="3227"/>
      <c r="D12" s="3227"/>
    </row>
    <row r="13" spans="1:4">
      <c r="A13" s="3225" t="s">
        <v>3123</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3076</v>
      </c>
      <c r="B17" s="3224"/>
      <c r="C17" s="3224"/>
      <c r="D17" s="3224"/>
    </row>
    <row r="18" spans="1:4">
      <c r="A18" s="3224" t="s">
        <v>3068</v>
      </c>
      <c r="B18" s="3224"/>
      <c r="C18" s="3224"/>
      <c r="D18" s="3224"/>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24" t="s">
        <v>3073</v>
      </c>
      <c r="B23" s="3224"/>
      <c r="C23" s="3224"/>
      <c r="D23" s="3224"/>
    </row>
    <row r="24" spans="1:4">
      <c r="A24" s="2870" t="s">
        <v>3069</v>
      </c>
      <c r="B24" s="2870" t="s">
        <v>3074</v>
      </c>
      <c r="C24" s="2870" t="s">
        <v>3071</v>
      </c>
      <c r="D24" s="2870" t="s">
        <v>3072</v>
      </c>
    </row>
    <row r="25" spans="1:4">
      <c r="A25" s="2873" t="s">
        <v>3075</v>
      </c>
      <c r="B25" s="2870" t="s">
        <v>1227</v>
      </c>
      <c r="C25" s="2872"/>
      <c r="D25" s="1812" t="s">
        <v>3078</v>
      </c>
    </row>
    <row r="29" spans="1:4">
      <c r="D29" s="2871" t="s">
        <v>2351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36" t="s">
        <v>68</v>
      </c>
      <c r="B15" s="3237" t="s">
        <v>1112</v>
      </c>
      <c r="C15" s="3233"/>
    </row>
    <row r="16" spans="1:7" ht="14.25">
      <c r="A16" s="3236"/>
      <c r="B16" s="3234" t="s">
        <v>69</v>
      </c>
      <c r="C16" s="1171" t="s">
        <v>68</v>
      </c>
    </row>
    <row r="17" spans="1:3" ht="14.25">
      <c r="A17" s="3236"/>
      <c r="B17" s="3234"/>
      <c r="C17" s="1171" t="s">
        <v>70</v>
      </c>
    </row>
    <row r="18" spans="1:3" ht="14.25">
      <c r="A18" s="3236"/>
      <c r="B18" s="3234"/>
      <c r="C18" s="1171" t="s">
        <v>71</v>
      </c>
    </row>
    <row r="19" spans="1:3" ht="14.25">
      <c r="A19" s="3236"/>
      <c r="B19" s="3232" t="s">
        <v>72</v>
      </c>
      <c r="C19" s="3233"/>
    </row>
    <row r="20" spans="1:3" ht="14.25">
      <c r="A20" s="1172" t="s">
        <v>73</v>
      </c>
      <c r="B20" s="1173"/>
      <c r="C20" s="1174"/>
    </row>
    <row r="21" spans="1:3" ht="14.25">
      <c r="A21" s="3235" t="s">
        <v>74</v>
      </c>
      <c r="B21" s="3232" t="s">
        <v>75</v>
      </c>
      <c r="C21" s="3233"/>
    </row>
    <row r="22" spans="1:3" ht="14.25">
      <c r="A22" s="3235"/>
      <c r="B22" s="3232" t="s">
        <v>76</v>
      </c>
      <c r="C22" s="3233"/>
    </row>
    <row r="23" spans="1:3" ht="14.25">
      <c r="A23" s="3235"/>
      <c r="B23" s="3232" t="s">
        <v>77</v>
      </c>
      <c r="C23" s="3233"/>
    </row>
    <row r="24" spans="1:3" ht="14.25">
      <c r="A24" s="3235"/>
      <c r="B24" s="3238" t="s">
        <v>78</v>
      </c>
      <c r="C24" s="1175" t="s">
        <v>1103</v>
      </c>
    </row>
    <row r="25" spans="1:3" ht="14.25">
      <c r="A25" s="3235"/>
      <c r="B25" s="3239"/>
      <c r="C25" s="1175" t="s">
        <v>1104</v>
      </c>
    </row>
    <row r="26" spans="1:3" ht="14.25">
      <c r="A26" s="3235"/>
      <c r="B26" s="3239"/>
      <c r="C26" s="1175" t="s">
        <v>1105</v>
      </c>
    </row>
    <row r="27" spans="1:3" ht="14.25">
      <c r="A27" s="3235"/>
      <c r="B27" s="3239"/>
      <c r="C27" s="1175" t="s">
        <v>1106</v>
      </c>
    </row>
    <row r="28" spans="1:3" ht="14.25">
      <c r="A28" s="3235"/>
      <c r="B28" s="3239"/>
      <c r="C28" s="1175" t="s">
        <v>1107</v>
      </c>
    </row>
    <row r="29" spans="1:3" ht="14.25">
      <c r="A29" s="3235"/>
      <c r="B29" s="3239"/>
      <c r="C29" s="1175" t="s">
        <v>1108</v>
      </c>
    </row>
    <row r="30" spans="1:3" ht="14.25">
      <c r="A30" s="3235"/>
      <c r="B30" s="3239"/>
      <c r="C30" s="1175" t="s">
        <v>1109</v>
      </c>
    </row>
    <row r="31" spans="1:3" ht="14.25">
      <c r="A31" s="3235"/>
      <c r="B31" s="3239"/>
      <c r="C31" s="1175" t="s">
        <v>1110</v>
      </c>
    </row>
    <row r="32" spans="1:3" ht="14.25">
      <c r="A32" s="3235"/>
      <c r="B32" s="3239"/>
      <c r="C32" s="1175" t="s">
        <v>1928</v>
      </c>
    </row>
    <row r="33" spans="1:3" ht="14.25">
      <c r="A33" s="3235"/>
      <c r="B33" s="3229" t="s">
        <v>1934</v>
      </c>
      <c r="C33" s="1175" t="s">
        <v>1929</v>
      </c>
    </row>
    <row r="34" spans="1:3" ht="14.25">
      <c r="A34" s="3235"/>
      <c r="B34" s="3230"/>
      <c r="C34" s="1180" t="s">
        <v>1930</v>
      </c>
    </row>
    <row r="35" spans="1:3" ht="14.25">
      <c r="A35" s="3235"/>
      <c r="B35" s="3230"/>
      <c r="C35" s="1181" t="s">
        <v>1931</v>
      </c>
    </row>
    <row r="36" spans="1:3" ht="14.25">
      <c r="A36" s="3235"/>
      <c r="B36" s="3230"/>
      <c r="C36" s="1181" t="s">
        <v>1932</v>
      </c>
    </row>
    <row r="37" spans="1:3" ht="14.25">
      <c r="A37" s="3235"/>
      <c r="B37" s="3231"/>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2210</v>
      </c>
      <c r="B2" s="1669">
        <f ca="1">TODAY()</f>
        <v>42920</v>
      </c>
      <c r="C2" s="2359" t="s">
        <v>2211</v>
      </c>
      <c r="D2" s="2360"/>
    </row>
    <row r="3" spans="1:6" ht="20.25" customHeight="1">
      <c r="A3" s="2362" t="s">
        <v>2212</v>
      </c>
      <c r="B3" s="2363" t="s">
        <v>2213</v>
      </c>
      <c r="C3" s="2363" t="s">
        <v>2214</v>
      </c>
      <c r="D3" s="2364" t="s">
        <v>2215</v>
      </c>
      <c r="E3" s="2363" t="s">
        <v>2216</v>
      </c>
      <c r="F3" s="2363" t="s">
        <v>2214</v>
      </c>
    </row>
    <row r="4" spans="1:6" ht="20.25" customHeight="1">
      <c r="A4" s="2363" t="s">
        <v>2217</v>
      </c>
      <c r="B4" s="2363">
        <f ca="1">IF(C4&lt;B2,"已过期",1119970066)</f>
        <v>1119970066</v>
      </c>
      <c r="C4" s="3009">
        <v>43849</v>
      </c>
      <c r="D4" s="2363" t="s">
        <v>2217</v>
      </c>
      <c r="E4" s="2363">
        <f ca="1">IF(F4&lt;B2,"已过期",96010014)</f>
        <v>96010014</v>
      </c>
      <c r="F4" s="3010">
        <v>47118</v>
      </c>
    </row>
    <row r="5" spans="1:6" ht="20.25" customHeight="1">
      <c r="A5" s="2363" t="s">
        <v>2218</v>
      </c>
      <c r="B5" s="2363">
        <f ca="1">IF(C5&lt;B2,"已过期",1119970074)</f>
        <v>1119970074</v>
      </c>
      <c r="C5" s="3009">
        <v>43849</v>
      </c>
      <c r="D5" s="2363" t="s">
        <v>2218</v>
      </c>
      <c r="E5" s="2363">
        <f ca="1">IF(F5&lt;B2,"已过期",2002110027)</f>
        <v>2002110027</v>
      </c>
      <c r="F5" s="3010">
        <v>46752</v>
      </c>
    </row>
    <row r="6" spans="1:6" ht="20.25" customHeight="1">
      <c r="A6" s="2363" t="s">
        <v>2219</v>
      </c>
      <c r="B6" s="2363">
        <f ca="1">IF(C6&lt;B2,"已过期",1119970111)</f>
        <v>1119970111</v>
      </c>
      <c r="C6" s="3009">
        <v>43849</v>
      </c>
      <c r="D6" s="2363" t="s">
        <v>2219</v>
      </c>
      <c r="E6" s="2363">
        <f ca="1">IF(F6&lt;B2,"已过期",94010078)</f>
        <v>94010078</v>
      </c>
      <c r="F6" s="3010">
        <v>46387</v>
      </c>
    </row>
    <row r="7" spans="1:6" ht="20.25" customHeight="1">
      <c r="A7" s="2363" t="s">
        <v>2220</v>
      </c>
      <c r="B7" s="2363">
        <f ca="1">IF(C7&lt;B2,"已过期",1120050019)</f>
        <v>1120050019</v>
      </c>
      <c r="C7" s="3009">
        <v>43359</v>
      </c>
      <c r="D7" s="2363" t="s">
        <v>2220</v>
      </c>
      <c r="E7" s="2363">
        <f ca="1">IF(F7&lt;B2,"已过期",2002110030)</f>
        <v>2002110030</v>
      </c>
      <c r="F7" s="3010">
        <v>46387</v>
      </c>
    </row>
    <row r="8" spans="1:6" ht="20.25" customHeight="1">
      <c r="A8" s="2363" t="s">
        <v>2221</v>
      </c>
      <c r="B8" s="2363">
        <f ca="1">IF(C8&lt;B2,"已过期",1120000080)</f>
        <v>1120000080</v>
      </c>
      <c r="C8" s="3009">
        <v>43849</v>
      </c>
      <c r="D8" s="2363" t="s">
        <v>2221</v>
      </c>
      <c r="E8" s="2363">
        <f ca="1">IF(F8&lt;B2,"已过期",2000110082)</f>
        <v>2000110082</v>
      </c>
      <c r="F8" s="3010">
        <v>46387</v>
      </c>
    </row>
    <row r="9" spans="1:6" ht="20.25" customHeight="1">
      <c r="A9" s="2363" t="s">
        <v>2222</v>
      </c>
      <c r="B9" s="2363">
        <f ca="1">IF(C9&lt;B2,"已过期",1419970001)</f>
        <v>1419970001</v>
      </c>
      <c r="C9" s="3009">
        <v>43867</v>
      </c>
      <c r="D9" s="2363" t="s">
        <v>2222</v>
      </c>
      <c r="E9" s="2363">
        <f ca="1">IF(F9&lt;B2,"已过期",2002110125)</f>
        <v>2002110125</v>
      </c>
      <c r="F9" s="3010">
        <v>47118</v>
      </c>
    </row>
    <row r="10" spans="1:6" ht="20.25" customHeight="1">
      <c r="A10" s="2363" t="s">
        <v>2223</v>
      </c>
      <c r="B10" s="2363">
        <f ca="1">IF(C10&lt;B2,"已过期",1120060040)</f>
        <v>1120060040</v>
      </c>
      <c r="C10" s="3009">
        <v>43483</v>
      </c>
      <c r="D10" s="2363" t="s">
        <v>2223</v>
      </c>
      <c r="E10" s="2363">
        <f ca="1">IF(F10&lt;B2,"已过期",2004110096)</f>
        <v>2004110096</v>
      </c>
      <c r="F10" s="3010">
        <v>47118</v>
      </c>
    </row>
    <row r="11" spans="1:6" ht="20.25" customHeight="1">
      <c r="A11" s="2363" t="s">
        <v>2224</v>
      </c>
      <c r="B11" s="2363">
        <f ca="1">IF(C11&lt;B2,"已过期",1120100036)</f>
        <v>1120100036</v>
      </c>
      <c r="C11" s="3009">
        <v>43622</v>
      </c>
      <c r="D11" s="2363" t="s">
        <v>2224</v>
      </c>
      <c r="E11" s="2363">
        <f ca="1">IF(F11&lt;B2,"已过期",2010110070)</f>
        <v>2010110070</v>
      </c>
      <c r="F11" s="3010">
        <v>47907</v>
      </c>
    </row>
    <row r="12" spans="1:6" ht="20.25" customHeight="1">
      <c r="A12" s="2363"/>
      <c r="B12" s="2363"/>
      <c r="C12" s="3009"/>
      <c r="D12" s="2363"/>
      <c r="E12" s="2363"/>
      <c r="F12" s="2363"/>
    </row>
    <row r="13" spans="1:6" ht="20.25" customHeight="1">
      <c r="A13" s="2363" t="s">
        <v>2225</v>
      </c>
      <c r="B13" s="2363">
        <f ca="1">IF(C13&lt;B2,"已过期",1120070131)</f>
        <v>1120070131</v>
      </c>
      <c r="C13" s="3009">
        <v>43814</v>
      </c>
      <c r="D13" s="2363" t="s">
        <v>2225</v>
      </c>
      <c r="E13" s="2363">
        <v>2014110011</v>
      </c>
      <c r="F13" s="3010">
        <v>49302</v>
      </c>
    </row>
    <row r="14" spans="1:6" ht="20.25" customHeight="1">
      <c r="A14" s="2363" t="s">
        <v>2226</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2227</v>
      </c>
      <c r="B16" s="2363">
        <f ca="1">IF(C16&lt;B2,"已过期",1120140022)</f>
        <v>1120140022</v>
      </c>
      <c r="C16" s="3009">
        <v>42987</v>
      </c>
      <c r="D16" s="2363" t="s">
        <v>2227</v>
      </c>
      <c r="E16" s="2363">
        <f ca="1">IF(F16&lt;B2,"已过期",2008110059)</f>
        <v>2008110059</v>
      </c>
      <c r="F16" s="3010">
        <v>47177</v>
      </c>
    </row>
    <row r="17" spans="1:7" ht="20.25" customHeight="1">
      <c r="A17" s="2363" t="s">
        <v>2228</v>
      </c>
      <c r="B17" s="2363">
        <f ca="1">IF(C17&lt;B2,"已过期",1120140020)</f>
        <v>1120140020</v>
      </c>
      <c r="C17" s="3009">
        <v>42987</v>
      </c>
      <c r="D17" s="2363"/>
      <c r="E17" s="2363"/>
      <c r="F17" s="3010"/>
    </row>
    <row r="18" spans="1:7" ht="20.25" customHeight="1">
      <c r="A18" s="2363" t="s">
        <v>2229</v>
      </c>
      <c r="B18" s="2363">
        <f ca="1">IF(C18&lt;B2,"已过期",1120140024)</f>
        <v>1120140024</v>
      </c>
      <c r="C18" s="3009">
        <v>42987</v>
      </c>
      <c r="D18" s="2363" t="s">
        <v>2229</v>
      </c>
      <c r="E18" s="2363">
        <f ca="1">IF(F18&lt;B2,"已过期",2011110048)</f>
        <v>2011110048</v>
      </c>
      <c r="F18" s="3010">
        <v>48302</v>
      </c>
    </row>
    <row r="19" spans="1:7" ht="20.25" customHeight="1">
      <c r="A19" s="2363" t="s">
        <v>2230</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2231</v>
      </c>
      <c r="E21" s="2363">
        <f ca="1">IF(F21&lt;B2,"已过期",2011110090)</f>
        <v>2011110090</v>
      </c>
      <c r="F21" s="3010">
        <v>48302</v>
      </c>
    </row>
    <row r="22" spans="1:7" ht="20.25" customHeight="1">
      <c r="A22" s="2363" t="s">
        <v>2232</v>
      </c>
      <c r="B22" s="2363">
        <f ca="1">IF(C22&lt;B2,"已过期",1120020033)</f>
        <v>1120020033</v>
      </c>
      <c r="C22" s="3009">
        <v>43304</v>
      </c>
      <c r="D22" s="2363" t="s">
        <v>2232</v>
      </c>
      <c r="E22" s="2363">
        <f ca="1">IF(F22&lt;B2,"已过期",2000110137)</f>
        <v>2000110137</v>
      </c>
      <c r="F22" s="3010">
        <v>46387</v>
      </c>
    </row>
    <row r="23" spans="1:7" ht="20.25" customHeight="1">
      <c r="A23" s="2363" t="s">
        <v>2233</v>
      </c>
      <c r="B23" s="2363">
        <f ca="1">IF(C23&lt;B2,"已过期",1120130048)</f>
        <v>1120130048</v>
      </c>
      <c r="C23" s="3009">
        <v>43686</v>
      </c>
      <c r="D23" s="2363"/>
      <c r="E23" s="2363"/>
      <c r="F23" s="2363"/>
    </row>
    <row r="24" spans="1:7" s="2367" customFormat="1" ht="20.25" customHeight="1">
      <c r="A24" s="2365" t="s">
        <v>2365</v>
      </c>
      <c r="B24" s="2365" t="s">
        <v>2365</v>
      </c>
      <c r="C24" s="3009"/>
      <c r="D24" s="3011" t="s">
        <v>2365</v>
      </c>
      <c r="E24" s="2365" t="s">
        <v>2365</v>
      </c>
      <c r="F24" s="2366"/>
    </row>
    <row r="25" spans="1:7" ht="20.25" customHeight="1">
      <c r="A25" s="3240" t="s">
        <v>2234</v>
      </c>
      <c r="B25" s="3240"/>
      <c r="C25" s="3240"/>
      <c r="D25" s="3240"/>
      <c r="E25" s="3240"/>
      <c r="F25" s="3240"/>
      <c r="G25" s="3240"/>
    </row>
    <row r="26" spans="1:7" ht="20.25" customHeight="1">
      <c r="A26" s="3241" t="s">
        <v>2235</v>
      </c>
      <c r="B26" s="3241"/>
      <c r="C26" s="3241"/>
      <c r="D26" s="3241" t="s">
        <v>2236</v>
      </c>
      <c r="E26" s="3241"/>
      <c r="F26" s="3241"/>
    </row>
    <row r="27" spans="1:7" s="2371" customFormat="1" ht="20.25" customHeight="1">
      <c r="A27" s="2368" t="s">
        <v>2237</v>
      </c>
      <c r="B27" s="2369" t="s">
        <v>2238</v>
      </c>
      <c r="C27" s="2369" t="s">
        <v>2239</v>
      </c>
      <c r="D27" s="2370" t="s">
        <v>2237</v>
      </c>
      <c r="E27" s="2369" t="s">
        <v>2238</v>
      </c>
      <c r="F27" s="2369" t="s">
        <v>2239</v>
      </c>
    </row>
    <row r="28" spans="1:7" s="2371" customFormat="1" ht="20.25" customHeight="1">
      <c r="A28" s="2372" t="s">
        <v>2240</v>
      </c>
      <c r="B28" s="2372" t="s">
        <v>2241</v>
      </c>
      <c r="C28" s="2373">
        <v>43725</v>
      </c>
      <c r="D28" s="2372" t="s">
        <v>2242</v>
      </c>
      <c r="E28" s="2372" t="s">
        <v>2243</v>
      </c>
      <c r="F28" s="2374">
        <v>44377</v>
      </c>
    </row>
    <row r="29" spans="1:7" s="2371" customFormat="1" ht="20.25" customHeight="1">
      <c r="A29" s="2372"/>
      <c r="B29" s="2372"/>
      <c r="C29" s="2375"/>
      <c r="D29" s="2372" t="s">
        <v>2244</v>
      </c>
      <c r="E29" s="2376" t="s">
        <v>2619</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41704</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1982</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8917</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594</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45" t="s">
        <v>551</v>
      </c>
      <c r="D6" s="3246"/>
      <c r="E6" s="3245" t="s">
        <v>552</v>
      </c>
      <c r="F6" s="3246"/>
      <c r="G6" s="3245" t="s">
        <v>553</v>
      </c>
      <c r="H6" s="3246"/>
      <c r="I6" s="3245" t="s">
        <v>554</v>
      </c>
      <c r="J6" s="3246"/>
      <c r="K6" s="517" t="s">
        <v>555</v>
      </c>
      <c r="L6" s="2152"/>
      <c r="M6" s="2151"/>
      <c r="N6" s="2151"/>
      <c r="O6" s="2153"/>
      <c r="P6" s="3247" t="s">
        <v>556</v>
      </c>
      <c r="Q6" s="3248"/>
      <c r="R6" s="3253" t="s">
        <v>552</v>
      </c>
      <c r="S6" s="3254"/>
      <c r="T6" s="3253" t="s">
        <v>553</v>
      </c>
      <c r="U6" s="3254"/>
      <c r="V6" s="3265" t="s">
        <v>554</v>
      </c>
      <c r="W6" s="3265"/>
      <c r="X6" s="3173"/>
      <c r="Y6" s="3253" t="s">
        <v>556</v>
      </c>
      <c r="Z6" s="3254"/>
      <c r="AA6" s="3242" t="s">
        <v>552</v>
      </c>
      <c r="AB6" s="3243" t="s">
        <v>553</v>
      </c>
      <c r="AC6" s="3242" t="s">
        <v>554</v>
      </c>
    </row>
    <row r="7" spans="1:30" ht="20.25">
      <c r="A7" s="518"/>
      <c r="B7" s="519"/>
      <c r="C7" s="3257" t="s">
        <v>3234</v>
      </c>
      <c r="D7" s="3258"/>
      <c r="E7" s="3257" t="str">
        <f>商业案例!A21</f>
        <v>两江新区礼嘉组团B标准分区B13-3-1/04、B21-4-2/07、B21-3-2/06、B13-4-2/06号宗地</v>
      </c>
      <c r="F7" s="3258"/>
      <c r="G7" s="3257" t="s">
        <v>3248</v>
      </c>
      <c r="H7" s="3258"/>
      <c r="I7" s="3257" t="s">
        <v>3251</v>
      </c>
      <c r="J7" s="3258"/>
      <c r="K7" s="517"/>
      <c r="L7" s="2152"/>
      <c r="M7" s="2151"/>
      <c r="N7" s="2151"/>
      <c r="O7" s="2153"/>
      <c r="P7" s="3249"/>
      <c r="Q7" s="3250"/>
      <c r="R7" s="3255"/>
      <c r="S7" s="3256"/>
      <c r="T7" s="3255"/>
      <c r="U7" s="3256"/>
      <c r="V7" s="3265"/>
      <c r="W7" s="3265"/>
      <c r="X7" s="3173"/>
      <c r="Y7" s="3255"/>
      <c r="Z7" s="3256"/>
      <c r="AA7" s="3243"/>
      <c r="AB7" s="3243"/>
      <c r="AC7" s="3243"/>
    </row>
    <row r="8" spans="1:30" ht="21" thickBot="1">
      <c r="A8" s="518"/>
      <c r="B8" s="519"/>
      <c r="C8" s="3259" t="s">
        <v>3241</v>
      </c>
      <c r="D8" s="3260"/>
      <c r="E8" s="3259" t="s">
        <v>3241</v>
      </c>
      <c r="F8" s="3260"/>
      <c r="G8" s="3261" t="s">
        <v>3241</v>
      </c>
      <c r="H8" s="3262"/>
      <c r="I8" s="3261" t="s">
        <v>3241</v>
      </c>
      <c r="J8" s="3262"/>
      <c r="K8" s="517" t="s">
        <v>562</v>
      </c>
      <c r="L8" s="2152"/>
      <c r="M8" s="2151"/>
      <c r="N8" s="2151"/>
      <c r="O8" s="2153"/>
      <c r="P8" s="3251"/>
      <c r="Q8" s="3252"/>
      <c r="R8" s="3255"/>
      <c r="S8" s="3256"/>
      <c r="T8" s="3263"/>
      <c r="U8" s="3264"/>
      <c r="V8" s="3265"/>
      <c r="W8" s="3265"/>
      <c r="X8" s="3173"/>
      <c r="Y8" s="3263"/>
      <c r="Z8" s="3264"/>
      <c r="AA8" s="3244"/>
      <c r="AB8" s="3244"/>
      <c r="AC8" s="3244"/>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66" t="s">
        <v>564</v>
      </c>
      <c r="Q9" s="3267"/>
      <c r="R9" s="1581" t="s">
        <v>8</v>
      </c>
      <c r="S9" s="1582">
        <f t="shared" ref="S9:S17" si="0">F9</f>
        <v>96</v>
      </c>
      <c r="T9" s="1581" t="s">
        <v>8</v>
      </c>
      <c r="U9" s="1582">
        <f t="shared" ref="U9:U17" si="1">H9</f>
        <v>98</v>
      </c>
      <c r="V9" s="1581" t="s">
        <v>8</v>
      </c>
      <c r="W9" s="1582">
        <f t="shared" ref="W9:W17" si="2">J9</f>
        <v>96</v>
      </c>
      <c r="X9" s="1583"/>
      <c r="Y9" s="3266" t="s">
        <v>564</v>
      </c>
      <c r="Z9" s="3268"/>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66" t="s">
        <v>567</v>
      </c>
      <c r="Q10" s="3268"/>
      <c r="R10" s="1581" t="s">
        <v>8</v>
      </c>
      <c r="S10" s="1582">
        <f t="shared" si="0"/>
        <v>100</v>
      </c>
      <c r="T10" s="1581" t="s">
        <v>8</v>
      </c>
      <c r="U10" s="1582">
        <f t="shared" si="1"/>
        <v>100</v>
      </c>
      <c r="V10" s="1581" t="s">
        <v>8</v>
      </c>
      <c r="W10" s="1582">
        <f t="shared" si="2"/>
        <v>100</v>
      </c>
      <c r="X10" s="1583"/>
      <c r="Y10" s="3266" t="s">
        <v>567</v>
      </c>
      <c r="Z10" s="3268"/>
      <c r="AA10" s="1584">
        <f t="shared" ref="AA10:AA47" si="3">D10/F10</f>
        <v>1</v>
      </c>
      <c r="AB10" s="1584">
        <f t="shared" ref="AB10:AB47" si="4">D10/H10</f>
        <v>1</v>
      </c>
      <c r="AC10" s="1584">
        <f t="shared" ref="AC10:AC47" si="5">D10/J10</f>
        <v>1</v>
      </c>
    </row>
    <row r="11" spans="1:30" s="1219" customFormat="1" ht="42.75">
      <c r="A11" s="2916"/>
      <c r="B11" s="2923" t="s">
        <v>3134</v>
      </c>
      <c r="C11" s="2910" t="s">
        <v>3335</v>
      </c>
      <c r="D11" s="256">
        <v>100</v>
      </c>
      <c r="E11" s="529" t="s">
        <v>3335</v>
      </c>
      <c r="F11" s="256">
        <f>SUMIF(77:77,E11,78:78)-SUMIF(77:77,C11,78:78)+100</f>
        <v>100</v>
      </c>
      <c r="G11" s="529" t="s">
        <v>3339</v>
      </c>
      <c r="H11" s="256">
        <f>SUMIF(77:77,G11,78:78)-SUMIF(77:77,C11,78:78)+100</f>
        <v>95</v>
      </c>
      <c r="I11" s="529" t="s">
        <v>3335</v>
      </c>
      <c r="J11" s="256">
        <f>SUMIF(77:77,I11,78:78)-SUMIF(77:77,C11,78:78)+100</f>
        <v>100</v>
      </c>
      <c r="K11" s="527"/>
      <c r="L11" s="2154"/>
      <c r="M11" s="2151"/>
      <c r="N11" s="2151"/>
      <c r="O11" s="2156"/>
      <c r="P11" s="3269" t="s">
        <v>569</v>
      </c>
      <c r="Q11" s="3170" t="str">
        <f t="shared" ref="Q11:Q17" si="6">B11</f>
        <v>用途</v>
      </c>
      <c r="R11" s="1581" t="s">
        <v>8</v>
      </c>
      <c r="S11" s="1582">
        <f t="shared" si="0"/>
        <v>100</v>
      </c>
      <c r="T11" s="1581" t="s">
        <v>8</v>
      </c>
      <c r="U11" s="1582">
        <f t="shared" si="1"/>
        <v>95</v>
      </c>
      <c r="V11" s="1581" t="s">
        <v>8</v>
      </c>
      <c r="W11" s="1582">
        <f t="shared" si="2"/>
        <v>100</v>
      </c>
      <c r="X11" s="1583"/>
      <c r="Y11" s="3270"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69"/>
      <c r="Q12" s="3170" t="str">
        <f t="shared" si="6"/>
        <v>土地使用年限（年）</v>
      </c>
      <c r="R12" s="1581" t="s">
        <v>8</v>
      </c>
      <c r="S12" s="1582">
        <f t="shared" si="0"/>
        <v>118</v>
      </c>
      <c r="T12" s="1581" t="s">
        <v>8</v>
      </c>
      <c r="U12" s="1582">
        <f t="shared" si="1"/>
        <v>118</v>
      </c>
      <c r="V12" s="1581" t="s">
        <v>8</v>
      </c>
      <c r="W12" s="1582">
        <f t="shared" si="2"/>
        <v>118</v>
      </c>
      <c r="X12" s="1583"/>
      <c r="Y12" s="3270"/>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69"/>
      <c r="Q13" s="3170" t="str">
        <f t="shared" si="6"/>
        <v>容积率</v>
      </c>
      <c r="R13" s="1581" t="s">
        <v>8</v>
      </c>
      <c r="S13" s="1582">
        <f t="shared" si="0"/>
        <v>100</v>
      </c>
      <c r="T13" s="1581" t="s">
        <v>8</v>
      </c>
      <c r="U13" s="1582">
        <f t="shared" si="1"/>
        <v>100</v>
      </c>
      <c r="V13" s="1581" t="s">
        <v>8</v>
      </c>
      <c r="W13" s="1582">
        <f t="shared" si="2"/>
        <v>100</v>
      </c>
      <c r="X13" s="1583"/>
      <c r="Y13" s="3270"/>
      <c r="Z13" s="3169" t="str">
        <f t="shared" si="7"/>
        <v>容积率</v>
      </c>
      <c r="AA13" s="1584">
        <f t="shared" si="3"/>
        <v>1</v>
      </c>
      <c r="AB13" s="1584">
        <f t="shared" si="4"/>
        <v>1</v>
      </c>
      <c r="AC13" s="1584">
        <f t="shared" si="5"/>
        <v>1</v>
      </c>
    </row>
    <row r="14" spans="1:30" s="1219" customFormat="1" ht="21" hidden="1" thickBot="1">
      <c r="A14" s="2915"/>
      <c r="B14" s="2924" t="s">
        <v>3137</v>
      </c>
      <c r="C14" s="2911" t="s">
        <v>1974</v>
      </c>
      <c r="D14" s="540">
        <v>100</v>
      </c>
      <c r="E14" s="2911" t="s">
        <v>1974</v>
      </c>
      <c r="F14" s="257">
        <f>SUMIF(84:84,E14,85:85)-SUMIF(84:84,C14,85:85)+100</f>
        <v>100</v>
      </c>
      <c r="G14" s="2911" t="s">
        <v>1974</v>
      </c>
      <c r="H14" s="257">
        <f>SUMIF(84:84,G14,85:85)-SUMIF(84:84,C14,85:85)+100</f>
        <v>100</v>
      </c>
      <c r="I14" s="2911" t="s">
        <v>1974</v>
      </c>
      <c r="J14" s="257">
        <f>SUMIF(84:84,I14,85:85)-SUMIF(84:84,C14,85:85)+100</f>
        <v>100</v>
      </c>
      <c r="K14" s="533"/>
      <c r="L14" s="2154"/>
      <c r="M14" s="2151"/>
      <c r="N14" s="2151"/>
      <c r="O14" s="2156"/>
      <c r="P14" s="3269"/>
      <c r="Q14" s="3170" t="str">
        <f t="shared" si="6"/>
        <v>配建</v>
      </c>
      <c r="R14" s="1581" t="s">
        <v>8</v>
      </c>
      <c r="S14" s="1582">
        <f t="shared" si="0"/>
        <v>100</v>
      </c>
      <c r="T14" s="1581" t="s">
        <v>8</v>
      </c>
      <c r="U14" s="1582">
        <f t="shared" si="1"/>
        <v>100</v>
      </c>
      <c r="V14" s="1581" t="s">
        <v>8</v>
      </c>
      <c r="W14" s="1582">
        <f t="shared" si="2"/>
        <v>100</v>
      </c>
      <c r="X14" s="1583"/>
      <c r="Y14" s="3270"/>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69"/>
      <c r="Q15" s="3170">
        <f t="shared" si="6"/>
        <v>111</v>
      </c>
      <c r="R15" s="1581" t="s">
        <v>8</v>
      </c>
      <c r="S15" s="1582">
        <f t="shared" si="0"/>
        <v>100</v>
      </c>
      <c r="T15" s="1581" t="s">
        <v>8</v>
      </c>
      <c r="U15" s="1582">
        <f t="shared" si="1"/>
        <v>100</v>
      </c>
      <c r="V15" s="1581" t="s">
        <v>8</v>
      </c>
      <c r="W15" s="1582">
        <f t="shared" si="2"/>
        <v>100</v>
      </c>
      <c r="X15" s="1583"/>
      <c r="Y15" s="3270"/>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69"/>
      <c r="Q16" s="3170">
        <f t="shared" si="6"/>
        <v>111</v>
      </c>
      <c r="R16" s="1581" t="s">
        <v>8</v>
      </c>
      <c r="S16" s="1582">
        <f t="shared" si="0"/>
        <v>100</v>
      </c>
      <c r="T16" s="1581" t="s">
        <v>8</v>
      </c>
      <c r="U16" s="1582">
        <f t="shared" si="1"/>
        <v>100</v>
      </c>
      <c r="V16" s="1581" t="s">
        <v>8</v>
      </c>
      <c r="W16" s="1582">
        <f t="shared" si="2"/>
        <v>100</v>
      </c>
      <c r="X16" s="1583"/>
      <c r="Y16" s="3270"/>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71" t="s">
        <v>575</v>
      </c>
      <c r="Q17" s="3171" t="str">
        <f t="shared" si="6"/>
        <v>居住社区成熟度</v>
      </c>
      <c r="R17" s="1586" t="s">
        <v>8</v>
      </c>
      <c r="S17" s="1587">
        <f t="shared" si="0"/>
        <v>100</v>
      </c>
      <c r="T17" s="1586" t="s">
        <v>8</v>
      </c>
      <c r="U17" s="1587">
        <f t="shared" si="1"/>
        <v>100</v>
      </c>
      <c r="V17" s="1586" t="s">
        <v>8</v>
      </c>
      <c r="W17" s="1587">
        <f t="shared" si="2"/>
        <v>100</v>
      </c>
      <c r="X17" s="3173"/>
      <c r="Y17" s="3271"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72"/>
      <c r="Q18" s="3171"/>
      <c r="R18" s="1586"/>
      <c r="S18" s="1587"/>
      <c r="T18" s="1586"/>
      <c r="U18" s="1587"/>
      <c r="V18" s="1586"/>
      <c r="W18" s="1587"/>
      <c r="X18" s="3173"/>
      <c r="Y18" s="3272"/>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72"/>
      <c r="Q19" s="3171" t="str">
        <f>B19</f>
        <v>商业繁华度</v>
      </c>
      <c r="R19" s="1586" t="s">
        <v>8</v>
      </c>
      <c r="S19" s="1587">
        <f>F19</f>
        <v>100</v>
      </c>
      <c r="T19" s="1586" t="s">
        <v>8</v>
      </c>
      <c r="U19" s="1587">
        <f>H19</f>
        <v>100</v>
      </c>
      <c r="V19" s="1586" t="s">
        <v>8</v>
      </c>
      <c r="W19" s="1587">
        <f>J19</f>
        <v>100</v>
      </c>
      <c r="X19" s="3173"/>
      <c r="Y19" s="3272"/>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72"/>
      <c r="Q20" s="3171"/>
      <c r="R20" s="1586"/>
      <c r="S20" s="1587"/>
      <c r="T20" s="1586"/>
      <c r="U20" s="1587"/>
      <c r="V20" s="1586"/>
      <c r="W20" s="1587"/>
      <c r="X20" s="3173"/>
      <c r="Y20" s="3272"/>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72"/>
      <c r="Q21" s="3171" t="str">
        <f>B21</f>
        <v>办公集聚程度</v>
      </c>
      <c r="R21" s="1586" t="s">
        <v>8</v>
      </c>
      <c r="S21" s="1587">
        <f>F21</f>
        <v>100</v>
      </c>
      <c r="T21" s="1586" t="s">
        <v>8</v>
      </c>
      <c r="U21" s="1587">
        <f>H21</f>
        <v>100</v>
      </c>
      <c r="V21" s="1586" t="s">
        <v>8</v>
      </c>
      <c r="W21" s="1587">
        <f>J21</f>
        <v>100</v>
      </c>
      <c r="X21" s="3173"/>
      <c r="Y21" s="3272"/>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72"/>
      <c r="Q22" s="3171"/>
      <c r="R22" s="1586"/>
      <c r="S22" s="1587"/>
      <c r="T22" s="1586"/>
      <c r="U22" s="1587"/>
      <c r="V22" s="1586"/>
      <c r="W22" s="1587"/>
      <c r="X22" s="3173"/>
      <c r="Y22" s="3272"/>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72"/>
      <c r="Q23" s="3171" t="str">
        <f>B23</f>
        <v>交通便捷度</v>
      </c>
      <c r="R23" s="1586" t="s">
        <v>8</v>
      </c>
      <c r="S23" s="1587">
        <f>F23</f>
        <v>100</v>
      </c>
      <c r="T23" s="1586" t="s">
        <v>8</v>
      </c>
      <c r="U23" s="1587">
        <f>H23</f>
        <v>100</v>
      </c>
      <c r="V23" s="1586" t="s">
        <v>8</v>
      </c>
      <c r="W23" s="1587">
        <f>J23</f>
        <v>100</v>
      </c>
      <c r="X23" s="3173"/>
      <c r="Y23" s="3272"/>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72"/>
      <c r="Q24" s="3171"/>
      <c r="R24" s="1586"/>
      <c r="S24" s="1587"/>
      <c r="T24" s="1586"/>
      <c r="U24" s="1587"/>
      <c r="V24" s="1586"/>
      <c r="W24" s="1587"/>
      <c r="X24" s="3173"/>
      <c r="Y24" s="3272"/>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72"/>
      <c r="Q25" s="3171" t="str">
        <f t="shared" ref="Q25:Q39" si="8">B25</f>
        <v>区域土地利用方向</v>
      </c>
      <c r="R25" s="1586" t="s">
        <v>8</v>
      </c>
      <c r="S25" s="1587">
        <f>F25</f>
        <v>100</v>
      </c>
      <c r="T25" s="1586" t="s">
        <v>8</v>
      </c>
      <c r="U25" s="1587">
        <f>H25</f>
        <v>100</v>
      </c>
      <c r="V25" s="1586" t="s">
        <v>8</v>
      </c>
      <c r="W25" s="1587">
        <f>J25</f>
        <v>100</v>
      </c>
      <c r="X25" s="3173"/>
      <c r="Y25" s="3272"/>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72"/>
      <c r="Q26" s="3171"/>
      <c r="R26" s="1586"/>
      <c r="S26" s="1587"/>
      <c r="T26" s="1586"/>
      <c r="U26" s="1587"/>
      <c r="V26" s="1586"/>
      <c r="W26" s="1587"/>
      <c r="X26" s="3173"/>
      <c r="Y26" s="3272"/>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72"/>
      <c r="Q27" s="3171" t="str">
        <f t="shared" si="8"/>
        <v>自然及人文环境状况</v>
      </c>
      <c r="R27" s="1586" t="s">
        <v>8</v>
      </c>
      <c r="S27" s="1587">
        <f>F27</f>
        <v>102</v>
      </c>
      <c r="T27" s="1586" t="s">
        <v>8</v>
      </c>
      <c r="U27" s="1587">
        <f>H27</f>
        <v>100</v>
      </c>
      <c r="V27" s="1586" t="s">
        <v>8</v>
      </c>
      <c r="W27" s="1587">
        <f>J27</f>
        <v>102</v>
      </c>
      <c r="X27" s="3173"/>
      <c r="Y27" s="3272"/>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72"/>
      <c r="Q28" s="3171"/>
      <c r="R28" s="1586"/>
      <c r="S28" s="1587"/>
      <c r="T28" s="1586"/>
      <c r="U28" s="1587"/>
      <c r="V28" s="1586"/>
      <c r="W28" s="1587"/>
      <c r="X28" s="3173"/>
      <c r="Y28" s="3272"/>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72"/>
      <c r="Q29" s="3170" t="str">
        <f t="shared" si="8"/>
        <v>公共配套设施</v>
      </c>
      <c r="R29" s="1581" t="s">
        <v>8</v>
      </c>
      <c r="S29" s="1582">
        <f>F29</f>
        <v>100</v>
      </c>
      <c r="T29" s="1581" t="s">
        <v>8</v>
      </c>
      <c r="U29" s="1582">
        <f>H29</f>
        <v>100</v>
      </c>
      <c r="V29" s="1581" t="s">
        <v>8</v>
      </c>
      <c r="W29" s="1582">
        <f>J29</f>
        <v>100</v>
      </c>
      <c r="X29" s="1583"/>
      <c r="Y29" s="3272"/>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72"/>
      <c r="Q30" s="3170"/>
      <c r="R30" s="1581"/>
      <c r="S30" s="1582"/>
      <c r="T30" s="1581"/>
      <c r="U30" s="1582"/>
      <c r="V30" s="1581"/>
      <c r="W30" s="1582"/>
      <c r="X30" s="1583"/>
      <c r="Y30" s="3272"/>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72"/>
      <c r="Q31" s="3170" t="str">
        <f t="shared" ref="Q31" si="9">B31</f>
        <v>基础设施水平</v>
      </c>
      <c r="R31" s="1581" t="s">
        <v>8</v>
      </c>
      <c r="S31" s="1582">
        <f>F31</f>
        <v>100</v>
      </c>
      <c r="T31" s="1581" t="s">
        <v>8</v>
      </c>
      <c r="U31" s="1582">
        <f>H31</f>
        <v>100</v>
      </c>
      <c r="V31" s="1581" t="s">
        <v>8</v>
      </c>
      <c r="W31" s="1582">
        <f>J31</f>
        <v>100</v>
      </c>
      <c r="X31" s="1583"/>
      <c r="Y31" s="3272"/>
      <c r="Z31" s="3169" t="str">
        <f>Q31</f>
        <v>基础设施水平</v>
      </c>
      <c r="AA31" s="3177">
        <f>D31/F31</f>
        <v>1</v>
      </c>
      <c r="AB31" s="3177">
        <f>D31/H31</f>
        <v>1</v>
      </c>
      <c r="AC31" s="3177">
        <f>D31/J31</f>
        <v>1</v>
      </c>
    </row>
    <row r="32" spans="1:29" s="1219" customFormat="1" ht="20.25">
      <c r="A32" s="579"/>
      <c r="B32" s="568"/>
      <c r="C32" s="581" t="s">
        <v>2677</v>
      </c>
      <c r="D32" s="559"/>
      <c r="E32" s="2646" t="s">
        <v>2677</v>
      </c>
      <c r="F32" s="557"/>
      <c r="G32" s="581" t="s">
        <v>2677</v>
      </c>
      <c r="H32" s="557"/>
      <c r="I32" s="581" t="s">
        <v>2677</v>
      </c>
      <c r="J32" s="557"/>
      <c r="K32" s="533"/>
      <c r="L32" s="2154"/>
      <c r="M32" s="2151"/>
      <c r="N32" s="2151"/>
      <c r="O32" s="2156"/>
      <c r="P32" s="3272"/>
      <c r="Q32" s="3170"/>
      <c r="R32" s="1581"/>
      <c r="S32" s="1582"/>
      <c r="T32" s="1581"/>
      <c r="U32" s="1582"/>
      <c r="V32" s="1581"/>
      <c r="W32" s="1582"/>
      <c r="X32" s="1583"/>
      <c r="Y32" s="3272"/>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72"/>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72"/>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72"/>
      <c r="Q34" s="3171" t="str">
        <f t="shared" si="8"/>
        <v>毗邻道路的类型与等级</v>
      </c>
      <c r="R34" s="1586" t="s">
        <v>8</v>
      </c>
      <c r="S34" s="1587">
        <f t="shared" si="10"/>
        <v>99</v>
      </c>
      <c r="T34" s="1586" t="s">
        <v>8</v>
      </c>
      <c r="U34" s="1587">
        <f t="shared" si="11"/>
        <v>99</v>
      </c>
      <c r="V34" s="1586" t="s">
        <v>8</v>
      </c>
      <c r="W34" s="1587">
        <f t="shared" si="12"/>
        <v>99</v>
      </c>
      <c r="X34" s="3173"/>
      <c r="Y34" s="3272"/>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1976</v>
      </c>
      <c r="F35" s="557"/>
      <c r="G35" s="556" t="s">
        <v>1976</v>
      </c>
      <c r="H35" s="557"/>
      <c r="I35" s="578" t="s">
        <v>1976</v>
      </c>
      <c r="J35" s="557"/>
      <c r="K35" s="583"/>
      <c r="L35" s="2161"/>
      <c r="M35" s="2151"/>
      <c r="N35" s="2151"/>
      <c r="O35" s="2160"/>
      <c r="P35" s="3272"/>
      <c r="Q35" s="3171"/>
      <c r="R35" s="1586"/>
      <c r="S35" s="1587"/>
      <c r="T35" s="1586"/>
      <c r="U35" s="1587"/>
      <c r="V35" s="1586"/>
      <c r="W35" s="1587"/>
      <c r="X35" s="3173"/>
      <c r="Y35" s="3272"/>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72"/>
      <c r="Q36" s="3171" t="str">
        <f t="shared" si="8"/>
        <v>土地级别</v>
      </c>
      <c r="R36" s="1586" t="s">
        <v>8</v>
      </c>
      <c r="S36" s="1587">
        <f t="shared" si="10"/>
        <v>100</v>
      </c>
      <c r="T36" s="1586" t="s">
        <v>8</v>
      </c>
      <c r="U36" s="1587">
        <f t="shared" si="11"/>
        <v>100</v>
      </c>
      <c r="V36" s="1586" t="s">
        <v>8</v>
      </c>
      <c r="W36" s="1587">
        <f t="shared" si="12"/>
        <v>100</v>
      </c>
      <c r="X36" s="3173"/>
      <c r="Y36" s="3272"/>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72"/>
      <c r="Q37" s="3171">
        <f t="shared" si="8"/>
        <v>111</v>
      </c>
      <c r="R37" s="1586" t="s">
        <v>8</v>
      </c>
      <c r="S37" s="1587">
        <f t="shared" si="10"/>
        <v>100</v>
      </c>
      <c r="T37" s="1586" t="s">
        <v>8</v>
      </c>
      <c r="U37" s="1587">
        <f t="shared" si="11"/>
        <v>100</v>
      </c>
      <c r="V37" s="1586" t="s">
        <v>8</v>
      </c>
      <c r="W37" s="1587">
        <f t="shared" si="12"/>
        <v>100</v>
      </c>
      <c r="X37" s="3173"/>
      <c r="Y37" s="3272"/>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77" t="s">
        <v>591</v>
      </c>
      <c r="Q38" s="3171">
        <f t="shared" si="8"/>
        <v>111</v>
      </c>
      <c r="R38" s="1586" t="s">
        <v>8</v>
      </c>
      <c r="S38" s="1587">
        <f t="shared" si="10"/>
        <v>100</v>
      </c>
      <c r="T38" s="1586" t="s">
        <v>8</v>
      </c>
      <c r="U38" s="1587">
        <f t="shared" si="11"/>
        <v>100</v>
      </c>
      <c r="V38" s="1586" t="s">
        <v>8</v>
      </c>
      <c r="W38" s="1587">
        <f t="shared" si="12"/>
        <v>100</v>
      </c>
      <c r="X38" s="3173"/>
      <c r="Y38" s="3278"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78"/>
      <c r="Q39" s="3171">
        <f t="shared" si="8"/>
        <v>111</v>
      </c>
      <c r="R39" s="1590" t="s">
        <v>8</v>
      </c>
      <c r="S39" s="1591">
        <f t="shared" si="10"/>
        <v>100</v>
      </c>
      <c r="T39" s="1590" t="s">
        <v>8</v>
      </c>
      <c r="U39" s="1591">
        <f t="shared" si="11"/>
        <v>100</v>
      </c>
      <c r="V39" s="1590" t="s">
        <v>8</v>
      </c>
      <c r="W39" s="1591">
        <f t="shared" si="12"/>
        <v>100</v>
      </c>
      <c r="X39" s="1592"/>
      <c r="Y39" s="3278"/>
      <c r="Z39" s="1593">
        <f t="shared" si="13"/>
        <v>111</v>
      </c>
      <c r="AA39" s="3177">
        <f t="shared" si="3"/>
        <v>1</v>
      </c>
      <c r="AB39" s="3177">
        <f t="shared" si="4"/>
        <v>1</v>
      </c>
      <c r="AC39" s="3177">
        <f t="shared" si="5"/>
        <v>1</v>
      </c>
    </row>
    <row r="40" spans="1:29" ht="20.25">
      <c r="A40" s="2909" t="s">
        <v>3133</v>
      </c>
      <c r="B40" s="595" t="s">
        <v>593</v>
      </c>
      <c r="C40" s="596">
        <f>'数据-汇总表'!D3</f>
        <v>46771</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78"/>
      <c r="Q40" s="3171" t="str">
        <f>B40</f>
        <v>宗地面积</v>
      </c>
      <c r="R40" s="1586" t="s">
        <v>8</v>
      </c>
      <c r="S40" s="1587">
        <f t="shared" si="10"/>
        <v>102</v>
      </c>
      <c r="T40" s="1586" t="s">
        <v>8</v>
      </c>
      <c r="U40" s="1587">
        <f t="shared" si="11"/>
        <v>102</v>
      </c>
      <c r="V40" s="1586" t="s">
        <v>8</v>
      </c>
      <c r="W40" s="1587">
        <f t="shared" si="12"/>
        <v>101</v>
      </c>
      <c r="X40" s="3173"/>
      <c r="Y40" s="3278"/>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2680</v>
      </c>
      <c r="D41" s="542">
        <v>100</v>
      </c>
      <c r="E41" s="599" t="s">
        <v>2680</v>
      </c>
      <c r="F41" s="542">
        <f>SUMIF(121:121,E41,122:122)-SUMIF(121:121,C41,122:122)+100</f>
        <v>100</v>
      </c>
      <c r="G41" s="599" t="s">
        <v>2680</v>
      </c>
      <c r="H41" s="542">
        <f>SUMIF(121:121,G41,122:122)-SUMIF(121:121,C41,122:122)+100</f>
        <v>100</v>
      </c>
      <c r="I41" s="599" t="s">
        <v>2680</v>
      </c>
      <c r="J41" s="542">
        <f>SUMIF(121:121,I41,122:122)-SUMIF(121:121,C41,122:122)+100</f>
        <v>100</v>
      </c>
      <c r="K41" s="586">
        <v>3</v>
      </c>
      <c r="L41" s="2161"/>
      <c r="M41" s="2151"/>
      <c r="N41" s="2151"/>
      <c r="O41" s="2160"/>
      <c r="P41" s="3278"/>
      <c r="Q41" s="3171" t="str">
        <f t="shared" ref="Q41:Q47" si="14">B41</f>
        <v>宗地形状</v>
      </c>
      <c r="R41" s="1586" t="s">
        <v>8</v>
      </c>
      <c r="S41" s="1587">
        <f t="shared" si="10"/>
        <v>100</v>
      </c>
      <c r="T41" s="1586" t="s">
        <v>8</v>
      </c>
      <c r="U41" s="1587">
        <f t="shared" si="11"/>
        <v>100</v>
      </c>
      <c r="V41" s="1586" t="s">
        <v>8</v>
      </c>
      <c r="W41" s="1587">
        <f t="shared" si="12"/>
        <v>100</v>
      </c>
      <c r="X41" s="3173"/>
      <c r="Y41" s="3278"/>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78"/>
      <c r="Q42" s="3171" t="str">
        <f t="shared" si="14"/>
        <v>临街宽度及深度</v>
      </c>
      <c r="R42" s="1586" t="s">
        <v>8</v>
      </c>
      <c r="S42" s="1587">
        <f t="shared" si="10"/>
        <v>100</v>
      </c>
      <c r="T42" s="1586" t="s">
        <v>8</v>
      </c>
      <c r="U42" s="1587">
        <f t="shared" si="11"/>
        <v>100</v>
      </c>
      <c r="V42" s="1586" t="s">
        <v>8</v>
      </c>
      <c r="W42" s="1587">
        <f t="shared" si="12"/>
        <v>100</v>
      </c>
      <c r="X42" s="3173"/>
      <c r="Y42" s="3278"/>
      <c r="Z42" s="3172" t="str">
        <f t="shared" si="13"/>
        <v>临街宽度及深度</v>
      </c>
      <c r="AA42" s="3177">
        <f t="shared" si="3"/>
        <v>1</v>
      </c>
      <c r="AB42" s="3177">
        <f t="shared" si="4"/>
        <v>1</v>
      </c>
      <c r="AC42" s="3177">
        <f t="shared" si="5"/>
        <v>1</v>
      </c>
    </row>
    <row r="43" spans="1:29" s="1219" customFormat="1" ht="20.25">
      <c r="A43" s="600"/>
      <c r="B43" s="1907" t="s">
        <v>2771</v>
      </c>
      <c r="C43" s="601" t="s">
        <v>1992</v>
      </c>
      <c r="D43" s="257">
        <v>100</v>
      </c>
      <c r="E43" s="601" t="s">
        <v>1992</v>
      </c>
      <c r="F43" s="542">
        <f>SUMIF(125:125,E43,126:126)-SUMIF(125:125,C43,126:126)+100</f>
        <v>100</v>
      </c>
      <c r="G43" s="601" t="s">
        <v>1992</v>
      </c>
      <c r="H43" s="542">
        <f>SUMIF(125:125,G43,126:126)-SUMIF(125:125,C43,126:126)+100</f>
        <v>100</v>
      </c>
      <c r="I43" s="601" t="s">
        <v>1992</v>
      </c>
      <c r="J43" s="542">
        <f>SUMIF(125:125,I43,126:126)-SUMIF(125:125,C43,126:126)+100</f>
        <v>100</v>
      </c>
      <c r="K43" s="586">
        <v>1</v>
      </c>
      <c r="L43" s="2154"/>
      <c r="M43" s="2151"/>
      <c r="N43" s="2151"/>
      <c r="O43" s="2156"/>
      <c r="P43" s="3278"/>
      <c r="Q43" s="3171" t="str">
        <f t="shared" si="14"/>
        <v>宗地开发程度</v>
      </c>
      <c r="R43" s="1581" t="s">
        <v>8</v>
      </c>
      <c r="S43" s="1582">
        <f t="shared" si="10"/>
        <v>100</v>
      </c>
      <c r="T43" s="1581" t="s">
        <v>8</v>
      </c>
      <c r="U43" s="1582">
        <f t="shared" si="11"/>
        <v>100</v>
      </c>
      <c r="V43" s="1581" t="s">
        <v>8</v>
      </c>
      <c r="W43" s="1582">
        <f t="shared" si="12"/>
        <v>100</v>
      </c>
      <c r="X43" s="1583"/>
      <c r="Y43" s="3278"/>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78" t="s">
        <v>591</v>
      </c>
      <c r="Q44" s="3171" t="str">
        <f t="shared" si="14"/>
        <v>工程地质条件</v>
      </c>
      <c r="R44" s="1586" t="s">
        <v>8</v>
      </c>
      <c r="S44" s="1587">
        <f t="shared" si="10"/>
        <v>100</v>
      </c>
      <c r="T44" s="1586" t="s">
        <v>8</v>
      </c>
      <c r="U44" s="1587">
        <f t="shared" si="11"/>
        <v>100</v>
      </c>
      <c r="V44" s="1586" t="s">
        <v>8</v>
      </c>
      <c r="W44" s="1587">
        <f t="shared" si="12"/>
        <v>100</v>
      </c>
      <c r="X44" s="3173"/>
      <c r="Y44" s="3278"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78"/>
      <c r="Q45" s="3171">
        <f t="shared" si="14"/>
        <v>111</v>
      </c>
      <c r="R45" s="1586" t="s">
        <v>8</v>
      </c>
      <c r="S45" s="1587">
        <f t="shared" si="10"/>
        <v>100</v>
      </c>
      <c r="T45" s="1586" t="s">
        <v>8</v>
      </c>
      <c r="U45" s="1587">
        <f t="shared" si="11"/>
        <v>100</v>
      </c>
      <c r="V45" s="1586" t="s">
        <v>8</v>
      </c>
      <c r="W45" s="1587">
        <f t="shared" si="12"/>
        <v>100</v>
      </c>
      <c r="X45" s="3173"/>
      <c r="Y45" s="3278"/>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78"/>
      <c r="Q46" s="3171">
        <f t="shared" si="14"/>
        <v>111</v>
      </c>
      <c r="R46" s="1586" t="s">
        <v>8</v>
      </c>
      <c r="S46" s="1587">
        <f t="shared" si="10"/>
        <v>100</v>
      </c>
      <c r="T46" s="1586" t="s">
        <v>8</v>
      </c>
      <c r="U46" s="1587">
        <f t="shared" si="11"/>
        <v>100</v>
      </c>
      <c r="V46" s="1586" t="s">
        <v>8</v>
      </c>
      <c r="W46" s="1587">
        <f t="shared" si="12"/>
        <v>100</v>
      </c>
      <c r="X46" s="3173"/>
      <c r="Y46" s="3278"/>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78"/>
      <c r="Q47" s="3171">
        <f t="shared" si="14"/>
        <v>111</v>
      </c>
      <c r="R47" s="1590" t="s">
        <v>8</v>
      </c>
      <c r="S47" s="1591">
        <f t="shared" si="10"/>
        <v>100</v>
      </c>
      <c r="T47" s="1590" t="s">
        <v>8</v>
      </c>
      <c r="U47" s="1591">
        <f t="shared" si="11"/>
        <v>100</v>
      </c>
      <c r="V47" s="1590" t="s">
        <v>8</v>
      </c>
      <c r="W47" s="1591">
        <f t="shared" si="12"/>
        <v>100</v>
      </c>
      <c r="X47" s="1592"/>
      <c r="Y47" s="3278"/>
      <c r="Z47" s="1593">
        <f t="shared" si="13"/>
        <v>111</v>
      </c>
      <c r="AA47" s="3177">
        <f t="shared" si="3"/>
        <v>1</v>
      </c>
      <c r="AB47" s="3177">
        <f t="shared" si="4"/>
        <v>1</v>
      </c>
      <c r="AC47" s="3177">
        <f t="shared" si="5"/>
        <v>1</v>
      </c>
    </row>
    <row r="48" spans="1:29" ht="20.25">
      <c r="A48" s="3081" t="s">
        <v>600</v>
      </c>
      <c r="B48" s="3082" t="s">
        <v>2385</v>
      </c>
      <c r="C48" s="609" t="s">
        <v>1</v>
      </c>
      <c r="D48" s="610"/>
      <c r="E48" s="611">
        <v>6164</v>
      </c>
      <c r="F48" s="612"/>
      <c r="G48" s="613">
        <v>6025</v>
      </c>
      <c r="H48" s="614"/>
      <c r="I48" s="611">
        <v>6485</v>
      </c>
      <c r="J48" s="614"/>
      <c r="K48" s="1351"/>
      <c r="L48" s="2163"/>
      <c r="M48" s="2151"/>
      <c r="N48" s="2151"/>
      <c r="O48" s="2164"/>
      <c r="P48" s="3269" t="str">
        <f>A48</f>
        <v>成交单价</v>
      </c>
      <c r="Q48" s="3269"/>
      <c r="R48" s="3265">
        <f>E48</f>
        <v>6164</v>
      </c>
      <c r="S48" s="3265"/>
      <c r="T48" s="3265">
        <f>G48</f>
        <v>6025</v>
      </c>
      <c r="U48" s="3265"/>
      <c r="V48" s="3265">
        <f>I48</f>
        <v>6485</v>
      </c>
      <c r="W48" s="3265"/>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69" t="str">
        <f>A49</f>
        <v>比较价格（元/平方米）</v>
      </c>
      <c r="Q49" s="3269"/>
      <c r="R49" s="3273">
        <f>ROUND(PRODUCT(R48,AA9:AA47),0)</f>
        <v>5283</v>
      </c>
      <c r="S49" s="3273"/>
      <c r="T49" s="3273">
        <f>ROUND(PRODUCT(T48,AB9:AB47),0)</f>
        <v>5431</v>
      </c>
      <c r="U49" s="3273"/>
      <c r="V49" s="3273">
        <f>ROUND(PRODUCT(V48,AC9:AC47),0)</f>
        <v>5613</v>
      </c>
      <c r="W49" s="3273"/>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74" t="str">
        <f>A50</f>
        <v>估价对象XX用房的比较价格（楼面单价，元/平方米）</v>
      </c>
      <c r="Q50" s="3275"/>
      <c r="R50" s="3276">
        <f>ROUND(AVERAGE(R49:V49),0)</f>
        <v>5442</v>
      </c>
      <c r="S50" s="3276"/>
      <c r="T50" s="3276"/>
      <c r="U50" s="3276"/>
      <c r="V50" s="3276"/>
      <c r="W50" s="3276"/>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2609</v>
      </c>
      <c r="E57" s="631" t="s">
        <v>606</v>
      </c>
      <c r="F57" s="632" t="s">
        <v>607</v>
      </c>
      <c r="G57" s="3279" t="s">
        <v>2597</v>
      </c>
      <c r="H57" s="3280"/>
      <c r="I57" s="1568" t="s">
        <v>2023</v>
      </c>
      <c r="J57" s="1568" t="str">
        <f>项目基本情况!F41</f>
        <v>重庆市</v>
      </c>
      <c r="K57" s="2173" t="s">
        <v>2024</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76634</v>
      </c>
      <c r="F58" s="636">
        <f t="shared" ref="F58:F67" si="15">ROUND(B58*E58/10000,0)</f>
        <v>41704</v>
      </c>
      <c r="G58" s="3281"/>
      <c r="H58" s="3282"/>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83" t="s">
        <v>2598</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83"/>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83"/>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83"/>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2654</v>
      </c>
      <c r="B63" s="638">
        <f t="shared" si="17"/>
        <v>0</v>
      </c>
      <c r="C63" s="383">
        <f t="shared" si="16"/>
        <v>0</v>
      </c>
      <c r="D63" s="2248">
        <v>0.25</v>
      </c>
      <c r="E63" s="641">
        <f>'数据-汇总表'!E11</f>
        <v>0</v>
      </c>
      <c r="F63" s="636">
        <f t="shared" si="15"/>
        <v>0</v>
      </c>
      <c r="G63" s="3175" t="s">
        <v>2599</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2598</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2599</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2610</v>
      </c>
      <c r="E68" s="643">
        <f>IF(B48="楼面地价",SUM(E58:E67),'数据-汇总表'!D3)</f>
        <v>76634</v>
      </c>
      <c r="F68" s="644">
        <f>IF(B48="楼面地价",SUM(F58:F67),ROUND(C50*E68/10000,0))</f>
        <v>41704</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1" t="s">
        <v>3338</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1" t="s">
        <v>3336</v>
      </c>
      <c r="E77" s="661" t="s">
        <v>3337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1974</v>
      </c>
      <c r="E84" s="1388" t="s">
        <v>1975</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2" t="s">
        <v>3340</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162</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系统读取表</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2017-06-28T07:33:17Z</cp:lastPrinted>
  <dcterms:created xsi:type="dcterms:W3CDTF">2015-07-13T07:17:23Z</dcterms:created>
  <dcterms:modified xsi:type="dcterms:W3CDTF">2017-07-04T06:04:26Z</dcterms:modified>
</cp:coreProperties>
</file>